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drawings/drawing3.xml" ContentType="application/vnd.openxmlformats-officedocument.drawing+xml"/>
  <Override PartName="/xl/charts/chart4.xml" ContentType="application/vnd.openxmlformats-officedocument.drawingml.chart+xml"/>
  <Override PartName="/xl/drawings/drawing4.xml" ContentType="application/vnd.openxmlformats-officedocument.drawing+xml"/>
  <Override PartName="/xl/charts/chart5.xml" ContentType="application/vnd.openxmlformats-officedocument.drawingml.chart+xml"/>
  <Override PartName="/xl/drawings/drawing5.xml" ContentType="application/vnd.openxmlformats-officedocument.drawing+xml"/>
  <Override PartName="/xl/charts/chart6.xml" ContentType="application/vnd.openxmlformats-officedocument.drawingml.chart+xml"/>
  <Override PartName="/xl/drawings/drawing6.xml" ContentType="application/vnd.openxmlformats-officedocument.drawingml.chartshapes+xml"/>
  <Override PartName="/xl/charts/chart7.xml" ContentType="application/vnd.openxmlformats-officedocument.drawingml.chart+xml"/>
  <Override PartName="/xl/drawings/drawing7.xml" ContentType="application/vnd.openxmlformats-officedocument.drawingml.chartshapes+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tables/table1.xml" ContentType="application/vnd.openxmlformats-officedocument.spreadsheetml.table+xml"/>
  <Override PartName="/xl/charts/chart9.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charts/style2.xml" ContentType="application/vnd.ms-office.chartstyle+xml"/>
  <Override PartName="/xl/charts/colors2.xml" ContentType="application/vnd.ms-office.chartcolorstyle+xml"/>
  <Override PartName="/xl/charts/chartEx1.xml" ContentType="application/vnd.ms-office.chartex+xml"/>
  <Override PartName="/xl/charts/style3.xml" ContentType="application/vnd.ms-office.chartstyle+xml"/>
  <Override PartName="/xl/charts/colors3.xml" ContentType="application/vnd.ms-office.chartcolorstyle+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charts/style4.xml" ContentType="application/vnd.ms-office.chartstyle+xml"/>
  <Override PartName="/xl/charts/colors4.xml" ContentType="application/vnd.ms-office.chartcolorstyle+xml"/>
  <Override PartName="/xl/drawings/drawing14.xml" ContentType="application/vnd.openxmlformats-officedocument.drawing+xml"/>
  <Override PartName="/xl/charts/chart14.xml" ContentType="application/vnd.openxmlformats-officedocument.drawingml.chart+xml"/>
  <Override PartName="/xl/charts/style5.xml" ContentType="application/vnd.ms-office.chartstyle+xml"/>
  <Override PartName="/xl/charts/colors5.xml" ContentType="application/vnd.ms-office.chartcolorstyle+xml"/>
  <Override PartName="/xl/charts/chart15.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5.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harts/chart16.xml" ContentType="application/vnd.openxmlformats-officedocument.drawingml.chart+xml"/>
  <Override PartName="/xl/drawings/drawing16.xml" ContentType="application/vnd.openxmlformats-officedocument.drawing+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drawings/drawing17.xml" ContentType="application/vnd.openxmlformats-officedocument.drawing+xml"/>
  <Override PartName="/xl/charts/chart20.xml" ContentType="application/vnd.openxmlformats-officedocument.drawingml.chart+xml"/>
  <Override PartName="/xl/drawings/drawing18.xml" ContentType="application/vnd.openxmlformats-officedocument.drawing+xml"/>
  <Override PartName="/xl/charts/chart21.xml" ContentType="application/vnd.openxmlformats-officedocument.drawingml.chart+xml"/>
  <Override PartName="/xl/drawings/drawing19.xml" ContentType="application/vnd.openxmlformats-officedocument.drawing+xml"/>
  <Override PartName="/xl/charts/chart22.xml" ContentType="application/vnd.openxmlformats-officedocument.drawingml.chart+xml"/>
  <Override PartName="/xl/drawings/drawing20.xml" ContentType="application/vnd.openxmlformats-officedocument.drawing+xml"/>
  <Override PartName="/xl/charts/chart23.xml" ContentType="application/vnd.openxmlformats-officedocument.drawingml.chart+xml"/>
  <Override PartName="/xl/drawings/drawing21.xml" ContentType="application/vnd.openxmlformats-officedocument.drawing+xml"/>
  <Override PartName="/xl/charts/chart24.xml" ContentType="application/vnd.openxmlformats-officedocument.drawingml.chart+xml"/>
  <Override PartName="/xl/drawings/drawing22.xml" ContentType="application/vnd.openxmlformats-officedocument.drawing+xml"/>
  <Override PartName="/xl/comments2.xml" ContentType="application/vnd.openxmlformats-officedocument.spreadsheetml.comments+xml"/>
  <Override PartName="/xl/threadedComments/threadedComment2.xml" ContentType="application/vnd.ms-excel.threadedcomments+xml"/>
  <Override PartName="/xl/charts/chart25.xml" ContentType="application/vnd.openxmlformats-officedocument.drawingml.chart+xml"/>
  <Override PartName="/xl/drawings/drawing23.xml" ContentType="application/vnd.openxmlformats-officedocument.drawing+xml"/>
  <Override PartName="/xl/charts/chart26.xml" ContentType="application/vnd.openxmlformats-officedocument.drawingml.chart+xml"/>
  <Override PartName="/xl/charts/style7.xml" ContentType="application/vnd.ms-office.chartstyle+xml"/>
  <Override PartName="/xl/charts/colors7.xml" ContentType="application/vnd.ms-office.chartcolorstyle+xml"/>
  <Override PartName="/xl/charts/chart27.xml" ContentType="application/vnd.openxmlformats-officedocument.drawingml.chart+xml"/>
  <Override PartName="/xl/charts/style8.xml" ContentType="application/vnd.ms-office.chartstyle+xml"/>
  <Override PartName="/xl/charts/colors8.xml" ContentType="application/vnd.ms-office.chartcolorstyle+xml"/>
  <Override PartName="/xl/drawings/drawing24.xml" ContentType="application/vnd.openxmlformats-officedocument.drawing+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drawings/drawing25.xml" ContentType="application/vnd.openxmlformats-officedocument.drawing+xml"/>
  <Override PartName="/xl/charts/chart31.xml" ContentType="application/vnd.openxmlformats-officedocument.drawingml.chart+xml"/>
  <Override PartName="/xl/charts/chart32.xml" ContentType="application/vnd.openxmlformats-officedocument.drawingml.chart+xml"/>
  <Override PartName="/xl/charts/chart33.xml" ContentType="application/vnd.openxmlformats-officedocument.drawingml.chart+xml"/>
  <Override PartName="/xl/drawings/drawing26.xml" ContentType="application/vnd.openxmlformats-officedocument.drawing+xml"/>
  <Override PartName="/xl/charts/chart34.xml" ContentType="application/vnd.openxmlformats-officedocument.drawingml.chart+xml"/>
  <Override PartName="/xl/charts/style9.xml" ContentType="application/vnd.ms-office.chartstyle+xml"/>
  <Override PartName="/xl/charts/colors9.xml" ContentType="application/vnd.ms-office.chartcolorstyle+xml"/>
  <Override PartName="/xl/charts/chart35.xml" ContentType="application/vnd.openxmlformats-officedocument.drawingml.chart+xml"/>
  <Override PartName="/xl/charts/chart36.xml" ContentType="application/vnd.openxmlformats-officedocument.drawingml.chart+xml"/>
  <Override PartName="/xl/charts/chart37.xml" ContentType="application/vnd.openxmlformats-officedocument.drawingml.chart+xml"/>
  <Override PartName="/xl/drawings/drawing27.xml" ContentType="application/vnd.openxmlformats-officedocument.drawing+xml"/>
  <Override PartName="/xl/comments3.xml" ContentType="application/vnd.openxmlformats-officedocument.spreadsheetml.comments+xml"/>
  <Override PartName="/xl/threadedComments/threadedComment3.xml" ContentType="application/vnd.ms-excel.threadedcomments+xml"/>
  <Override PartName="/xl/charts/chart38.xml" ContentType="application/vnd.openxmlformats-officedocument.drawingml.chart+xml"/>
  <Override PartName="/xl/drawings/drawing28.xml" ContentType="application/vnd.openxmlformats-officedocument.drawing+xml"/>
  <Override PartName="/xl/comments4.xml" ContentType="application/vnd.openxmlformats-officedocument.spreadsheetml.comments+xml"/>
  <Override PartName="/xl/threadedComments/threadedComment4.xml" ContentType="application/vnd.ms-excel.threadedcomments+xml"/>
  <Override PartName="/xl/drawings/drawing29.xml" ContentType="application/vnd.openxmlformats-officedocument.drawing+xml"/>
  <Override PartName="/xl/charts/chart39.xml" ContentType="application/vnd.openxmlformats-officedocument.drawingml.chart+xml"/>
  <Override PartName="/xl/charts/style10.xml" ContentType="application/vnd.ms-office.chartstyle+xml"/>
  <Override PartName="/xl/charts/colors10.xml" ContentType="application/vnd.ms-office.chartcolorstyle+xml"/>
  <Override PartName="/xl/comments5.xml" ContentType="application/vnd.openxmlformats-officedocument.spreadsheetml.comments+xml"/>
  <Override PartName="/xl/threadedComments/threadedComment5.xml" ContentType="application/vnd.ms-excel.threadedcomments+xml"/>
  <Override PartName="/xl/drawings/drawing30.xml" ContentType="application/vnd.openxmlformats-officedocument.drawing+xml"/>
  <Override PartName="/xl/comments6.xml" ContentType="application/vnd.openxmlformats-officedocument.spreadsheetml.comments+xml"/>
  <Override PartName="/xl/threadedComments/threadedComment6.xml" ContentType="application/vnd.ms-excel.threadedcomments+xml"/>
  <Override PartName="/xl/charts/chart40.xml" ContentType="application/vnd.openxmlformats-officedocument.drawingml.chart+xml"/>
  <Override PartName="/xl/drawings/drawing31.xml" ContentType="application/vnd.openxmlformats-officedocument.drawing+xml"/>
  <Override PartName="/xl/charts/chart41.xml" ContentType="application/vnd.openxmlformats-officedocument.drawingml.chart+xml"/>
  <Override PartName="/xl/charts/chart42.xml" ContentType="application/vnd.openxmlformats-officedocument.drawingml.chart+xml"/>
  <Override PartName="/xl/drawings/drawing32.xml" ContentType="application/vnd.openxmlformats-officedocument.drawing+xml"/>
  <Override PartName="/xl/charts/chart43.xml" ContentType="application/vnd.openxmlformats-officedocument.drawingml.chart+xml"/>
  <Override PartName="/xl/charts/style11.xml" ContentType="application/vnd.ms-office.chartstyle+xml"/>
  <Override PartName="/xl/charts/colors11.xml" ContentType="application/vnd.ms-office.chartcolorstyle+xml"/>
  <Override PartName="/xl/charts/chart44.xml" ContentType="application/vnd.openxmlformats-officedocument.drawingml.chart+xml"/>
  <Override PartName="/xl/charts/style12.xml" ContentType="application/vnd.ms-office.chartstyle+xml"/>
  <Override PartName="/xl/charts/colors12.xml" ContentType="application/vnd.ms-office.chartcolorsty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202300"/>
  <mc:AlternateContent xmlns:mc="http://schemas.openxmlformats.org/markup-compatibility/2006">
    <mc:Choice Requires="x15">
      <x15ac:absPath xmlns:x15ac="http://schemas.microsoft.com/office/spreadsheetml/2010/11/ac" url="https://idbg.sharepoint.com/sites/SCLLMK_BiggersharebiggerPie/Shared Documents/Labor Cost Technical Note/To upload/"/>
    </mc:Choice>
  </mc:AlternateContent>
  <xr:revisionPtr revIDLastSave="1142" documentId="8_{DB7D21D6-CDDE-4357-8849-3D7B5339F814}" xr6:coauthVersionLast="47" xr6:coauthVersionMax="47" xr10:uidLastSave="{E7DA97AB-ED57-4E55-8E39-5EAE1DE88F35}"/>
  <bookViews>
    <workbookView xWindow="-110" yWindow="-110" windowWidth="17020" windowHeight="10000" tabRatio="850" firstSheet="4" activeTab="4" xr2:uid="{9F8AA660-CCDF-451A-94E4-CF901F5EC99F}"/>
  </bookViews>
  <sheets>
    <sheet name="Sheet1" sheetId="18" state="hidden" r:id="rId1"/>
    <sheet name="act2016" sheetId="19" state="hidden" r:id="rId2"/>
    <sheet name="Sheet2" sheetId="20" state="hidden" r:id="rId3"/>
    <sheet name="Sheet3" sheetId="21" state="hidden" r:id="rId4"/>
    <sheet name="Figure1a_1b_1c" sheetId="27" r:id="rId5"/>
    <sheet name="Tabla_Resumen_salariosmedios" sheetId="51" state="hidden" r:id="rId6"/>
    <sheet name="Figure 2" sheetId="65" r:id="rId7"/>
    <sheet name="Figure 2a" sheetId="72" r:id="rId8"/>
    <sheet name="Figure 2b_2c" sheetId="74" r:id="rId9"/>
    <sheet name="Figure 3" sheetId="76" r:id="rId10"/>
    <sheet name="Figure 4a" sheetId="61" r:id="rId11"/>
    <sheet name="Figure ab_4c" sheetId="78" r:id="rId12"/>
    <sheet name="Figure 5" sheetId="25" r:id="rId13"/>
    <sheet name="Figure 6_7_8" sheetId="26" r:id="rId14"/>
    <sheet name="Figure 9" sheetId="28" r:id="rId15"/>
    <sheet name="Figure 10" sheetId="47" r:id="rId16"/>
    <sheet name="Figure 4" sheetId="23" state="hidden" r:id="rId17"/>
    <sheet name="Figure 11" sheetId="46" r:id="rId18"/>
    <sheet name="Figure 12" sheetId="57" r:id="rId19"/>
    <sheet name="Figure 13" sheetId="82" r:id="rId20"/>
    <sheet name="Table 5" sheetId="49" state="hidden" r:id="rId21"/>
    <sheet name="Minimum_JSP" sheetId="32" state="hidden" r:id="rId22"/>
    <sheet name="Figure 15_16_17" sheetId="34" state="hidden" r:id="rId23"/>
    <sheet name="Figure 15_16_17 (2)" sheetId="43" state="hidden" r:id="rId24"/>
    <sheet name="Figure 14 (2)" sheetId="58" state="hidden" r:id="rId25"/>
    <sheet name="Figure 14" sheetId="83" r:id="rId26"/>
    <sheet name="Table 1" sheetId="66" r:id="rId27"/>
    <sheet name="Table 2" sheetId="35" r:id="rId28"/>
    <sheet name="Figure by contributor" sheetId="52" state="hidden" r:id="rId29"/>
    <sheet name="Table A.2" sheetId="38" state="hidden" r:id="rId30"/>
    <sheet name="Table A.3" sheetId="37" state="hidden" r:id="rId31"/>
    <sheet name="Table 6" sheetId="60" state="hidden" r:id="rId32"/>
    <sheet name="Difference in rates" sheetId="63" state="hidden" r:id="rId33"/>
    <sheet name="Box 2" sheetId="67" r:id="rId34"/>
    <sheet name="Appendix 1" sheetId="48" r:id="rId35"/>
    <sheet name="Appendix 4" sheetId="68" r:id="rId36"/>
    <sheet name="Appendix 5" sheetId="42" r:id="rId37"/>
    <sheet name="Appendix 6" sheetId="79" r:id="rId38"/>
    <sheet name="Figure2" sheetId="22" state="hidden" r:id="rId39"/>
    <sheet name="Figure 4 2023" sheetId="59" state="hidden" r:id="rId40"/>
    <sheet name="Sheet5 (2)" sheetId="24" state="hidden" r:id="rId41"/>
    <sheet name="Sheet4" sheetId="44" state="hidden" r:id="rId42"/>
    <sheet name="JSP" sheetId="31" state="hidden" r:id="rId43"/>
  </sheets>
  <definedNames>
    <definedName name="_xlnm._FilterDatabase" localSheetId="32" hidden="1">'Difference in rates'!$F$2:$U$3</definedName>
    <definedName name="_xlnm._FilterDatabase" localSheetId="19" hidden="1">'Figure 13'!$L$31:$V$32</definedName>
    <definedName name="_xlnm._FilterDatabase" localSheetId="25" hidden="1">'Figure 14'!$S$103:$AA$103</definedName>
    <definedName name="_xlnm._FilterDatabase" localSheetId="24" hidden="1">'Figure 14 (2)'!$A$3:$X$23</definedName>
    <definedName name="_xlnm._FilterDatabase" localSheetId="7" hidden="1">'Figure 2a'!$L$29:$Y$72</definedName>
    <definedName name="_xlnm._FilterDatabase" localSheetId="8" hidden="1">'Figure 2b_2c'!$A$3:$D$3</definedName>
    <definedName name="_xlnm._FilterDatabase" localSheetId="9" hidden="1">'Figure 3'!$R$102:$AB$102</definedName>
    <definedName name="_xlnm._FilterDatabase" localSheetId="16" hidden="1">'Figure 4'!$R$103:$AB$103</definedName>
    <definedName name="_xlnm._FilterDatabase" localSheetId="39" hidden="1">'Figure 4 2023'!$R$56:$AB$99</definedName>
    <definedName name="_xlnm._FilterDatabase" localSheetId="10" hidden="1">'Figure 4a'!$A$5:$O$5</definedName>
    <definedName name="_xlnm._FilterDatabase" localSheetId="12" hidden="1">'Figure 5'!$K$32:$O$68</definedName>
    <definedName name="_xlnm._FilterDatabase" localSheetId="11" hidden="1">'Figure ab_4c'!$A$3:$E$3</definedName>
    <definedName name="_xlnm._FilterDatabase" localSheetId="38" hidden="1">Figure2!$L$30:$Y$73</definedName>
    <definedName name="_xlnm._FilterDatabase" localSheetId="26" hidden="1">'Table 1'!$A$2:$L$5</definedName>
    <definedName name="_xlnm._FilterDatabase" localSheetId="31" hidden="1">'Table 6'!$A$5:$L$24</definedName>
    <definedName name="_ftn1" localSheetId="37">'Appendix 6'!$A$63</definedName>
    <definedName name="_ftnref1" localSheetId="37">'Appendix 6'!$C$38</definedName>
    <definedName name="_Hlk212191940" localSheetId="35">'Appendix 4'!$A$2</definedName>
    <definedName name="_xlchart.v5.0" hidden="1">'Figure 2b_2c'!$B$3</definedName>
    <definedName name="_xlchart.v5.1" hidden="1">'Figure 2b_2c'!$B$4:$B$23</definedName>
    <definedName name="_xlchart.v5.2" hidden="1">'Figure 2b_2c'!$C$3</definedName>
    <definedName name="_xlchart.v5.3" hidden="1">'Figure 2b_2c'!$C$4:$C$23</definedName>
    <definedName name="M_wage" localSheetId="36">'Appendix 5'!$I$7</definedName>
    <definedName name="_xlnm.Print_Area" localSheetId="27">'Table 2'!$A$1:$H$20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1" i="27" l="1"/>
  <c r="C45" i="61" l="1"/>
  <c r="C44" i="61"/>
  <c r="H45" i="61"/>
  <c r="I45" i="61"/>
  <c r="J45" i="61"/>
  <c r="K45" i="61"/>
  <c r="L45" i="61"/>
  <c r="H44" i="61"/>
  <c r="I44" i="61"/>
  <c r="J44" i="61"/>
  <c r="K44" i="61"/>
  <c r="L44" i="61"/>
  <c r="E45" i="61"/>
  <c r="D45" i="61"/>
  <c r="E44" i="61"/>
  <c r="D44" i="61"/>
  <c r="C55" i="27" l="1"/>
  <c r="B55" i="27"/>
  <c r="K8" i="83"/>
  <c r="F8" i="83"/>
  <c r="K8" i="76" l="1"/>
  <c r="F8" i="76"/>
  <c r="B51" i="23"/>
  <c r="C51" i="23" s="1"/>
  <c r="D51" i="23" s="1"/>
  <c r="E51" i="23" s="1"/>
  <c r="F51" i="23" s="1"/>
  <c r="G51" i="23" s="1"/>
  <c r="H51" i="23" s="1"/>
  <c r="I51" i="23" s="1"/>
  <c r="J51" i="23" s="1"/>
  <c r="K51" i="23" s="1"/>
  <c r="L51" i="23" s="1"/>
  <c r="M51" i="23" s="1"/>
  <c r="N51" i="23" s="1"/>
  <c r="O51" i="23" s="1"/>
  <c r="P51" i="23" s="1"/>
  <c r="Q51" i="23" s="1"/>
  <c r="R51" i="23" s="1"/>
  <c r="S51" i="23" s="1"/>
  <c r="T51" i="23" s="1"/>
  <c r="U51" i="23" s="1"/>
  <c r="S62" i="22" l="1"/>
  <c r="W53" i="22"/>
  <c r="I88" i="23" l="1"/>
  <c r="S34" i="22" l="1"/>
  <c r="S70" i="22" l="1"/>
  <c r="S68" i="22"/>
  <c r="S66" i="22"/>
  <c r="S64" i="22"/>
  <c r="S54" i="22"/>
  <c r="S44" i="22"/>
  <c r="S42" i="22"/>
  <c r="S46" i="22"/>
  <c r="G27" i="31" l="1"/>
  <c r="D27" i="31"/>
  <c r="G21" i="44"/>
  <c r="C21" i="44"/>
  <c r="G20" i="44"/>
  <c r="C20" i="44"/>
  <c r="G19" i="44"/>
  <c r="C19" i="44"/>
  <c r="G18" i="44"/>
  <c r="C18" i="44"/>
  <c r="G17" i="44"/>
  <c r="C17" i="44"/>
  <c r="G16" i="44"/>
  <c r="C16" i="44"/>
  <c r="G15" i="44"/>
  <c r="C15" i="44"/>
  <c r="G14" i="44"/>
  <c r="C14" i="44"/>
  <c r="G13" i="44"/>
  <c r="C13" i="44"/>
  <c r="G12" i="44"/>
  <c r="C12" i="44"/>
  <c r="G11" i="44"/>
  <c r="C11" i="44"/>
  <c r="G10" i="44"/>
  <c r="C10" i="44"/>
  <c r="G9" i="44"/>
  <c r="C9" i="44"/>
  <c r="G8" i="44"/>
  <c r="C8" i="44"/>
  <c r="G7" i="44"/>
  <c r="C7" i="44"/>
  <c r="G6" i="44"/>
  <c r="C6" i="44"/>
  <c r="G5" i="44"/>
  <c r="C5" i="44"/>
  <c r="G4" i="44"/>
  <c r="C4" i="44"/>
  <c r="AB98" i="59"/>
  <c r="R98" i="59"/>
  <c r="R94" i="59"/>
  <c r="AB92" i="59"/>
  <c r="R92" i="59"/>
  <c r="AB90" i="59"/>
  <c r="R90" i="59"/>
  <c r="AB88" i="59"/>
  <c r="R88" i="59"/>
  <c r="AB86" i="59"/>
  <c r="R86" i="59"/>
  <c r="R85" i="59"/>
  <c r="AB84" i="59"/>
  <c r="R84" i="59"/>
  <c r="AB82" i="59"/>
  <c r="R82" i="59"/>
  <c r="AB80" i="59"/>
  <c r="R80" i="59"/>
  <c r="AB78" i="59"/>
  <c r="R78" i="59"/>
  <c r="AB76" i="59"/>
  <c r="R76" i="59"/>
  <c r="AB74" i="59"/>
  <c r="R74" i="59"/>
  <c r="AB72" i="59"/>
  <c r="R72" i="59"/>
  <c r="AB70" i="59"/>
  <c r="R70" i="59"/>
  <c r="AB68" i="59"/>
  <c r="R68" i="59"/>
  <c r="AB66" i="59"/>
  <c r="R66" i="59"/>
  <c r="AB64" i="59"/>
  <c r="R64" i="59"/>
  <c r="AB62" i="59"/>
  <c r="R62" i="59"/>
  <c r="AB60" i="59"/>
  <c r="R60" i="59"/>
  <c r="AB58" i="59"/>
  <c r="R58" i="59"/>
  <c r="AA54" i="59"/>
  <c r="B51" i="59"/>
  <c r="C51" i="59" s="1"/>
  <c r="D51" i="59" s="1"/>
  <c r="E51" i="59" s="1"/>
  <c r="F51" i="59" s="1"/>
  <c r="G51" i="59" s="1"/>
  <c r="H51" i="59" s="1"/>
  <c r="I51" i="59" s="1"/>
  <c r="J51" i="59" s="1"/>
  <c r="K51" i="59" s="1"/>
  <c r="L51" i="59" s="1"/>
  <c r="M51" i="59" s="1"/>
  <c r="N51" i="59" s="1"/>
  <c r="O51" i="59" s="1"/>
  <c r="P51" i="59" s="1"/>
  <c r="Q51" i="59" s="1"/>
  <c r="R51" i="59" s="1"/>
  <c r="S51" i="59" s="1"/>
  <c r="T51" i="59" s="1"/>
  <c r="U51" i="59" s="1"/>
  <c r="K8" i="59"/>
  <c r="F8" i="59"/>
  <c r="S44" i="63"/>
  <c r="R44" i="63"/>
  <c r="Q44" i="63"/>
  <c r="S43" i="63"/>
  <c r="R43" i="63"/>
  <c r="Q43" i="63"/>
  <c r="S42" i="63"/>
  <c r="R42" i="63"/>
  <c r="Q42" i="63"/>
  <c r="S41" i="63"/>
  <c r="R41" i="63"/>
  <c r="Q41" i="63"/>
  <c r="S40" i="63"/>
  <c r="R40" i="63"/>
  <c r="Q40" i="63"/>
  <c r="S39" i="63"/>
  <c r="R39" i="63"/>
  <c r="Q39" i="63"/>
  <c r="S38" i="63"/>
  <c r="R38" i="63"/>
  <c r="Q38" i="63"/>
  <c r="S37" i="63"/>
  <c r="R37" i="63"/>
  <c r="Q37" i="63"/>
  <c r="S36" i="63"/>
  <c r="R36" i="63"/>
  <c r="Q36" i="63"/>
  <c r="W20" i="63"/>
  <c r="R20" i="63"/>
  <c r="W18" i="63"/>
  <c r="R18" i="63"/>
  <c r="O9" i="63"/>
  <c r="X9" i="63" s="1"/>
  <c r="N9" i="63"/>
  <c r="R9" i="63" s="1"/>
  <c r="M9" i="63"/>
  <c r="W7" i="63"/>
  <c r="R7" i="63"/>
  <c r="K24" i="60"/>
  <c r="I24" i="60"/>
  <c r="H24" i="60"/>
  <c r="K23" i="60"/>
  <c r="J23" i="60"/>
  <c r="I23" i="60"/>
  <c r="H23" i="60"/>
  <c r="K22" i="60"/>
  <c r="J22" i="60"/>
  <c r="I22" i="60"/>
  <c r="H22" i="60"/>
  <c r="K21" i="60"/>
  <c r="J21" i="60"/>
  <c r="I21" i="60"/>
  <c r="H21" i="60"/>
  <c r="K20" i="60"/>
  <c r="J20" i="60"/>
  <c r="I20" i="60"/>
  <c r="H20" i="60"/>
  <c r="K19" i="60"/>
  <c r="J19" i="60"/>
  <c r="I19" i="60"/>
  <c r="H19" i="60"/>
  <c r="K18" i="60"/>
  <c r="J18" i="60"/>
  <c r="I18" i="60"/>
  <c r="H18" i="60"/>
  <c r="K17" i="60"/>
  <c r="J17" i="60"/>
  <c r="I17" i="60"/>
  <c r="H17" i="60"/>
  <c r="K16" i="60"/>
  <c r="J16" i="60"/>
  <c r="I16" i="60"/>
  <c r="H16" i="60"/>
  <c r="K15" i="60"/>
  <c r="J15" i="60"/>
  <c r="I15" i="60"/>
  <c r="H15" i="60"/>
  <c r="K14" i="60"/>
  <c r="J14" i="60"/>
  <c r="I14" i="60"/>
  <c r="H14" i="60"/>
  <c r="K13" i="60"/>
  <c r="J13" i="60"/>
  <c r="I13" i="60"/>
  <c r="H13" i="60"/>
  <c r="K12" i="60"/>
  <c r="J12" i="60"/>
  <c r="I12" i="60"/>
  <c r="H12" i="60"/>
  <c r="K11" i="60"/>
  <c r="J11" i="60"/>
  <c r="I11" i="60"/>
  <c r="H11" i="60"/>
  <c r="K10" i="60"/>
  <c r="J10" i="60"/>
  <c r="I10" i="60"/>
  <c r="H10" i="60"/>
  <c r="K9" i="60"/>
  <c r="J9" i="60"/>
  <c r="I9" i="60"/>
  <c r="H9" i="60"/>
  <c r="K8" i="60"/>
  <c r="J8" i="60"/>
  <c r="I8" i="60"/>
  <c r="H8" i="60"/>
  <c r="K7" i="60"/>
  <c r="J7" i="60"/>
  <c r="I7" i="60"/>
  <c r="H7" i="60"/>
  <c r="K6" i="60"/>
  <c r="J6" i="60"/>
  <c r="I6" i="60"/>
  <c r="H6" i="60"/>
  <c r="K5" i="60"/>
  <c r="J5" i="60"/>
  <c r="I5" i="60"/>
  <c r="H5" i="60"/>
  <c r="O24" i="38"/>
  <c r="N24" i="38"/>
  <c r="M24" i="38"/>
  <c r="L24" i="38"/>
  <c r="K24" i="38"/>
  <c r="F24" i="38"/>
  <c r="O23" i="38"/>
  <c r="N23" i="38"/>
  <c r="M23" i="38"/>
  <c r="L23" i="38"/>
  <c r="K23" i="38"/>
  <c r="F23" i="38"/>
  <c r="O22" i="38"/>
  <c r="N22" i="38"/>
  <c r="M22" i="38"/>
  <c r="L22" i="38"/>
  <c r="K22" i="38"/>
  <c r="F22" i="38"/>
  <c r="O21" i="38"/>
  <c r="N21" i="38"/>
  <c r="M21" i="38"/>
  <c r="L21" i="38"/>
  <c r="K21" i="38"/>
  <c r="F21" i="38"/>
  <c r="O20" i="38"/>
  <c r="N20" i="38"/>
  <c r="M20" i="38"/>
  <c r="L20" i="38"/>
  <c r="K20" i="38"/>
  <c r="F20" i="38"/>
  <c r="O19" i="38"/>
  <c r="N19" i="38"/>
  <c r="M19" i="38"/>
  <c r="L19" i="38"/>
  <c r="K19" i="38"/>
  <c r="F19" i="38"/>
  <c r="O18" i="38"/>
  <c r="N18" i="38"/>
  <c r="M18" i="38"/>
  <c r="L18" i="38"/>
  <c r="K18" i="38"/>
  <c r="F18" i="38"/>
  <c r="O17" i="38"/>
  <c r="N17" i="38"/>
  <c r="M17" i="38"/>
  <c r="L17" i="38"/>
  <c r="K17" i="38"/>
  <c r="F17" i="38"/>
  <c r="O16" i="38"/>
  <c r="N16" i="38"/>
  <c r="M16" i="38"/>
  <c r="L16" i="38"/>
  <c r="K16" i="38"/>
  <c r="F16" i="38"/>
  <c r="O15" i="38"/>
  <c r="N15" i="38"/>
  <c r="M15" i="38"/>
  <c r="L15" i="38"/>
  <c r="K15" i="38"/>
  <c r="F15" i="38"/>
  <c r="O14" i="38"/>
  <c r="N14" i="38"/>
  <c r="M14" i="38"/>
  <c r="L14" i="38"/>
  <c r="K14" i="38"/>
  <c r="F14" i="38"/>
  <c r="O13" i="38"/>
  <c r="N13" i="38"/>
  <c r="M13" i="38"/>
  <c r="L13" i="38"/>
  <c r="K13" i="38"/>
  <c r="F13" i="38"/>
  <c r="N12" i="38"/>
  <c r="M12" i="38"/>
  <c r="L12" i="38"/>
  <c r="J12" i="38"/>
  <c r="K12" i="38" s="1"/>
  <c r="E12" i="38"/>
  <c r="F12" i="38" s="1"/>
  <c r="O11" i="38"/>
  <c r="N11" i="38"/>
  <c r="M11" i="38"/>
  <c r="L11" i="38"/>
  <c r="K11" i="38"/>
  <c r="F11" i="38"/>
  <c r="O10" i="38"/>
  <c r="N10" i="38"/>
  <c r="M10" i="38"/>
  <c r="L10" i="38"/>
  <c r="K10" i="38"/>
  <c r="F10" i="38"/>
  <c r="O9" i="38"/>
  <c r="N9" i="38"/>
  <c r="M9" i="38"/>
  <c r="L9" i="38"/>
  <c r="K9" i="38"/>
  <c r="F9" i="38"/>
  <c r="O8" i="38"/>
  <c r="N8" i="38"/>
  <c r="M8" i="38"/>
  <c r="L8" i="38"/>
  <c r="K8" i="38"/>
  <c r="F8" i="38"/>
  <c r="O7" i="38"/>
  <c r="N7" i="38"/>
  <c r="M7" i="38"/>
  <c r="L7" i="38"/>
  <c r="K7" i="38"/>
  <c r="F7" i="38"/>
  <c r="O6" i="38"/>
  <c r="N6" i="38"/>
  <c r="M6" i="38"/>
  <c r="L6" i="38"/>
  <c r="K6" i="38"/>
  <c r="F6" i="38"/>
  <c r="O5" i="38"/>
  <c r="N5" i="38"/>
  <c r="M5" i="38"/>
  <c r="L5" i="38"/>
  <c r="K5" i="38"/>
  <c r="F5" i="38"/>
  <c r="K51" i="52"/>
  <c r="J51" i="52"/>
  <c r="K50" i="52"/>
  <c r="J50" i="52"/>
  <c r="K49" i="52"/>
  <c r="J49" i="52"/>
  <c r="K48" i="52"/>
  <c r="J48" i="52"/>
  <c r="K47" i="52"/>
  <c r="J47" i="52"/>
  <c r="K46" i="52"/>
  <c r="J46" i="52"/>
  <c r="K45" i="52"/>
  <c r="J45" i="52"/>
  <c r="K44" i="52"/>
  <c r="J44" i="52"/>
  <c r="K43" i="52"/>
  <c r="J43" i="52"/>
  <c r="K42" i="52"/>
  <c r="J42" i="52"/>
  <c r="K41" i="52"/>
  <c r="J41" i="52"/>
  <c r="K40" i="52"/>
  <c r="J40" i="52"/>
  <c r="K39" i="52"/>
  <c r="J39" i="52"/>
  <c r="K38" i="52"/>
  <c r="J38" i="52"/>
  <c r="K37" i="52"/>
  <c r="J37" i="52"/>
  <c r="K36" i="52"/>
  <c r="J36" i="52"/>
  <c r="K35" i="52"/>
  <c r="J35" i="52"/>
  <c r="K34" i="52"/>
  <c r="J34" i="52"/>
  <c r="K33" i="52"/>
  <c r="J33" i="52"/>
  <c r="K32" i="52"/>
  <c r="J32" i="52"/>
  <c r="K31" i="52"/>
  <c r="J31" i="52"/>
  <c r="K30" i="52"/>
  <c r="J30" i="52"/>
  <c r="H27" i="52"/>
  <c r="H25" i="52"/>
  <c r="H24" i="52"/>
  <c r="H23" i="52"/>
  <c r="H22" i="52"/>
  <c r="H21" i="52"/>
  <c r="H20" i="52"/>
  <c r="H19" i="52"/>
  <c r="H18" i="52"/>
  <c r="H17" i="52"/>
  <c r="H16" i="52"/>
  <c r="H15" i="52"/>
  <c r="H14" i="52"/>
  <c r="H13" i="52"/>
  <c r="H12" i="52"/>
  <c r="H11" i="52"/>
  <c r="H10" i="52"/>
  <c r="H9" i="52"/>
  <c r="H8" i="52"/>
  <c r="H7" i="52"/>
  <c r="H6" i="52"/>
  <c r="B64" i="58"/>
  <c r="B63" i="58"/>
  <c r="B62" i="58"/>
  <c r="B61" i="58"/>
  <c r="B60" i="58"/>
  <c r="B59" i="58"/>
  <c r="K22" i="58"/>
  <c r="K21" i="58"/>
  <c r="K20" i="58"/>
  <c r="K19" i="58"/>
  <c r="K18" i="58"/>
  <c r="K17" i="58"/>
  <c r="K16" i="58"/>
  <c r="K15" i="58"/>
  <c r="K14" i="58"/>
  <c r="K13" i="58"/>
  <c r="K12" i="58"/>
  <c r="K11" i="58"/>
  <c r="K10" i="58"/>
  <c r="K9" i="58"/>
  <c r="K8" i="58"/>
  <c r="K7" i="58"/>
  <c r="K6" i="58"/>
  <c r="K5" i="58"/>
  <c r="K4" i="58"/>
  <c r="G51" i="32"/>
  <c r="D51" i="32"/>
  <c r="C51" i="32"/>
  <c r="B51" i="32"/>
  <c r="M15" i="49"/>
  <c r="K15" i="49"/>
  <c r="H15" i="49"/>
  <c r="M12" i="49"/>
  <c r="M11" i="49"/>
  <c r="M10" i="49"/>
  <c r="J10" i="49"/>
  <c r="F10" i="49"/>
  <c r="E10" i="49"/>
  <c r="K5" i="49"/>
  <c r="K8" i="47"/>
  <c r="F8" i="47"/>
  <c r="I124" i="23"/>
  <c r="I118" i="23"/>
  <c r="I114" i="23"/>
  <c r="I112" i="23"/>
  <c r="I110" i="23"/>
  <c r="I108" i="23"/>
  <c r="I104" i="23"/>
  <c r="I96" i="23"/>
  <c r="I92" i="23"/>
  <c r="I90" i="23"/>
  <c r="I84" i="23"/>
  <c r="K8" i="23"/>
  <c r="F8" i="23"/>
  <c r="D89" i="51"/>
  <c r="T64" i="51"/>
  <c r="F162" i="51" s="1"/>
  <c r="H162" i="51" s="1"/>
  <c r="S64" i="51"/>
  <c r="U64" i="51" s="1"/>
  <c r="N88" i="51" s="1"/>
  <c r="R64" i="51"/>
  <c r="M88" i="51" s="1"/>
  <c r="Q64" i="51"/>
  <c r="P64" i="51"/>
  <c r="H138" i="51" s="1"/>
  <c r="O64" i="51"/>
  <c r="G138" i="51" s="1"/>
  <c r="N64" i="51"/>
  <c r="F138" i="51" s="1"/>
  <c r="M64" i="51"/>
  <c r="E138" i="51" s="1"/>
  <c r="L64" i="51"/>
  <c r="D138" i="51" s="1"/>
  <c r="K64" i="51"/>
  <c r="H113" i="51" s="1"/>
  <c r="J64" i="51"/>
  <c r="G113" i="51" s="1"/>
  <c r="I64" i="51"/>
  <c r="F113" i="51" s="1"/>
  <c r="H64" i="51"/>
  <c r="E113" i="51" s="1"/>
  <c r="G64" i="51"/>
  <c r="D113" i="51" s="1"/>
  <c r="F64" i="51"/>
  <c r="F88" i="51" s="1"/>
  <c r="E64" i="51"/>
  <c r="D64" i="51"/>
  <c r="D88" i="51" s="1"/>
  <c r="T63" i="51"/>
  <c r="S63" i="51"/>
  <c r="E161" i="51" s="1"/>
  <c r="G161" i="51" s="1"/>
  <c r="R63" i="51"/>
  <c r="M87" i="51" s="1"/>
  <c r="Q63" i="51"/>
  <c r="P63" i="51"/>
  <c r="H137" i="51" s="1"/>
  <c r="O63" i="51"/>
  <c r="G137" i="51" s="1"/>
  <c r="N63" i="51"/>
  <c r="F137" i="51" s="1"/>
  <c r="M63" i="51"/>
  <c r="E137" i="51" s="1"/>
  <c r="K63" i="51"/>
  <c r="H112" i="51" s="1"/>
  <c r="J63" i="51"/>
  <c r="G112" i="51" s="1"/>
  <c r="I63" i="51"/>
  <c r="F112" i="51" s="1"/>
  <c r="H63" i="51"/>
  <c r="E112" i="51" s="1"/>
  <c r="F63" i="51"/>
  <c r="F87" i="51" s="1"/>
  <c r="E63" i="51"/>
  <c r="D63" i="51"/>
  <c r="D87" i="51" s="1"/>
  <c r="K62" i="51"/>
  <c r="H111" i="51" s="1"/>
  <c r="J62" i="51"/>
  <c r="G111" i="51" s="1"/>
  <c r="I62" i="51"/>
  <c r="F111" i="51" s="1"/>
  <c r="H62" i="51"/>
  <c r="E111" i="51" s="1"/>
  <c r="F62" i="51"/>
  <c r="F86" i="51" s="1"/>
  <c r="E62" i="51"/>
  <c r="D62" i="51"/>
  <c r="D86" i="51" s="1"/>
  <c r="K61" i="51"/>
  <c r="H110" i="51" s="1"/>
  <c r="J61" i="51"/>
  <c r="G110" i="51" s="1"/>
  <c r="I61" i="51"/>
  <c r="F110" i="51" s="1"/>
  <c r="H61" i="51"/>
  <c r="E110" i="51" s="1"/>
  <c r="F61" i="51"/>
  <c r="F85" i="51" s="1"/>
  <c r="E61" i="51"/>
  <c r="D61" i="51"/>
  <c r="D85" i="51" s="1"/>
  <c r="K60" i="51"/>
  <c r="H109" i="51" s="1"/>
  <c r="J60" i="51"/>
  <c r="G109" i="51" s="1"/>
  <c r="I60" i="51"/>
  <c r="F109" i="51" s="1"/>
  <c r="H60" i="51"/>
  <c r="E109" i="51" s="1"/>
  <c r="F60" i="51"/>
  <c r="F84" i="51" s="1"/>
  <c r="E60" i="51"/>
  <c r="D60" i="51"/>
  <c r="D84" i="51" s="1"/>
  <c r="K59" i="51"/>
  <c r="H108" i="51" s="1"/>
  <c r="J59" i="51"/>
  <c r="G108" i="51" s="1"/>
  <c r="I59" i="51"/>
  <c r="F108" i="51" s="1"/>
  <c r="H59" i="51"/>
  <c r="E108" i="51" s="1"/>
  <c r="F59" i="51"/>
  <c r="F83" i="51" s="1"/>
  <c r="E59" i="51"/>
  <c r="D59" i="51"/>
  <c r="D83" i="51" s="1"/>
  <c r="T58" i="51"/>
  <c r="F156" i="51" s="1"/>
  <c r="H156" i="51" s="1"/>
  <c r="S58" i="51"/>
  <c r="P82" i="51" s="1"/>
  <c r="R58" i="51"/>
  <c r="M82" i="51" s="1"/>
  <c r="Q58" i="51"/>
  <c r="L82" i="51" s="1"/>
  <c r="P58" i="51"/>
  <c r="H132" i="51" s="1"/>
  <c r="O58" i="51"/>
  <c r="G132" i="51" s="1"/>
  <c r="N58" i="51"/>
  <c r="F132" i="51" s="1"/>
  <c r="M58" i="51"/>
  <c r="E132" i="51" s="1"/>
  <c r="K58" i="51"/>
  <c r="H107" i="51" s="1"/>
  <c r="J58" i="51"/>
  <c r="G107" i="51" s="1"/>
  <c r="I58" i="51"/>
  <c r="F107" i="51" s="1"/>
  <c r="H58" i="51"/>
  <c r="E107" i="51" s="1"/>
  <c r="F58" i="51"/>
  <c r="F82" i="51" s="1"/>
  <c r="E58" i="51"/>
  <c r="D58" i="51"/>
  <c r="D82" i="51" s="1"/>
  <c r="K57" i="51"/>
  <c r="H106" i="51" s="1"/>
  <c r="J57" i="51"/>
  <c r="G106" i="51" s="1"/>
  <c r="H57" i="51"/>
  <c r="E106" i="51" s="1"/>
  <c r="F57" i="51"/>
  <c r="F81" i="51" s="1"/>
  <c r="E57" i="51"/>
  <c r="D57" i="51"/>
  <c r="D81" i="51" s="1"/>
  <c r="T56" i="51"/>
  <c r="Q80" i="51" s="1"/>
  <c r="S56" i="51"/>
  <c r="P80" i="51" s="1"/>
  <c r="R56" i="51"/>
  <c r="M80" i="51" s="1"/>
  <c r="Q56" i="51"/>
  <c r="L80" i="51" s="1"/>
  <c r="P56" i="51"/>
  <c r="H130" i="51" s="1"/>
  <c r="O56" i="51"/>
  <c r="G130" i="51" s="1"/>
  <c r="N56" i="51"/>
  <c r="F130" i="51" s="1"/>
  <c r="M56" i="51"/>
  <c r="E130" i="51" s="1"/>
  <c r="K56" i="51"/>
  <c r="H105" i="51" s="1"/>
  <c r="J56" i="51"/>
  <c r="G105" i="51" s="1"/>
  <c r="I56" i="51"/>
  <c r="F105" i="51" s="1"/>
  <c r="H56" i="51"/>
  <c r="E105" i="51" s="1"/>
  <c r="F56" i="51"/>
  <c r="F80" i="51" s="1"/>
  <c r="E56" i="51"/>
  <c r="D56" i="51"/>
  <c r="D80" i="51" s="1"/>
  <c r="K55" i="51"/>
  <c r="H104" i="51" s="1"/>
  <c r="J55" i="51"/>
  <c r="G104" i="51" s="1"/>
  <c r="I55" i="51"/>
  <c r="F104" i="51" s="1"/>
  <c r="H55" i="51"/>
  <c r="E104" i="51" s="1"/>
  <c r="F55" i="51"/>
  <c r="F79" i="51" s="1"/>
  <c r="E55" i="51"/>
  <c r="D55" i="51"/>
  <c r="D79" i="51" s="1"/>
  <c r="T54" i="51"/>
  <c r="Q78" i="51" s="1"/>
  <c r="S54" i="51"/>
  <c r="E152" i="51" s="1"/>
  <c r="G152" i="51" s="1"/>
  <c r="R54" i="51"/>
  <c r="M78" i="51" s="1"/>
  <c r="Q54" i="51"/>
  <c r="P54" i="51"/>
  <c r="H128" i="51" s="1"/>
  <c r="O54" i="51"/>
  <c r="G128" i="51" s="1"/>
  <c r="N54" i="51"/>
  <c r="F128" i="51" s="1"/>
  <c r="M54" i="51"/>
  <c r="E128" i="51" s="1"/>
  <c r="K54" i="51"/>
  <c r="H103" i="51" s="1"/>
  <c r="J54" i="51"/>
  <c r="G103" i="51" s="1"/>
  <c r="I54" i="51"/>
  <c r="F103" i="51" s="1"/>
  <c r="H54" i="51"/>
  <c r="E103" i="51" s="1"/>
  <c r="F54" i="51"/>
  <c r="F78" i="51" s="1"/>
  <c r="E54" i="51"/>
  <c r="D54" i="51"/>
  <c r="D78" i="51" s="1"/>
  <c r="T53" i="51"/>
  <c r="S53" i="51"/>
  <c r="U53" i="51" s="1"/>
  <c r="N77" i="51" s="1"/>
  <c r="R53" i="51"/>
  <c r="M77" i="51" s="1"/>
  <c r="Q53" i="51"/>
  <c r="L77" i="51" s="1"/>
  <c r="P53" i="51"/>
  <c r="H127" i="51" s="1"/>
  <c r="O53" i="51"/>
  <c r="G127" i="51" s="1"/>
  <c r="N53" i="51"/>
  <c r="F127" i="51" s="1"/>
  <c r="M53" i="51"/>
  <c r="E127" i="51" s="1"/>
  <c r="K53" i="51"/>
  <c r="H102" i="51" s="1"/>
  <c r="J53" i="51"/>
  <c r="G102" i="51" s="1"/>
  <c r="I53" i="51"/>
  <c r="F102" i="51" s="1"/>
  <c r="H53" i="51"/>
  <c r="E102" i="51" s="1"/>
  <c r="F53" i="51"/>
  <c r="F77" i="51" s="1"/>
  <c r="E53" i="51"/>
  <c r="D53" i="51"/>
  <c r="D77" i="51" s="1"/>
  <c r="K52" i="51"/>
  <c r="H101" i="51" s="1"/>
  <c r="J52" i="51"/>
  <c r="G101" i="51" s="1"/>
  <c r="I52" i="51"/>
  <c r="F101" i="51" s="1"/>
  <c r="H52" i="51"/>
  <c r="E101" i="51" s="1"/>
  <c r="F52" i="51"/>
  <c r="F76" i="51" s="1"/>
  <c r="E52" i="51"/>
  <c r="D52" i="51"/>
  <c r="D76" i="51" s="1"/>
  <c r="K51" i="51"/>
  <c r="H100" i="51" s="1"/>
  <c r="J51" i="51"/>
  <c r="G100" i="51" s="1"/>
  <c r="I51" i="51"/>
  <c r="F100" i="51" s="1"/>
  <c r="H51" i="51"/>
  <c r="E100" i="51" s="1"/>
  <c r="F51" i="51"/>
  <c r="F75" i="51" s="1"/>
  <c r="E51" i="51"/>
  <c r="D51" i="51"/>
  <c r="D75" i="51" s="1"/>
  <c r="P50" i="51"/>
  <c r="H124" i="51" s="1"/>
  <c r="K50" i="51"/>
  <c r="H99" i="51" s="1"/>
  <c r="J50" i="51"/>
  <c r="G99" i="51" s="1"/>
  <c r="I50" i="51"/>
  <c r="F99" i="51" s="1"/>
  <c r="H50" i="51"/>
  <c r="E99" i="51" s="1"/>
  <c r="F50" i="51"/>
  <c r="F74" i="51" s="1"/>
  <c r="E50" i="51"/>
  <c r="D50" i="51"/>
  <c r="D74" i="51" s="1"/>
  <c r="T49" i="51"/>
  <c r="Q73" i="51" s="1"/>
  <c r="S49" i="51"/>
  <c r="R49" i="51"/>
  <c r="M73" i="51" s="1"/>
  <c r="Q49" i="51"/>
  <c r="P49" i="51"/>
  <c r="H123" i="51" s="1"/>
  <c r="O49" i="51"/>
  <c r="G123" i="51" s="1"/>
  <c r="N49" i="51"/>
  <c r="F123" i="51" s="1"/>
  <c r="M49" i="51"/>
  <c r="E123" i="51" s="1"/>
  <c r="K49" i="51"/>
  <c r="H98" i="51" s="1"/>
  <c r="J49" i="51"/>
  <c r="G98" i="51" s="1"/>
  <c r="I49" i="51"/>
  <c r="F98" i="51" s="1"/>
  <c r="H49" i="51"/>
  <c r="E98" i="51" s="1"/>
  <c r="F49" i="51"/>
  <c r="F73" i="51" s="1"/>
  <c r="E49" i="51"/>
  <c r="D49" i="51"/>
  <c r="D73" i="51" s="1"/>
  <c r="T48" i="51"/>
  <c r="F146" i="51" s="1"/>
  <c r="H146" i="51" s="1"/>
  <c r="S48" i="51"/>
  <c r="E146" i="51" s="1"/>
  <c r="G146" i="51" s="1"/>
  <c r="R48" i="51"/>
  <c r="M72" i="51" s="1"/>
  <c r="Q48" i="51"/>
  <c r="L72" i="51" s="1"/>
  <c r="P48" i="51"/>
  <c r="H122" i="51" s="1"/>
  <c r="O48" i="51"/>
  <c r="G122" i="51" s="1"/>
  <c r="N48" i="51"/>
  <c r="F122" i="51" s="1"/>
  <c r="M48" i="51"/>
  <c r="E122" i="51" s="1"/>
  <c r="K48" i="51"/>
  <c r="H97" i="51" s="1"/>
  <c r="J48" i="51"/>
  <c r="G97" i="51" s="1"/>
  <c r="I48" i="51"/>
  <c r="F97" i="51" s="1"/>
  <c r="H48" i="51"/>
  <c r="E97" i="51" s="1"/>
  <c r="F48" i="51"/>
  <c r="F72" i="51" s="1"/>
  <c r="E48" i="51"/>
  <c r="D48" i="51"/>
  <c r="D72" i="51" s="1"/>
  <c r="T47" i="51"/>
  <c r="V47" i="51" s="1"/>
  <c r="O71" i="51" s="1"/>
  <c r="S47" i="51"/>
  <c r="R47" i="51"/>
  <c r="M71" i="51" s="1"/>
  <c r="Q47" i="51"/>
  <c r="L71" i="51" s="1"/>
  <c r="P47" i="51"/>
  <c r="H121" i="51" s="1"/>
  <c r="O47" i="51"/>
  <c r="G121" i="51" s="1"/>
  <c r="N47" i="51"/>
  <c r="F121" i="51" s="1"/>
  <c r="M47" i="51"/>
  <c r="E121" i="51" s="1"/>
  <c r="K47" i="51"/>
  <c r="H96" i="51" s="1"/>
  <c r="J47" i="51"/>
  <c r="G96" i="51" s="1"/>
  <c r="I47" i="51"/>
  <c r="F96" i="51" s="1"/>
  <c r="H47" i="51"/>
  <c r="E96" i="51" s="1"/>
  <c r="F47" i="51"/>
  <c r="F71" i="51" s="1"/>
  <c r="E47" i="51"/>
  <c r="D47" i="51"/>
  <c r="D71" i="51" s="1"/>
  <c r="K46" i="51"/>
  <c r="H95" i="51" s="1"/>
  <c r="J46" i="51"/>
  <c r="G95" i="51" s="1"/>
  <c r="H46" i="51"/>
  <c r="E95" i="51" s="1"/>
  <c r="F46" i="51"/>
  <c r="F70" i="51" s="1"/>
  <c r="E46" i="51"/>
  <c r="D46" i="51"/>
  <c r="D70" i="51" s="1"/>
  <c r="P45" i="51"/>
  <c r="H119" i="51" s="1"/>
  <c r="O45" i="51"/>
  <c r="G119" i="51" s="1"/>
  <c r="N45" i="51"/>
  <c r="F119" i="51" s="1"/>
  <c r="K45" i="51"/>
  <c r="H94" i="51" s="1"/>
  <c r="J45" i="51"/>
  <c r="G94" i="51" s="1"/>
  <c r="I45" i="51"/>
  <c r="F94" i="51" s="1"/>
  <c r="H45" i="51"/>
  <c r="E94" i="51" s="1"/>
  <c r="F45" i="51"/>
  <c r="F69" i="51" s="1"/>
  <c r="E45" i="51"/>
  <c r="D45" i="51"/>
  <c r="D69" i="51" s="1"/>
  <c r="K39" i="51"/>
  <c r="J39" i="51"/>
  <c r="I39" i="51"/>
  <c r="H39" i="51"/>
  <c r="F39" i="51"/>
  <c r="E39" i="51"/>
  <c r="K38" i="51"/>
  <c r="J38" i="51"/>
  <c r="I38" i="51"/>
  <c r="H38" i="51"/>
  <c r="F38" i="51"/>
  <c r="E38" i="51"/>
  <c r="K37" i="51"/>
  <c r="J37" i="51"/>
  <c r="I37" i="51"/>
  <c r="H37" i="51"/>
  <c r="F37" i="51"/>
  <c r="E37" i="51"/>
  <c r="K36" i="51"/>
  <c r="J36" i="51"/>
  <c r="I36" i="51"/>
  <c r="H36" i="51"/>
  <c r="F36" i="51"/>
  <c r="E36" i="51"/>
  <c r="K35" i="51"/>
  <c r="H35" i="51"/>
  <c r="F35" i="51"/>
  <c r="E35" i="51"/>
  <c r="K34" i="51"/>
  <c r="J34" i="51"/>
  <c r="I34" i="51"/>
  <c r="H34" i="51"/>
  <c r="F34" i="51"/>
  <c r="E34" i="51"/>
  <c r="K33" i="51"/>
  <c r="J33" i="51"/>
  <c r="I33" i="51"/>
  <c r="H33" i="51"/>
  <c r="F33" i="51"/>
  <c r="E33" i="51"/>
  <c r="K32" i="51"/>
  <c r="J32" i="51"/>
  <c r="I32" i="51"/>
  <c r="H32" i="51"/>
  <c r="F32" i="51"/>
  <c r="E32" i="51"/>
  <c r="K31" i="51"/>
  <c r="J31" i="51"/>
  <c r="I31" i="51"/>
  <c r="H31" i="51"/>
  <c r="F31" i="51"/>
  <c r="E31" i="51"/>
  <c r="K30" i="51"/>
  <c r="J30" i="51"/>
  <c r="H30" i="51"/>
  <c r="F30" i="51"/>
  <c r="E30" i="51"/>
  <c r="P29" i="51"/>
  <c r="O29" i="51"/>
  <c r="N29" i="51"/>
  <c r="K29" i="51"/>
  <c r="J29" i="51"/>
  <c r="I29" i="51"/>
  <c r="H29" i="51"/>
  <c r="F29" i="51"/>
  <c r="E29" i="51"/>
  <c r="L23" i="51"/>
  <c r="L63" i="51" s="1"/>
  <c r="G23" i="51"/>
  <c r="G63" i="51" s="1"/>
  <c r="T62" i="51"/>
  <c r="S62" i="51"/>
  <c r="R62" i="51"/>
  <c r="M86" i="51" s="1"/>
  <c r="Q62" i="51"/>
  <c r="L86" i="51" s="1"/>
  <c r="M62" i="51"/>
  <c r="E136" i="51" s="1"/>
  <c r="G22" i="51"/>
  <c r="T61" i="51"/>
  <c r="F159" i="51" s="1"/>
  <c r="H159" i="51" s="1"/>
  <c r="S61" i="51"/>
  <c r="R61" i="51"/>
  <c r="M85" i="51" s="1"/>
  <c r="Q61" i="51"/>
  <c r="L85" i="51" s="1"/>
  <c r="O38" i="51"/>
  <c r="M38" i="51"/>
  <c r="G21" i="51"/>
  <c r="G38" i="51" s="1"/>
  <c r="T60" i="51"/>
  <c r="F158" i="51" s="1"/>
  <c r="H158" i="51" s="1"/>
  <c r="S60" i="51"/>
  <c r="U60" i="51" s="1"/>
  <c r="R37" i="51"/>
  <c r="Q60" i="51"/>
  <c r="G20" i="51"/>
  <c r="G60" i="51" s="1"/>
  <c r="D109" i="51" s="1"/>
  <c r="T36" i="51"/>
  <c r="S59" i="51"/>
  <c r="R59" i="51"/>
  <c r="M83" i="51" s="1"/>
  <c r="Q36" i="51"/>
  <c r="P59" i="51"/>
  <c r="H133" i="51" s="1"/>
  <c r="N59" i="51"/>
  <c r="F133" i="51" s="1"/>
  <c r="M59" i="51"/>
  <c r="E133" i="51" s="1"/>
  <c r="G19" i="51"/>
  <c r="G59" i="51" s="1"/>
  <c r="G83" i="51" s="1"/>
  <c r="L18" i="51"/>
  <c r="L58" i="51" s="1"/>
  <c r="G18" i="51"/>
  <c r="G58" i="51" s="1"/>
  <c r="T57" i="51"/>
  <c r="Q81" i="51" s="1"/>
  <c r="S35" i="51"/>
  <c r="U35" i="51" s="1"/>
  <c r="R57" i="51"/>
  <c r="M81" i="51" s="1"/>
  <c r="Q35" i="51"/>
  <c r="P57" i="51"/>
  <c r="H131" i="51" s="1"/>
  <c r="O57" i="51"/>
  <c r="G131" i="51" s="1"/>
  <c r="N35" i="51"/>
  <c r="M57" i="51"/>
  <c r="E131" i="51" s="1"/>
  <c r="J35" i="51"/>
  <c r="L16" i="51"/>
  <c r="L56" i="51" s="1"/>
  <c r="G16" i="51"/>
  <c r="G56" i="51" s="1"/>
  <c r="D105" i="51" s="1"/>
  <c r="T55" i="51"/>
  <c r="F153" i="51" s="1"/>
  <c r="H153" i="51" s="1"/>
  <c r="S55" i="51"/>
  <c r="R55" i="51"/>
  <c r="M79" i="51" s="1"/>
  <c r="Q55" i="51"/>
  <c r="L79" i="51" s="1"/>
  <c r="P55" i="51"/>
  <c r="H129" i="51" s="1"/>
  <c r="O55" i="51"/>
  <c r="G129" i="51" s="1"/>
  <c r="N34" i="51"/>
  <c r="M34" i="51"/>
  <c r="G15" i="51"/>
  <c r="G55" i="51" s="1"/>
  <c r="L14" i="51"/>
  <c r="L54" i="51" s="1"/>
  <c r="D128" i="51" s="1"/>
  <c r="G14" i="51"/>
  <c r="G54" i="51" s="1"/>
  <c r="D103" i="51" s="1"/>
  <c r="L13" i="51"/>
  <c r="L53" i="51" s="1"/>
  <c r="G13" i="51"/>
  <c r="G53" i="51" s="1"/>
  <c r="T52" i="51"/>
  <c r="S52" i="51"/>
  <c r="R52" i="51"/>
  <c r="M76" i="51" s="1"/>
  <c r="Q52" i="51"/>
  <c r="L76" i="51" s="1"/>
  <c r="P52" i="51"/>
  <c r="H126" i="51" s="1"/>
  <c r="O33" i="51"/>
  <c r="N33" i="51"/>
  <c r="M52" i="51"/>
  <c r="E126" i="51" s="1"/>
  <c r="G12" i="51"/>
  <c r="G33" i="51" s="1"/>
  <c r="T51" i="51"/>
  <c r="S51" i="51"/>
  <c r="R51" i="51"/>
  <c r="M75" i="51" s="1"/>
  <c r="Q32" i="51"/>
  <c r="P51" i="51"/>
  <c r="H125" i="51" s="1"/>
  <c r="O51" i="51"/>
  <c r="G125" i="51" s="1"/>
  <c r="N32" i="51"/>
  <c r="M51" i="51"/>
  <c r="E125" i="51" s="1"/>
  <c r="G11" i="51"/>
  <c r="G51" i="51" s="1"/>
  <c r="T50" i="51"/>
  <c r="S31" i="51"/>
  <c r="R50" i="51"/>
  <c r="M74" i="51" s="1"/>
  <c r="Q50" i="51"/>
  <c r="P31" i="51"/>
  <c r="N31" i="51"/>
  <c r="M50" i="51"/>
  <c r="E124" i="51" s="1"/>
  <c r="G10" i="51"/>
  <c r="G50" i="51" s="1"/>
  <c r="L9" i="51"/>
  <c r="L49" i="51" s="1"/>
  <c r="G9" i="51"/>
  <c r="G49" i="51" s="1"/>
  <c r="L8" i="51"/>
  <c r="L48" i="51" s="1"/>
  <c r="H72" i="51" s="1"/>
  <c r="G8" i="51"/>
  <c r="G48" i="51" s="1"/>
  <c r="L7" i="51"/>
  <c r="L47" i="51" s="1"/>
  <c r="G7" i="51"/>
  <c r="G47" i="51" s="1"/>
  <c r="D96" i="51" s="1"/>
  <c r="T46" i="51"/>
  <c r="S46" i="51"/>
  <c r="R46" i="51"/>
  <c r="M70" i="51" s="1"/>
  <c r="Q46" i="51"/>
  <c r="P46" i="51"/>
  <c r="H120" i="51" s="1"/>
  <c r="O30" i="51"/>
  <c r="N30" i="51"/>
  <c r="M46" i="51"/>
  <c r="E120" i="51" s="1"/>
  <c r="I46" i="51"/>
  <c r="F95" i="51" s="1"/>
  <c r="T45" i="51"/>
  <c r="S45" i="51"/>
  <c r="P69" i="51" s="1"/>
  <c r="R45" i="51"/>
  <c r="M69" i="51" s="1"/>
  <c r="Q45" i="51"/>
  <c r="M45" i="51"/>
  <c r="E119" i="51" s="1"/>
  <c r="G5" i="51"/>
  <c r="G29" i="51" s="1"/>
  <c r="S46" i="21"/>
  <c r="R46" i="21"/>
  <c r="S45" i="21"/>
  <c r="R45" i="21"/>
  <c r="S44" i="21"/>
  <c r="R44" i="21"/>
  <c r="S43" i="21"/>
  <c r="R43" i="21"/>
  <c r="S42" i="21"/>
  <c r="R42" i="21"/>
  <c r="S41" i="21"/>
  <c r="R41" i="21"/>
  <c r="S40" i="21"/>
  <c r="R40" i="21"/>
  <c r="S39" i="21"/>
  <c r="R39" i="21"/>
  <c r="S38" i="21"/>
  <c r="R38" i="21"/>
  <c r="S37" i="21"/>
  <c r="R37" i="21"/>
  <c r="S36" i="21"/>
  <c r="R36" i="21"/>
  <c r="S35" i="21"/>
  <c r="R35" i="21"/>
  <c r="S34" i="21"/>
  <c r="R34" i="21"/>
  <c r="S33" i="21"/>
  <c r="R33" i="21"/>
  <c r="S32" i="21"/>
  <c r="R32" i="21"/>
  <c r="S31" i="21"/>
  <c r="R31" i="21"/>
  <c r="S30" i="21"/>
  <c r="R30" i="21"/>
  <c r="S29" i="21"/>
  <c r="R29" i="21"/>
  <c r="S28" i="21"/>
  <c r="R28" i="21"/>
  <c r="S27" i="21"/>
  <c r="R27" i="21"/>
  <c r="J59" i="20"/>
  <c r="I59" i="20"/>
  <c r="H59" i="20"/>
  <c r="G59" i="20"/>
  <c r="F59" i="20"/>
  <c r="E59" i="20"/>
  <c r="D59" i="20"/>
  <c r="C59" i="20"/>
  <c r="B59" i="20"/>
  <c r="U9" i="63" l="1"/>
  <c r="T9" i="63"/>
  <c r="I88" i="51"/>
  <c r="J72" i="51"/>
  <c r="P5" i="38"/>
  <c r="J71" i="51"/>
  <c r="R61" i="59"/>
  <c r="R93" i="59"/>
  <c r="I5" i="44"/>
  <c r="I9" i="44"/>
  <c r="I13" i="44"/>
  <c r="I17" i="44"/>
  <c r="V48" i="51"/>
  <c r="O72" i="51" s="1"/>
  <c r="R71" i="59"/>
  <c r="R79" i="59"/>
  <c r="I6" i="44"/>
  <c r="I10" i="44"/>
  <c r="I14" i="44"/>
  <c r="I4" i="44"/>
  <c r="P23" i="38"/>
  <c r="V49" i="51"/>
  <c r="O73" i="51" s="1"/>
  <c r="N50" i="51"/>
  <c r="F124" i="51" s="1"/>
  <c r="P11" i="38"/>
  <c r="R65" i="59"/>
  <c r="R75" i="59"/>
  <c r="R83" i="59"/>
  <c r="R77" i="59"/>
  <c r="I73" i="51"/>
  <c r="P33" i="51"/>
  <c r="P78" i="51"/>
  <c r="L73" i="51"/>
  <c r="Q9" i="63"/>
  <c r="R73" i="59"/>
  <c r="R89" i="59"/>
  <c r="N37" i="51"/>
  <c r="S38" i="51"/>
  <c r="P88" i="51"/>
  <c r="R67" i="59"/>
  <c r="I16" i="44"/>
  <c r="O60" i="51"/>
  <c r="G134" i="51" s="1"/>
  <c r="P13" i="38"/>
  <c r="P37" i="51"/>
  <c r="P15" i="38"/>
  <c r="R69" i="59"/>
  <c r="V60" i="51"/>
  <c r="O84" i="51" s="1"/>
  <c r="Q84" i="51"/>
  <c r="M36" i="51"/>
  <c r="R97" i="59"/>
  <c r="R99" i="59" s="1"/>
  <c r="R35" i="51"/>
  <c r="V54" i="51"/>
  <c r="O78" i="51" s="1"/>
  <c r="P14" i="38"/>
  <c r="P22" i="38"/>
  <c r="I18" i="44"/>
  <c r="P30" i="51"/>
  <c r="Q82" i="51"/>
  <c r="D112" i="51"/>
  <c r="G87" i="51"/>
  <c r="G45" i="51"/>
  <c r="D94" i="51" s="1"/>
  <c r="U47" i="51"/>
  <c r="N71" i="51" s="1"/>
  <c r="G52" i="51"/>
  <c r="D101" i="51" s="1"/>
  <c r="S57" i="51"/>
  <c r="J81" i="51" s="1"/>
  <c r="T59" i="51"/>
  <c r="Q83" i="51" s="1"/>
  <c r="U63" i="51"/>
  <c r="N87" i="51" s="1"/>
  <c r="G84" i="51"/>
  <c r="G88" i="51"/>
  <c r="F147" i="51"/>
  <c r="H147" i="51" s="1"/>
  <c r="P8" i="38"/>
  <c r="P17" i="38"/>
  <c r="R63" i="59"/>
  <c r="R87" i="59"/>
  <c r="R91" i="59"/>
  <c r="I8" i="44"/>
  <c r="I19" i="44"/>
  <c r="N38" i="51"/>
  <c r="Q29" i="51"/>
  <c r="Q31" i="51"/>
  <c r="O32" i="51"/>
  <c r="Q33" i="51"/>
  <c r="S36" i="51"/>
  <c r="Q37" i="51"/>
  <c r="I82" i="51"/>
  <c r="P7" i="38"/>
  <c r="P16" i="38"/>
  <c r="I12" i="44"/>
  <c r="L6" i="51"/>
  <c r="L46" i="51" s="1"/>
  <c r="D120" i="51" s="1"/>
  <c r="R29" i="51"/>
  <c r="R33" i="51"/>
  <c r="V36" i="51"/>
  <c r="S37" i="51"/>
  <c r="Q38" i="51"/>
  <c r="N51" i="51"/>
  <c r="F125" i="51" s="1"/>
  <c r="Q79" i="51"/>
  <c r="O12" i="38"/>
  <c r="P12" i="38" s="1"/>
  <c r="P20" i="38"/>
  <c r="P21" i="38"/>
  <c r="R59" i="59"/>
  <c r="R81" i="59"/>
  <c r="I20" i="44"/>
  <c r="G31" i="51"/>
  <c r="S33" i="51"/>
  <c r="O34" i="51"/>
  <c r="T37" i="51"/>
  <c r="V37" i="51" s="1"/>
  <c r="R38" i="51"/>
  <c r="Q39" i="51"/>
  <c r="U54" i="51"/>
  <c r="I72" i="51"/>
  <c r="P6" i="38"/>
  <c r="P19" i="38"/>
  <c r="P24" i="38"/>
  <c r="AB97" i="59"/>
  <c r="R95" i="59"/>
  <c r="G32" i="51"/>
  <c r="M55" i="51"/>
  <c r="E129" i="51" s="1"/>
  <c r="J87" i="51"/>
  <c r="P10" i="38"/>
  <c r="I21" i="44"/>
  <c r="N46" i="51"/>
  <c r="F120" i="51" s="1"/>
  <c r="N55" i="51"/>
  <c r="F129" i="51" s="1"/>
  <c r="Q57" i="51"/>
  <c r="L81" i="51" s="1"/>
  <c r="P9" i="38"/>
  <c r="P18" i="38"/>
  <c r="I7" i="44"/>
  <c r="G34" i="51"/>
  <c r="O46" i="51"/>
  <c r="G120" i="51" s="1"/>
  <c r="D146" i="51"/>
  <c r="Q72" i="51"/>
  <c r="J78" i="51"/>
  <c r="P87" i="51"/>
  <c r="I11" i="44"/>
  <c r="I15" i="44"/>
  <c r="I70" i="51"/>
  <c r="L70" i="51"/>
  <c r="E144" i="51"/>
  <c r="G144" i="51" s="1"/>
  <c r="P70" i="51"/>
  <c r="J70" i="51"/>
  <c r="U46" i="51"/>
  <c r="D99" i="51"/>
  <c r="G74" i="51"/>
  <c r="Q74" i="51"/>
  <c r="F148" i="51"/>
  <c r="H148" i="51" s="1"/>
  <c r="V50" i="51"/>
  <c r="O74" i="51" s="1"/>
  <c r="U51" i="51"/>
  <c r="P75" i="51"/>
  <c r="J75" i="51"/>
  <c r="E149" i="51"/>
  <c r="G149" i="51" s="1"/>
  <c r="V45" i="51"/>
  <c r="O69" i="51" s="1"/>
  <c r="Q69" i="51"/>
  <c r="F143" i="51"/>
  <c r="G79" i="51"/>
  <c r="D104" i="51"/>
  <c r="V46" i="51"/>
  <c r="O70" i="51" s="1"/>
  <c r="Q70" i="51"/>
  <c r="F144" i="51"/>
  <c r="H144" i="51" s="1"/>
  <c r="D100" i="51"/>
  <c r="G75" i="51"/>
  <c r="E150" i="51"/>
  <c r="G150" i="51" s="1"/>
  <c r="P76" i="51"/>
  <c r="U52" i="51"/>
  <c r="J76" i="51"/>
  <c r="D130" i="51"/>
  <c r="H80" i="51"/>
  <c r="G114" i="51"/>
  <c r="H114" i="51"/>
  <c r="H87" i="51"/>
  <c r="D137" i="51"/>
  <c r="D123" i="51"/>
  <c r="H73" i="51"/>
  <c r="F150" i="51"/>
  <c r="H150" i="51" s="1"/>
  <c r="V52" i="51"/>
  <c r="O76" i="51" s="1"/>
  <c r="Q76" i="51"/>
  <c r="L84" i="51"/>
  <c r="D98" i="51"/>
  <c r="G73" i="51"/>
  <c r="P62" i="51"/>
  <c r="H136" i="51" s="1"/>
  <c r="P39" i="51"/>
  <c r="D121" i="51"/>
  <c r="H71" i="51"/>
  <c r="D107" i="51"/>
  <c r="G82" i="51"/>
  <c r="J86" i="51"/>
  <c r="E160" i="51"/>
  <c r="G160" i="51" s="1"/>
  <c r="U62" i="51"/>
  <c r="P86" i="51"/>
  <c r="P79" i="51"/>
  <c r="J79" i="51"/>
  <c r="U55" i="51"/>
  <c r="E153" i="51"/>
  <c r="G153" i="51" s="1"/>
  <c r="D153" i="51" s="1"/>
  <c r="L69" i="51"/>
  <c r="I69" i="51"/>
  <c r="G72" i="51"/>
  <c r="D97" i="51"/>
  <c r="D127" i="51"/>
  <c r="H77" i="51"/>
  <c r="D132" i="51"/>
  <c r="H82" i="51"/>
  <c r="F160" i="51"/>
  <c r="H160" i="51" s="1"/>
  <c r="V62" i="51"/>
  <c r="O86" i="51" s="1"/>
  <c r="Q86" i="51"/>
  <c r="P85" i="51"/>
  <c r="E159" i="51"/>
  <c r="G159" i="51" s="1"/>
  <c r="D159" i="51" s="1"/>
  <c r="J85" i="51"/>
  <c r="U61" i="51"/>
  <c r="F89" i="51"/>
  <c r="L17" i="51"/>
  <c r="R36" i="51"/>
  <c r="G39" i="51"/>
  <c r="N52" i="51"/>
  <c r="F126" i="51" s="1"/>
  <c r="Q59" i="51"/>
  <c r="N84" i="51"/>
  <c r="V61" i="51"/>
  <c r="O85" i="51" s="1"/>
  <c r="J88" i="51"/>
  <c r="Q30" i="51"/>
  <c r="P32" i="51"/>
  <c r="P34" i="51"/>
  <c r="O52" i="51"/>
  <c r="G126" i="51" s="1"/>
  <c r="E157" i="51"/>
  <c r="G157" i="51" s="1"/>
  <c r="P83" i="51"/>
  <c r="R30" i="51"/>
  <c r="R31" i="51"/>
  <c r="R32" i="51"/>
  <c r="Q34" i="51"/>
  <c r="T35" i="51"/>
  <c r="R39" i="51"/>
  <c r="E114" i="51"/>
  <c r="U48" i="51"/>
  <c r="I74" i="51"/>
  <c r="L74" i="51"/>
  <c r="I78" i="51"/>
  <c r="L78" i="51"/>
  <c r="M61" i="51"/>
  <c r="E135" i="51" s="1"/>
  <c r="H88" i="51"/>
  <c r="S29" i="51"/>
  <c r="S30" i="51"/>
  <c r="T31" i="51"/>
  <c r="S32" i="51"/>
  <c r="R34" i="51"/>
  <c r="T38" i="51"/>
  <c r="S39" i="51"/>
  <c r="P73" i="51"/>
  <c r="J73" i="51"/>
  <c r="Q51" i="51"/>
  <c r="V57" i="51"/>
  <c r="O81" i="51" s="1"/>
  <c r="J82" i="51"/>
  <c r="E156" i="51"/>
  <c r="G156" i="51" s="1"/>
  <c r="D156" i="51" s="1"/>
  <c r="U58" i="51"/>
  <c r="U59" i="51"/>
  <c r="M60" i="51"/>
  <c r="E134" i="51" s="1"/>
  <c r="V64" i="51"/>
  <c r="O88" i="51" s="1"/>
  <c r="I85" i="51"/>
  <c r="E145" i="51"/>
  <c r="G145" i="51" s="1"/>
  <c r="L5" i="51"/>
  <c r="L11" i="51"/>
  <c r="F149" i="51"/>
  <c r="H149" i="51" s="1"/>
  <c r="Q75" i="51"/>
  <c r="L15" i="51"/>
  <c r="P38" i="51"/>
  <c r="P61" i="51"/>
  <c r="H135" i="51" s="1"/>
  <c r="T29" i="51"/>
  <c r="T30" i="51"/>
  <c r="U31" i="51"/>
  <c r="T32" i="51"/>
  <c r="T33" i="51"/>
  <c r="S34" i="51"/>
  <c r="M35" i="51"/>
  <c r="N36" i="51"/>
  <c r="M37" i="51"/>
  <c r="T39" i="51"/>
  <c r="I71" i="51"/>
  <c r="S50" i="51"/>
  <c r="E151" i="51"/>
  <c r="G151" i="51" s="1"/>
  <c r="P77" i="51"/>
  <c r="O61" i="51"/>
  <c r="G135" i="51" s="1"/>
  <c r="G62" i="51"/>
  <c r="L87" i="51"/>
  <c r="I87" i="51"/>
  <c r="P71" i="51"/>
  <c r="P72" i="51"/>
  <c r="G78" i="51"/>
  <c r="G80" i="51"/>
  <c r="L88" i="51"/>
  <c r="L10" i="51"/>
  <c r="L50" i="51" s="1"/>
  <c r="E158" i="51"/>
  <c r="G158" i="51" s="1"/>
  <c r="D158" i="51" s="1"/>
  <c r="J84" i="51"/>
  <c r="M29" i="51"/>
  <c r="M30" i="51"/>
  <c r="T34" i="51"/>
  <c r="O35" i="51"/>
  <c r="U49" i="51"/>
  <c r="Q77" i="51"/>
  <c r="V53" i="51"/>
  <c r="O77" i="51" s="1"/>
  <c r="V58" i="51"/>
  <c r="O82" i="51" s="1"/>
  <c r="G61" i="51"/>
  <c r="I77" i="51"/>
  <c r="H78" i="51"/>
  <c r="I79" i="51"/>
  <c r="D122" i="51"/>
  <c r="L12" i="51"/>
  <c r="M31" i="51"/>
  <c r="M32" i="51"/>
  <c r="M33" i="51"/>
  <c r="P35" i="51"/>
  <c r="G36" i="51"/>
  <c r="P36" i="51"/>
  <c r="G37" i="51"/>
  <c r="M39" i="51"/>
  <c r="U45" i="51"/>
  <c r="V51" i="51"/>
  <c r="O75" i="51" s="1"/>
  <c r="V55" i="51"/>
  <c r="O79" i="51" s="1"/>
  <c r="E154" i="51"/>
  <c r="G154" i="51" s="1"/>
  <c r="J80" i="51"/>
  <c r="U56" i="51"/>
  <c r="N57" i="51"/>
  <c r="F131" i="51" s="1"/>
  <c r="G71" i="51"/>
  <c r="I76" i="51"/>
  <c r="J77" i="51"/>
  <c r="I80" i="51"/>
  <c r="D108" i="51"/>
  <c r="G77" i="51"/>
  <c r="D102" i="51"/>
  <c r="I86" i="51"/>
  <c r="F145" i="51"/>
  <c r="H145" i="51" s="1"/>
  <c r="Q71" i="51"/>
  <c r="F154" i="51"/>
  <c r="H154" i="51" s="1"/>
  <c r="V56" i="51"/>
  <c r="O80" i="51" s="1"/>
  <c r="R60" i="51"/>
  <c r="M84" i="51" s="1"/>
  <c r="M89" i="51" s="1"/>
  <c r="F161" i="51"/>
  <c r="H161" i="51" s="1"/>
  <c r="D161" i="51" s="1"/>
  <c r="V63" i="51"/>
  <c r="O87" i="51" s="1"/>
  <c r="J69" i="51"/>
  <c r="P84" i="51"/>
  <c r="Q85" i="51"/>
  <c r="Q87" i="51"/>
  <c r="Q88" i="51"/>
  <c r="E143" i="51"/>
  <c r="E147" i="51"/>
  <c r="G147" i="51" s="1"/>
  <c r="F151" i="51"/>
  <c r="H151" i="51" s="1"/>
  <c r="F155" i="51"/>
  <c r="H155" i="51" s="1"/>
  <c r="E162" i="51"/>
  <c r="G162" i="51" s="1"/>
  <c r="D162" i="51" s="1"/>
  <c r="F152" i="51"/>
  <c r="H152" i="51" s="1"/>
  <c r="D152" i="51" s="1"/>
  <c r="G23" i="52"/>
  <c r="G19" i="52"/>
  <c r="G15" i="52"/>
  <c r="G11" i="52"/>
  <c r="G7" i="52"/>
  <c r="G22" i="52"/>
  <c r="G18" i="52"/>
  <c r="G14" i="52"/>
  <c r="G10" i="52"/>
  <c r="G6" i="52"/>
  <c r="G25" i="52"/>
  <c r="G21" i="52"/>
  <c r="G17" i="52"/>
  <c r="G13" i="52"/>
  <c r="G9" i="52"/>
  <c r="G27" i="52"/>
  <c r="G24" i="52"/>
  <c r="G20" i="52"/>
  <c r="G16" i="52"/>
  <c r="G12" i="52"/>
  <c r="G8" i="52"/>
  <c r="I35" i="51"/>
  <c r="G6" i="51"/>
  <c r="G46" i="51" s="1"/>
  <c r="G70" i="51" s="1"/>
  <c r="I57" i="51"/>
  <c r="F106" i="51" s="1"/>
  <c r="F114" i="51" s="1"/>
  <c r="I5" i="63"/>
  <c r="J4" i="63"/>
  <c r="W4" i="63" s="1"/>
  <c r="I17" i="63"/>
  <c r="J11" i="63"/>
  <c r="R11" i="63" s="1"/>
  <c r="K15" i="63"/>
  <c r="X15" i="63" s="1"/>
  <c r="K7" i="63"/>
  <c r="X7" i="63" s="1"/>
  <c r="I4" i="63"/>
  <c r="K19" i="63"/>
  <c r="S19" i="63" s="1"/>
  <c r="I11" i="63"/>
  <c r="J15" i="63"/>
  <c r="W15" i="63" s="1"/>
  <c r="K18" i="63"/>
  <c r="X18" i="63" s="1"/>
  <c r="K16" i="63"/>
  <c r="X16" i="63" s="1"/>
  <c r="J19" i="63"/>
  <c r="R19" i="63" s="1"/>
  <c r="K14" i="63"/>
  <c r="I15" i="63"/>
  <c r="I7" i="63"/>
  <c r="J16" i="63"/>
  <c r="R16" i="63" s="1"/>
  <c r="I19" i="63"/>
  <c r="J14" i="63"/>
  <c r="R14" i="63" s="1"/>
  <c r="K21" i="63"/>
  <c r="X21" i="63" s="1"/>
  <c r="I18" i="63"/>
  <c r="J8" i="63"/>
  <c r="W8" i="63" s="1"/>
  <c r="K12" i="63"/>
  <c r="I16" i="63"/>
  <c r="K10" i="63"/>
  <c r="S10" i="63" s="1"/>
  <c r="I14" i="63"/>
  <c r="J21" i="63"/>
  <c r="R21" i="63" s="1"/>
  <c r="K22" i="63"/>
  <c r="I8" i="63"/>
  <c r="J12" i="63"/>
  <c r="W12" i="63" s="1"/>
  <c r="K6" i="63"/>
  <c r="S6" i="63" s="1"/>
  <c r="J10" i="63"/>
  <c r="W10" i="63" s="1"/>
  <c r="I21" i="63"/>
  <c r="J22" i="63"/>
  <c r="R22" i="63" s="1"/>
  <c r="I12" i="63"/>
  <c r="J6" i="63"/>
  <c r="W6" i="63" s="1"/>
  <c r="I22" i="63"/>
  <c r="K4" i="63"/>
  <c r="X4" i="63" s="1"/>
  <c r="J17" i="63"/>
  <c r="R17" i="63" s="1"/>
  <c r="K11" i="63"/>
  <c r="S11" i="63" s="1"/>
  <c r="I20" i="63"/>
  <c r="K8" i="63"/>
  <c r="K13" i="63"/>
  <c r="X13" i="63" s="1"/>
  <c r="V9" i="63"/>
  <c r="I30" i="51"/>
  <c r="O31" i="51"/>
  <c r="O50" i="51"/>
  <c r="G124" i="51" s="1"/>
  <c r="G17" i="51"/>
  <c r="K17" i="22" l="1"/>
  <c r="K25" i="22"/>
  <c r="E25" i="22"/>
  <c r="L17" i="22"/>
  <c r="F25" i="22"/>
  <c r="E17" i="22"/>
  <c r="F17" i="22"/>
  <c r="L25" i="22"/>
  <c r="N13" i="22"/>
  <c r="G25" i="22"/>
  <c r="G17" i="22"/>
  <c r="J17" i="22"/>
  <c r="M17" i="22"/>
  <c r="J25" i="22"/>
  <c r="K13" i="22"/>
  <c r="L13" i="22"/>
  <c r="E13" i="22"/>
  <c r="F13" i="22"/>
  <c r="G13" i="22"/>
  <c r="J13" i="22"/>
  <c r="C42" i="23"/>
  <c r="C50" i="23"/>
  <c r="B42" i="23"/>
  <c r="B50" i="23"/>
  <c r="I10" i="63"/>
  <c r="Q10" i="63" s="1"/>
  <c r="U4" i="63"/>
  <c r="Q22" i="63"/>
  <c r="U22" i="63"/>
  <c r="V17" i="63"/>
  <c r="V20" i="63"/>
  <c r="V8" i="63"/>
  <c r="U8" i="63"/>
  <c r="V18" i="63"/>
  <c r="U18" i="63"/>
  <c r="Q15" i="63"/>
  <c r="U15" i="63"/>
  <c r="V11" i="63"/>
  <c r="U11" i="63"/>
  <c r="Q12" i="63"/>
  <c r="U12" i="63"/>
  <c r="V4" i="63"/>
  <c r="V5" i="63"/>
  <c r="U21" i="63"/>
  <c r="V14" i="63"/>
  <c r="U14" i="63"/>
  <c r="Q19" i="63"/>
  <c r="U19" i="63"/>
  <c r="K20" i="63"/>
  <c r="X20" i="63" s="1"/>
  <c r="V16" i="63"/>
  <c r="U16" i="63"/>
  <c r="Q7" i="63"/>
  <c r="U7" i="63"/>
  <c r="K5" i="63"/>
  <c r="X5" i="63" s="1"/>
  <c r="L31" i="51"/>
  <c r="P81" i="51"/>
  <c r="D95" i="51"/>
  <c r="G30" i="51"/>
  <c r="U57" i="51"/>
  <c r="K81" i="51" s="1"/>
  <c r="E155" i="51"/>
  <c r="G155" i="51" s="1"/>
  <c r="D155" i="51" s="1"/>
  <c r="K84" i="51"/>
  <c r="O37" i="51"/>
  <c r="K71" i="51"/>
  <c r="E71" i="51" s="1"/>
  <c r="H70" i="51"/>
  <c r="N60" i="51"/>
  <c r="F134" i="51" s="1"/>
  <c r="U38" i="51"/>
  <c r="D160" i="51"/>
  <c r="P60" i="51"/>
  <c r="H134" i="51" s="1"/>
  <c r="H139" i="51" s="1"/>
  <c r="L20" i="51"/>
  <c r="U36" i="51"/>
  <c r="E139" i="51"/>
  <c r="G76" i="51"/>
  <c r="G69" i="51"/>
  <c r="D147" i="51"/>
  <c r="I81" i="51"/>
  <c r="L30" i="51"/>
  <c r="K77" i="51"/>
  <c r="E77" i="51" s="1"/>
  <c r="J83" i="51"/>
  <c r="U37" i="51"/>
  <c r="L21" i="51"/>
  <c r="L61" i="51" s="1"/>
  <c r="D151" i="51"/>
  <c r="D145" i="51"/>
  <c r="V59" i="51"/>
  <c r="O83" i="51" s="1"/>
  <c r="O89" i="51" s="1"/>
  <c r="F157" i="51"/>
  <c r="H157" i="51" s="1"/>
  <c r="D157" i="51" s="1"/>
  <c r="C42" i="59"/>
  <c r="U33" i="51"/>
  <c r="N61" i="51"/>
  <c r="F135" i="51" s="1"/>
  <c r="D154" i="51"/>
  <c r="K78" i="51"/>
  <c r="E78" i="51" s="1"/>
  <c r="N78" i="51"/>
  <c r="G143" i="51"/>
  <c r="N69" i="51"/>
  <c r="K69" i="51"/>
  <c r="V29" i="51"/>
  <c r="L45" i="51"/>
  <c r="L29" i="51"/>
  <c r="U29" i="51"/>
  <c r="K72" i="51"/>
  <c r="E72" i="51" s="1"/>
  <c r="N72" i="51"/>
  <c r="N85" i="51"/>
  <c r="K85" i="51"/>
  <c r="D150" i="51"/>
  <c r="K80" i="51"/>
  <c r="E80" i="51" s="1"/>
  <c r="N80" i="51"/>
  <c r="V34" i="51"/>
  <c r="N62" i="51"/>
  <c r="F136" i="51" s="1"/>
  <c r="N39" i="51"/>
  <c r="L22" i="51"/>
  <c r="N83" i="51"/>
  <c r="U39" i="51"/>
  <c r="L57" i="51"/>
  <c r="L35" i="51"/>
  <c r="D149" i="51"/>
  <c r="L52" i="51"/>
  <c r="L33" i="51"/>
  <c r="D110" i="51"/>
  <c r="G85" i="51"/>
  <c r="U34" i="51"/>
  <c r="K82" i="51"/>
  <c r="E82" i="51" s="1"/>
  <c r="N82" i="51"/>
  <c r="V38" i="51"/>
  <c r="K86" i="51"/>
  <c r="N86" i="51"/>
  <c r="H143" i="51"/>
  <c r="K70" i="51"/>
  <c r="N70" i="51"/>
  <c r="E148" i="51"/>
  <c r="G148" i="51" s="1"/>
  <c r="D148" i="51" s="1"/>
  <c r="P74" i="51"/>
  <c r="J74" i="51"/>
  <c r="U50" i="51"/>
  <c r="V33" i="51"/>
  <c r="L83" i="51"/>
  <c r="I83" i="51"/>
  <c r="Q89" i="51"/>
  <c r="V32" i="51"/>
  <c r="L55" i="51"/>
  <c r="L34" i="51"/>
  <c r="K88" i="51"/>
  <c r="E88" i="51" s="1"/>
  <c r="K75" i="51"/>
  <c r="N75" i="51"/>
  <c r="O39" i="51"/>
  <c r="O62" i="51"/>
  <c r="G136" i="51" s="1"/>
  <c r="K87" i="51"/>
  <c r="E87" i="51" s="1"/>
  <c r="D111" i="51"/>
  <c r="G86" i="51"/>
  <c r="V39" i="51"/>
  <c r="U32" i="51"/>
  <c r="V35" i="51"/>
  <c r="K79" i="51"/>
  <c r="N79" i="51"/>
  <c r="D144" i="51"/>
  <c r="O59" i="51"/>
  <c r="G133" i="51" s="1"/>
  <c r="O36" i="51"/>
  <c r="L19" i="51"/>
  <c r="V30" i="51"/>
  <c r="L75" i="51"/>
  <c r="I75" i="51"/>
  <c r="V31" i="51"/>
  <c r="K76" i="51"/>
  <c r="N76" i="51"/>
  <c r="N73" i="51"/>
  <c r="K73" i="51"/>
  <c r="E73" i="51" s="1"/>
  <c r="L32" i="51"/>
  <c r="L51" i="51"/>
  <c r="U30" i="51"/>
  <c r="I84" i="51"/>
  <c r="B50" i="59"/>
  <c r="C50" i="59"/>
  <c r="Q14" i="63"/>
  <c r="W14" i="63"/>
  <c r="R8" i="63"/>
  <c r="Q8" i="63"/>
  <c r="R4" i="63"/>
  <c r="Q17" i="63"/>
  <c r="X10" i="63"/>
  <c r="R10" i="63"/>
  <c r="W16" i="63"/>
  <c r="V22" i="63"/>
  <c r="V12" i="63"/>
  <c r="S21" i="63"/>
  <c r="W21" i="63"/>
  <c r="S16" i="63"/>
  <c r="W17" i="63"/>
  <c r="B42" i="59"/>
  <c r="V19" i="63"/>
  <c r="W19" i="63"/>
  <c r="S13" i="63"/>
  <c r="S4" i="63"/>
  <c r="Q4" i="63"/>
  <c r="W22" i="63"/>
  <c r="Q5" i="63"/>
  <c r="S15" i="63"/>
  <c r="Q16" i="63"/>
  <c r="V15" i="63"/>
  <c r="Q11" i="63"/>
  <c r="X14" i="63"/>
  <c r="S22" i="63"/>
  <c r="S14" i="63"/>
  <c r="X22" i="63"/>
  <c r="W11" i="63"/>
  <c r="V7" i="63"/>
  <c r="J5" i="63"/>
  <c r="S12" i="63"/>
  <c r="X11" i="63"/>
  <c r="Q18" i="63"/>
  <c r="R15" i="63"/>
  <c r="X19" i="63"/>
  <c r="X12" i="63"/>
  <c r="X6" i="63"/>
  <c r="V21" i="63"/>
  <c r="R6" i="63"/>
  <c r="R12" i="63"/>
  <c r="Q20" i="63"/>
  <c r="Q21" i="63"/>
  <c r="G35" i="51"/>
  <c r="G57" i="51"/>
  <c r="P13" i="22"/>
  <c r="P41" i="22"/>
  <c r="D124" i="51"/>
  <c r="H74" i="51"/>
  <c r="O69" i="22"/>
  <c r="O13" i="22"/>
  <c r="P25" i="22"/>
  <c r="S8" i="63"/>
  <c r="X8" i="63"/>
  <c r="I17" i="22" l="1"/>
  <c r="I25" i="22"/>
  <c r="D25" i="22"/>
  <c r="D17" i="22"/>
  <c r="I13" i="22"/>
  <c r="D13" i="22"/>
  <c r="C13" i="22" s="1"/>
  <c r="V10" i="63"/>
  <c r="U10" i="63"/>
  <c r="I6" i="63"/>
  <c r="V6" i="63" s="1"/>
  <c r="U20" i="63"/>
  <c r="U5" i="63"/>
  <c r="K17" i="63"/>
  <c r="S5" i="63"/>
  <c r="L89" i="51"/>
  <c r="N81" i="51"/>
  <c r="P89" i="51"/>
  <c r="H163" i="51"/>
  <c r="F163" i="51"/>
  <c r="E70" i="51"/>
  <c r="I89" i="51"/>
  <c r="J89" i="51"/>
  <c r="G139" i="51"/>
  <c r="L60" i="51"/>
  <c r="L37" i="51"/>
  <c r="F139" i="51"/>
  <c r="L38" i="51"/>
  <c r="K83" i="51"/>
  <c r="L36" i="51"/>
  <c r="L59" i="51"/>
  <c r="N74" i="51"/>
  <c r="K74" i="51"/>
  <c r="D126" i="51"/>
  <c r="H76" i="51"/>
  <c r="E76" i="51" s="1"/>
  <c r="L39" i="51"/>
  <c r="L62" i="51"/>
  <c r="E163" i="51"/>
  <c r="D143" i="51"/>
  <c r="G163" i="51"/>
  <c r="H79" i="51"/>
  <c r="E79" i="51" s="1"/>
  <c r="D129" i="51"/>
  <c r="H81" i="51"/>
  <c r="E81" i="51" s="1"/>
  <c r="D131" i="51"/>
  <c r="H85" i="51"/>
  <c r="E85" i="51" s="1"/>
  <c r="D135" i="51"/>
  <c r="H69" i="51"/>
  <c r="E69" i="51" s="1"/>
  <c r="D119" i="51"/>
  <c r="D125" i="51"/>
  <c r="H75" i="51"/>
  <c r="E75" i="51" s="1"/>
  <c r="R5" i="63"/>
  <c r="W5" i="63"/>
  <c r="C25" i="22"/>
  <c r="R10" i="58"/>
  <c r="Q41" i="22"/>
  <c r="Q13" i="22"/>
  <c r="S15" i="58"/>
  <c r="S22" i="58"/>
  <c r="R65" i="22"/>
  <c r="R25" i="22"/>
  <c r="R15" i="58"/>
  <c r="G81" i="51"/>
  <c r="G89" i="51" s="1"/>
  <c r="D106" i="51"/>
  <c r="S10" i="58"/>
  <c r="R41" i="22"/>
  <c r="R13" i="22"/>
  <c r="H17" i="22" l="1"/>
  <c r="C17" i="22"/>
  <c r="H25" i="22"/>
  <c r="H13" i="22"/>
  <c r="U6" i="63"/>
  <c r="Q6" i="63"/>
  <c r="U17" i="63"/>
  <c r="X17" i="63"/>
  <c r="S17" i="63"/>
  <c r="N89" i="51"/>
  <c r="D163" i="51"/>
  <c r="B157" i="51" s="1"/>
  <c r="D134" i="51"/>
  <c r="H84" i="51"/>
  <c r="E84" i="51" s="1"/>
  <c r="K89" i="51"/>
  <c r="E74" i="51"/>
  <c r="D133" i="51"/>
  <c r="H83" i="51"/>
  <c r="D136" i="51"/>
  <c r="H86" i="51"/>
  <c r="E86" i="51" s="1"/>
  <c r="T10" i="58"/>
  <c r="T15" i="58"/>
  <c r="B17" i="22"/>
  <c r="D114" i="51"/>
  <c r="B114" i="51" s="1"/>
  <c r="B25" i="22" l="1"/>
  <c r="N65" i="22" s="1"/>
  <c r="B13" i="22"/>
  <c r="N41" i="22" s="1"/>
  <c r="B147" i="51"/>
  <c r="B155" i="51"/>
  <c r="B152" i="51"/>
  <c r="B162" i="51"/>
  <c r="B161" i="51"/>
  <c r="B146" i="51"/>
  <c r="B143" i="51"/>
  <c r="B156" i="51"/>
  <c r="B150" i="51"/>
  <c r="B154" i="51"/>
  <c r="B163" i="51"/>
  <c r="B144" i="51"/>
  <c r="B160" i="51"/>
  <c r="B159" i="51"/>
  <c r="B148" i="51"/>
  <c r="B151" i="51"/>
  <c r="B153" i="51"/>
  <c r="B158" i="51"/>
  <c r="B149" i="51"/>
  <c r="B145" i="51"/>
  <c r="D139" i="51"/>
  <c r="B129" i="51" s="1"/>
  <c r="E83" i="51"/>
  <c r="E89" i="51" s="1"/>
  <c r="B89" i="51" s="1"/>
  <c r="H89" i="51"/>
  <c r="B101" i="51"/>
  <c r="B109" i="51"/>
  <c r="B106" i="51"/>
  <c r="B111" i="51"/>
  <c r="B107" i="51"/>
  <c r="B99" i="51"/>
  <c r="B97" i="51"/>
  <c r="B94" i="51"/>
  <c r="B102" i="51"/>
  <c r="B105" i="51"/>
  <c r="B112" i="51"/>
  <c r="B113" i="51"/>
  <c r="B96" i="51"/>
  <c r="B98" i="51"/>
  <c r="B103" i="51"/>
  <c r="N69" i="22"/>
  <c r="B108" i="51"/>
  <c r="B95" i="51"/>
  <c r="B100" i="51"/>
  <c r="B104" i="51"/>
  <c r="B110" i="51"/>
  <c r="B130" i="51" l="1"/>
  <c r="B70" i="51"/>
  <c r="B69" i="51"/>
  <c r="B82" i="51"/>
  <c r="B79" i="51"/>
  <c r="B85" i="51"/>
  <c r="B86" i="51"/>
  <c r="B84" i="51"/>
  <c r="B88" i="51"/>
  <c r="B74" i="51"/>
  <c r="B83" i="51"/>
  <c r="B80" i="51"/>
  <c r="B77" i="51"/>
  <c r="B73" i="51"/>
  <c r="B78" i="51"/>
  <c r="B75" i="51"/>
  <c r="B87" i="51"/>
  <c r="B71" i="51"/>
  <c r="B76" i="51"/>
  <c r="B119" i="51"/>
  <c r="B81" i="51"/>
  <c r="B72" i="51"/>
  <c r="B132" i="51"/>
  <c r="B137" i="51"/>
  <c r="B133" i="51"/>
  <c r="B125" i="51"/>
  <c r="B126" i="51"/>
  <c r="B127" i="51"/>
  <c r="B138" i="51"/>
  <c r="B122" i="51"/>
  <c r="B121" i="51"/>
  <c r="B124" i="51"/>
  <c r="B120" i="51"/>
  <c r="B123" i="51"/>
  <c r="B131" i="51"/>
  <c r="B135" i="51"/>
  <c r="B139" i="51"/>
  <c r="B128" i="51"/>
  <c r="B136" i="51"/>
  <c r="B134" i="51"/>
  <c r="C40" i="23" l="1"/>
  <c r="C44" i="23"/>
  <c r="B47" i="23"/>
  <c r="B40" i="23"/>
  <c r="B33" i="23"/>
  <c r="B38" i="23"/>
  <c r="D37" i="23"/>
  <c r="C49" i="23"/>
  <c r="C38" i="23"/>
  <c r="B44" i="23"/>
  <c r="B34" i="23"/>
  <c r="C32" i="23"/>
  <c r="B43" i="23"/>
  <c r="C48" i="23"/>
  <c r="C43" i="23"/>
  <c r="C37" i="23"/>
  <c r="C36" i="23"/>
  <c r="C41" i="23"/>
  <c r="B48" i="23"/>
  <c r="B36" i="23"/>
  <c r="B32" i="23"/>
  <c r="C39" i="23"/>
  <c r="C47" i="23"/>
  <c r="C45" i="23"/>
  <c r="B45" i="23"/>
  <c r="B46" i="23"/>
  <c r="B37" i="23"/>
  <c r="B49" i="23"/>
  <c r="C35" i="23"/>
  <c r="C34" i="23"/>
  <c r="C46" i="23"/>
  <c r="B39" i="23"/>
  <c r="B35" i="23"/>
  <c r="C33" i="23"/>
  <c r="B41" i="23"/>
  <c r="C43" i="59"/>
  <c r="D37" i="59"/>
  <c r="C36" i="59"/>
  <c r="C45" i="59"/>
  <c r="C35" i="59"/>
  <c r="B48" i="59"/>
  <c r="B49" i="59"/>
  <c r="B36" i="59"/>
  <c r="B44" i="59"/>
  <c r="B47" i="59"/>
  <c r="C48" i="59"/>
  <c r="B35" i="59"/>
  <c r="C47" i="59"/>
  <c r="C41" i="59"/>
  <c r="B43" i="59"/>
  <c r="B37" i="59"/>
  <c r="C33" i="59"/>
  <c r="C34" i="59"/>
  <c r="C46" i="59"/>
  <c r="B39" i="59"/>
  <c r="B45" i="59"/>
  <c r="B46" i="59"/>
  <c r="B33" i="59"/>
  <c r="C32" i="59"/>
  <c r="C49" i="59"/>
  <c r="C40" i="59"/>
  <c r="B38" i="59"/>
  <c r="B40" i="59"/>
  <c r="B32" i="59"/>
  <c r="C38" i="59"/>
  <c r="C44" i="59"/>
  <c r="B41" i="59"/>
  <c r="C37" i="59"/>
  <c r="B34" i="59"/>
  <c r="C39" i="59"/>
  <c r="E37" i="23" l="1"/>
  <c r="L39" i="23"/>
  <c r="L32" i="23"/>
  <c r="M39" i="23"/>
  <c r="B62" i="23"/>
  <c r="C95" i="23" s="1"/>
  <c r="E37" i="59"/>
  <c r="B61" i="59"/>
  <c r="U132" i="59" s="1"/>
  <c r="L32" i="59"/>
  <c r="L39" i="59"/>
  <c r="M39" i="59"/>
  <c r="M13" i="22" l="1"/>
  <c r="Q37" i="23"/>
  <c r="E62" i="23" s="1"/>
  <c r="I37" i="23"/>
  <c r="M37" i="23"/>
  <c r="J37" i="23"/>
  <c r="L37" i="23"/>
  <c r="N37" i="23"/>
  <c r="O37" i="23"/>
  <c r="P37" i="23"/>
  <c r="D62" i="23" s="1"/>
  <c r="H37" i="23"/>
  <c r="G37" i="23"/>
  <c r="R37" i="23"/>
  <c r="T37" i="23"/>
  <c r="F62" i="23" s="1"/>
  <c r="S37" i="23"/>
  <c r="U37" i="23"/>
  <c r="G62" i="23" s="1"/>
  <c r="J37" i="59"/>
  <c r="Q37" i="59"/>
  <c r="E61" i="59" s="1"/>
  <c r="X132" i="59" s="1"/>
  <c r="N37" i="59"/>
  <c r="T37" i="59"/>
  <c r="R37" i="59"/>
  <c r="M37" i="59"/>
  <c r="G37" i="59"/>
  <c r="H37" i="59"/>
  <c r="I37" i="59"/>
  <c r="P37" i="59"/>
  <c r="D61" i="59" s="1"/>
  <c r="W132" i="59" s="1"/>
  <c r="S37" i="59"/>
  <c r="U37" i="59"/>
  <c r="G61" i="59" s="1"/>
  <c r="L37" i="59"/>
  <c r="O37" i="59"/>
  <c r="O41" i="22" l="1"/>
  <c r="S41" i="22" s="1"/>
  <c r="S13" i="22"/>
  <c r="K37" i="23"/>
  <c r="F37" i="23"/>
  <c r="K37" i="59"/>
  <c r="W37" i="59" s="1"/>
  <c r="F95" i="23"/>
  <c r="F37" i="59"/>
  <c r="Z132" i="59"/>
  <c r="E95" i="23"/>
  <c r="G95" i="23"/>
  <c r="F61" i="59"/>
  <c r="Y132" i="59" s="1"/>
  <c r="C62" i="23" l="1"/>
  <c r="H62" i="23" s="1"/>
  <c r="C61" i="59"/>
  <c r="V132" i="59" s="1"/>
  <c r="AB132" i="59" s="1"/>
  <c r="V37" i="59"/>
  <c r="X37" i="59" s="1"/>
  <c r="H95" i="23"/>
  <c r="I62" i="23" l="1"/>
  <c r="J62" i="23" s="1"/>
  <c r="K62" i="23" s="1"/>
  <c r="D95" i="23"/>
  <c r="I95" i="23" s="1"/>
  <c r="H61" i="59"/>
  <c r="I61" i="59" s="1"/>
  <c r="J61" i="59" s="1"/>
  <c r="K61" i="59" s="1"/>
  <c r="T13" i="22" l="1"/>
  <c r="C31" i="59" l="1"/>
  <c r="C31" i="23"/>
  <c r="D45" i="23" l="1"/>
  <c r="E45" i="23" s="1"/>
  <c r="D45" i="59"/>
  <c r="D42" i="23" l="1"/>
  <c r="E42" i="23" s="1"/>
  <c r="E45" i="59"/>
  <c r="B56" i="59"/>
  <c r="U133" i="59" s="1"/>
  <c r="B57" i="23"/>
  <c r="C87" i="23" s="1"/>
  <c r="D42" i="59"/>
  <c r="L45" i="23" l="1"/>
  <c r="P45" i="23"/>
  <c r="N45" i="23"/>
  <c r="M45" i="23"/>
  <c r="H45" i="23"/>
  <c r="I45" i="23"/>
  <c r="J45" i="23"/>
  <c r="G45" i="23"/>
  <c r="O45" i="23"/>
  <c r="O45" i="59"/>
  <c r="P45" i="59"/>
  <c r="D56" i="59" s="1"/>
  <c r="W133" i="59" s="1"/>
  <c r="N45" i="59"/>
  <c r="M45" i="59"/>
  <c r="L45" i="59"/>
  <c r="J45" i="59"/>
  <c r="H45" i="59"/>
  <c r="I45" i="59"/>
  <c r="G45" i="59"/>
  <c r="B58" i="23"/>
  <c r="C89" i="23" s="1"/>
  <c r="B57" i="59"/>
  <c r="U131" i="59" s="1"/>
  <c r="E42" i="59"/>
  <c r="G16" i="22" l="1"/>
  <c r="F16" i="22"/>
  <c r="L16" i="22"/>
  <c r="K16" i="22"/>
  <c r="M16" i="22"/>
  <c r="O61" i="22" s="1"/>
  <c r="J16" i="22"/>
  <c r="F45" i="23"/>
  <c r="K45" i="23"/>
  <c r="H42" i="23"/>
  <c r="J42" i="23"/>
  <c r="M42" i="23"/>
  <c r="I42" i="23"/>
  <c r="L42" i="23"/>
  <c r="Q42" i="23"/>
  <c r="P42" i="23"/>
  <c r="G42" i="23"/>
  <c r="N42" i="23"/>
  <c r="O42" i="23"/>
  <c r="U42" i="23"/>
  <c r="S42" i="23"/>
  <c r="T42" i="23"/>
  <c r="R42" i="23"/>
  <c r="F45" i="59"/>
  <c r="D57" i="23"/>
  <c r="E87" i="23" s="1"/>
  <c r="K45" i="59"/>
  <c r="P16" i="22"/>
  <c r="M42" i="59"/>
  <c r="N42" i="59"/>
  <c r="P42" i="59"/>
  <c r="D57" i="59" s="1"/>
  <c r="W131" i="59" s="1"/>
  <c r="R42" i="59"/>
  <c r="T42" i="59"/>
  <c r="F57" i="59" s="1"/>
  <c r="Y131" i="59" s="1"/>
  <c r="J42" i="59"/>
  <c r="Q42" i="59"/>
  <c r="E57" i="59" s="1"/>
  <c r="X131" i="59" s="1"/>
  <c r="I42" i="59"/>
  <c r="O42" i="59"/>
  <c r="S42" i="59"/>
  <c r="U42" i="59"/>
  <c r="L42" i="59"/>
  <c r="H42" i="59"/>
  <c r="G42" i="59"/>
  <c r="D16" i="22" l="1"/>
  <c r="F42" i="23"/>
  <c r="K42" i="23"/>
  <c r="C56" i="59"/>
  <c r="V133" i="59" s="1"/>
  <c r="C57" i="23"/>
  <c r="D87" i="23" s="1"/>
  <c r="K42" i="59"/>
  <c r="W42" i="59" s="1"/>
  <c r="F58" i="23"/>
  <c r="G89" i="23" s="1"/>
  <c r="R16" i="22"/>
  <c r="S13" i="58"/>
  <c r="R61" i="22"/>
  <c r="E58" i="23"/>
  <c r="F89" i="23" s="1"/>
  <c r="D58" i="23"/>
  <c r="E89" i="23" s="1"/>
  <c r="G57" i="59"/>
  <c r="G58" i="23"/>
  <c r="F42" i="59"/>
  <c r="J15" i="22" l="1"/>
  <c r="L15" i="22"/>
  <c r="E15" i="22"/>
  <c r="M15" i="22"/>
  <c r="O53" i="22" s="1"/>
  <c r="G15" i="22"/>
  <c r="K15" i="22"/>
  <c r="F15" i="22"/>
  <c r="O15" i="22"/>
  <c r="Z131" i="59"/>
  <c r="C58" i="23"/>
  <c r="D89" i="23" s="1"/>
  <c r="H89" i="23"/>
  <c r="V42" i="59"/>
  <c r="X42" i="59" s="1"/>
  <c r="C57" i="59"/>
  <c r="V131" i="59" s="1"/>
  <c r="I15" i="22" l="1"/>
  <c r="H15" i="22" s="1"/>
  <c r="D15" i="22"/>
  <c r="I89" i="23"/>
  <c r="AB131" i="59"/>
  <c r="AC132" i="59" s="1"/>
  <c r="Q15" i="22"/>
  <c r="R12" i="58"/>
  <c r="Q53" i="22"/>
  <c r="H58" i="23"/>
  <c r="I58" i="23" s="1"/>
  <c r="J58" i="23" s="1"/>
  <c r="K58" i="23" s="1"/>
  <c r="H57" i="59"/>
  <c r="I57" i="59" s="1"/>
  <c r="J57" i="59" s="1"/>
  <c r="K57" i="59" s="1"/>
  <c r="C15" i="22" l="1"/>
  <c r="I16" i="22"/>
  <c r="I13" i="63"/>
  <c r="B15" i="22"/>
  <c r="H16" i="22" l="1"/>
  <c r="N53" i="22"/>
  <c r="V13" i="63"/>
  <c r="Q13" i="63"/>
  <c r="P19" i="22" l="1"/>
  <c r="J19" i="22" l="1"/>
  <c r="F19" i="22"/>
  <c r="G19" i="22"/>
  <c r="K19" i="22"/>
  <c r="L19" i="22"/>
  <c r="E19" i="22"/>
  <c r="R19" i="22"/>
  <c r="S17" i="58"/>
  <c r="R37" i="22"/>
  <c r="O10" i="22" l="1"/>
  <c r="L10" i="22" l="1"/>
  <c r="J10" i="22"/>
  <c r="M10" i="22"/>
  <c r="O67" i="22" s="1"/>
  <c r="E10" i="22"/>
  <c r="F10" i="22"/>
  <c r="G10" i="22"/>
  <c r="K10" i="22"/>
  <c r="P10" i="22"/>
  <c r="R7" i="58"/>
  <c r="Q10" i="22"/>
  <c r="Q67" i="22"/>
  <c r="D10" i="22" l="1"/>
  <c r="C10" i="22" s="1"/>
  <c r="I10" i="22"/>
  <c r="H10" i="22" s="1"/>
  <c r="M20" i="22"/>
  <c r="R10" i="22"/>
  <c r="S7" i="58"/>
  <c r="T7" i="58" s="1"/>
  <c r="R67" i="22"/>
  <c r="O57" i="22" l="1"/>
  <c r="E22" i="22"/>
  <c r="F24" i="22"/>
  <c r="G22" i="22"/>
  <c r="G21" i="22"/>
  <c r="J24" i="22"/>
  <c r="G20" i="22"/>
  <c r="F22" i="22"/>
  <c r="L21" i="22"/>
  <c r="F21" i="22"/>
  <c r="K24" i="22"/>
  <c r="L22" i="22"/>
  <c r="J20" i="22"/>
  <c r="E20" i="22"/>
  <c r="K20" i="22"/>
  <c r="J21" i="22"/>
  <c r="E24" i="22"/>
  <c r="L20" i="22"/>
  <c r="M21" i="22"/>
  <c r="O59" i="22" s="1"/>
  <c r="J22" i="22"/>
  <c r="K21" i="22"/>
  <c r="P24" i="22"/>
  <c r="R24" i="22" s="1"/>
  <c r="F20" i="22"/>
  <c r="K22" i="22"/>
  <c r="E21" i="22"/>
  <c r="P14" i="22"/>
  <c r="S21" i="58"/>
  <c r="P22" i="22"/>
  <c r="O14" i="22"/>
  <c r="B10" i="22"/>
  <c r="R39" i="22" l="1"/>
  <c r="K14" i="22"/>
  <c r="J14" i="22"/>
  <c r="F14" i="22"/>
  <c r="I21" i="22"/>
  <c r="D21" i="22"/>
  <c r="N14" i="22"/>
  <c r="P55" i="22" s="1"/>
  <c r="M14" i="22"/>
  <c r="O55" i="22" s="1"/>
  <c r="D22" i="22"/>
  <c r="J18" i="22"/>
  <c r="K18" i="22"/>
  <c r="I22" i="22"/>
  <c r="H22" i="22" s="1"/>
  <c r="F18" i="22"/>
  <c r="G14" i="22"/>
  <c r="E18" i="22"/>
  <c r="D20" i="22"/>
  <c r="I20" i="22"/>
  <c r="L14" i="22"/>
  <c r="E14" i="22"/>
  <c r="S11" i="58"/>
  <c r="R55" i="22"/>
  <c r="R14" i="22"/>
  <c r="N67" i="22"/>
  <c r="S20" i="58"/>
  <c r="R22" i="22"/>
  <c r="R63" i="22"/>
  <c r="Q14" i="22"/>
  <c r="R11" i="58"/>
  <c r="Q55" i="22"/>
  <c r="H21" i="22" l="1"/>
  <c r="C22" i="22"/>
  <c r="C21" i="22"/>
  <c r="C20" i="22"/>
  <c r="I18" i="22"/>
  <c r="I14" i="22"/>
  <c r="G12" i="22"/>
  <c r="F12" i="22"/>
  <c r="J12" i="22"/>
  <c r="H20" i="22"/>
  <c r="E12" i="22"/>
  <c r="D18" i="22"/>
  <c r="M12" i="22"/>
  <c r="L12" i="22"/>
  <c r="D14" i="22"/>
  <c r="K12" i="22"/>
  <c r="B21" i="22"/>
  <c r="B22" i="22"/>
  <c r="T11" i="58"/>
  <c r="H14" i="22" l="1"/>
  <c r="C14" i="22"/>
  <c r="S14" i="22" s="1"/>
  <c r="B20" i="22"/>
  <c r="N57" i="22" s="1"/>
  <c r="F8" i="22"/>
  <c r="D12" i="22"/>
  <c r="I12" i="22"/>
  <c r="H12" i="22" s="1"/>
  <c r="O45" i="22"/>
  <c r="E8" i="22"/>
  <c r="G8" i="22"/>
  <c r="N8" i="22"/>
  <c r="M8" i="22"/>
  <c r="O43" i="22" s="1"/>
  <c r="K8" i="22"/>
  <c r="J8" i="22"/>
  <c r="L8" i="22"/>
  <c r="B31" i="23"/>
  <c r="D32" i="23"/>
  <c r="E32" i="23" s="1"/>
  <c r="J13" i="63"/>
  <c r="N63" i="22"/>
  <c r="N59" i="22"/>
  <c r="B31" i="59"/>
  <c r="E16" i="22"/>
  <c r="P8" i="22"/>
  <c r="B14" i="22"/>
  <c r="O8" i="22"/>
  <c r="D32" i="59"/>
  <c r="I23" i="26" l="1"/>
  <c r="C12" i="22"/>
  <c r="P43" i="22"/>
  <c r="I8" i="22"/>
  <c r="H8" i="22" s="1"/>
  <c r="N55" i="22"/>
  <c r="S55" i="22" s="1"/>
  <c r="E32" i="59"/>
  <c r="B59" i="59"/>
  <c r="U130" i="59" s="1"/>
  <c r="R8" i="22"/>
  <c r="R43" i="22"/>
  <c r="S5" i="58"/>
  <c r="D8" i="22"/>
  <c r="R13" i="63"/>
  <c r="W13" i="63"/>
  <c r="U13" i="63"/>
  <c r="R5" i="58"/>
  <c r="Q8" i="22"/>
  <c r="Q43" i="22"/>
  <c r="C16" i="22"/>
  <c r="B60" i="23"/>
  <c r="B12" i="22" l="1"/>
  <c r="N45" i="22" s="1"/>
  <c r="M32" i="23"/>
  <c r="G32" i="23"/>
  <c r="N32" i="23"/>
  <c r="Q32" i="23"/>
  <c r="J32" i="23"/>
  <c r="H32" i="23"/>
  <c r="I32" i="23"/>
  <c r="P32" i="23"/>
  <c r="O32" i="23"/>
  <c r="T32" i="23"/>
  <c r="R32" i="23"/>
  <c r="S32" i="23"/>
  <c r="U32" i="23"/>
  <c r="U55" i="22"/>
  <c r="C8" i="22"/>
  <c r="J32" i="59"/>
  <c r="B16" i="22"/>
  <c r="T32" i="59"/>
  <c r="R32" i="59"/>
  <c r="U32" i="59"/>
  <c r="G59" i="59" s="1"/>
  <c r="S32" i="59"/>
  <c r="G32" i="59"/>
  <c r="O32" i="59"/>
  <c r="H32" i="59"/>
  <c r="C93" i="23"/>
  <c r="P32" i="59"/>
  <c r="D59" i="59" s="1"/>
  <c r="W130" i="59" s="1"/>
  <c r="N32" i="59"/>
  <c r="Q32" i="59"/>
  <c r="E59" i="59" s="1"/>
  <c r="X130" i="59" s="1"/>
  <c r="I32" i="59"/>
  <c r="T5" i="58"/>
  <c r="M32" i="59"/>
  <c r="K32" i="23" l="1"/>
  <c r="F32" i="23"/>
  <c r="B8" i="22"/>
  <c r="S8" i="22"/>
  <c r="D60" i="23"/>
  <c r="E93" i="23" s="1"/>
  <c r="K32" i="59"/>
  <c r="W32" i="59" s="1"/>
  <c r="E60" i="23"/>
  <c r="F93" i="23" s="1"/>
  <c r="F59" i="59"/>
  <c r="Y130" i="59" s="1"/>
  <c r="F32" i="59"/>
  <c r="Z130" i="59"/>
  <c r="F60" i="23"/>
  <c r="G93" i="23" s="1"/>
  <c r="N61" i="22"/>
  <c r="G60" i="23"/>
  <c r="N43" i="22" l="1"/>
  <c r="S43" i="22" s="1"/>
  <c r="H93" i="23"/>
  <c r="C60" i="23"/>
  <c r="D93" i="23" s="1"/>
  <c r="C59" i="59"/>
  <c r="V130" i="59" s="1"/>
  <c r="AB130" i="59" s="1"/>
  <c r="V32" i="59"/>
  <c r="X32" i="59" s="1"/>
  <c r="N7" i="22" l="1"/>
  <c r="P33" i="22" s="1"/>
  <c r="N9" i="22"/>
  <c r="P35" i="22" s="1"/>
  <c r="D33" i="23"/>
  <c r="E33" i="23" s="1"/>
  <c r="D31" i="23"/>
  <c r="E31" i="23" s="1"/>
  <c r="U43" i="22"/>
  <c r="H59" i="59"/>
  <c r="I59" i="59" s="1"/>
  <c r="J59" i="59" s="1"/>
  <c r="K59" i="59" s="1"/>
  <c r="H60" i="23"/>
  <c r="P7" i="22"/>
  <c r="P9" i="22"/>
  <c r="AC131" i="59"/>
  <c r="D33" i="59"/>
  <c r="I93" i="23"/>
  <c r="D31" i="59"/>
  <c r="L9" i="22" l="1"/>
  <c r="G9" i="22"/>
  <c r="M9" i="22"/>
  <c r="J9" i="22"/>
  <c r="F9" i="22"/>
  <c r="K9" i="22"/>
  <c r="E9" i="22"/>
  <c r="I60" i="23"/>
  <c r="J60" i="23" s="1"/>
  <c r="K60" i="23" s="1"/>
  <c r="T8" i="22"/>
  <c r="B64" i="23"/>
  <c r="E7" i="22"/>
  <c r="J7" i="22"/>
  <c r="M7" i="22"/>
  <c r="O9" i="22"/>
  <c r="F7" i="22"/>
  <c r="O7" i="22"/>
  <c r="G7" i="22"/>
  <c r="B63" i="59"/>
  <c r="U141" i="59" s="1"/>
  <c r="E31" i="59"/>
  <c r="K7" i="22"/>
  <c r="B69" i="59"/>
  <c r="U140" i="59" s="1"/>
  <c r="E33" i="59"/>
  <c r="B73" i="23"/>
  <c r="C115" i="23" s="1"/>
  <c r="L7" i="22"/>
  <c r="S6" i="58"/>
  <c r="R35" i="22"/>
  <c r="R9" i="22"/>
  <c r="R33" i="22"/>
  <c r="R7" i="22"/>
  <c r="O35" i="22" l="1"/>
  <c r="I9" i="22"/>
  <c r="H9" i="22" s="1"/>
  <c r="I31" i="23"/>
  <c r="N31" i="23"/>
  <c r="L31" i="23"/>
  <c r="H31" i="23"/>
  <c r="G33" i="23"/>
  <c r="L33" i="23"/>
  <c r="G31" i="23"/>
  <c r="M31" i="23"/>
  <c r="O31" i="23"/>
  <c r="J33" i="23"/>
  <c r="N33" i="23"/>
  <c r="I33" i="23"/>
  <c r="O33" i="23"/>
  <c r="H33" i="23"/>
  <c r="Q33" i="23"/>
  <c r="P33" i="23"/>
  <c r="M33" i="23"/>
  <c r="Q31" i="23"/>
  <c r="P31" i="23"/>
  <c r="J31" i="23"/>
  <c r="S31" i="23"/>
  <c r="U31" i="23"/>
  <c r="R31" i="23"/>
  <c r="T31" i="23"/>
  <c r="U33" i="23"/>
  <c r="S33" i="23"/>
  <c r="T33" i="23"/>
  <c r="R33" i="23"/>
  <c r="D9" i="22"/>
  <c r="C103" i="23"/>
  <c r="M31" i="59"/>
  <c r="N31" i="59"/>
  <c r="Q33" i="59"/>
  <c r="E69" i="59" s="1"/>
  <c r="X140" i="59" s="1"/>
  <c r="I7" i="22"/>
  <c r="M33" i="59"/>
  <c r="U33" i="59"/>
  <c r="G69" i="59" s="1"/>
  <c r="S33" i="59"/>
  <c r="O33" i="59"/>
  <c r="L31" i="59"/>
  <c r="Q9" i="22"/>
  <c r="R6" i="58"/>
  <c r="T6" i="58" s="1"/>
  <c r="Q35" i="22"/>
  <c r="S4" i="58"/>
  <c r="H33" i="59"/>
  <c r="N33" i="59"/>
  <c r="O31" i="59"/>
  <c r="I33" i="59"/>
  <c r="L33" i="59"/>
  <c r="J31" i="59"/>
  <c r="I31" i="59"/>
  <c r="P33" i="59"/>
  <c r="D69" i="59" s="1"/>
  <c r="W140" i="59" s="1"/>
  <c r="Q31" i="59"/>
  <c r="E63" i="59" s="1"/>
  <c r="X141" i="59" s="1"/>
  <c r="O33" i="22"/>
  <c r="U31" i="59"/>
  <c r="G63" i="59" s="1"/>
  <c r="Z141" i="59" s="1"/>
  <c r="S31" i="59"/>
  <c r="P31" i="59"/>
  <c r="D63" i="59" s="1"/>
  <c r="W141" i="59" s="1"/>
  <c r="D7" i="22"/>
  <c r="G33" i="59"/>
  <c r="J33" i="59"/>
  <c r="R31" i="59"/>
  <c r="T31" i="59"/>
  <c r="Q33" i="22"/>
  <c r="Q7" i="22"/>
  <c r="T33" i="59"/>
  <c r="R33" i="59"/>
  <c r="H31" i="59"/>
  <c r="G31" i="59"/>
  <c r="F33" i="23" l="1"/>
  <c r="K31" i="23"/>
  <c r="F31" i="23"/>
  <c r="K33" i="23"/>
  <c r="D48" i="23"/>
  <c r="E48" i="23" s="1"/>
  <c r="K31" i="59"/>
  <c r="W31" i="59" s="1"/>
  <c r="F33" i="59"/>
  <c r="D64" i="23"/>
  <c r="E103" i="23" s="1"/>
  <c r="R4" i="58"/>
  <c r="T4" i="58" s="1"/>
  <c r="Z140" i="59"/>
  <c r="F64" i="23"/>
  <c r="G103" i="23" s="1"/>
  <c r="C7" i="22"/>
  <c r="E64" i="23"/>
  <c r="F103" i="23" s="1"/>
  <c r="K33" i="59"/>
  <c r="W33" i="59" s="1"/>
  <c r="C9" i="22"/>
  <c r="F73" i="23"/>
  <c r="G115" i="23" s="1"/>
  <c r="G64" i="23"/>
  <c r="E73" i="23"/>
  <c r="F115" i="23" s="1"/>
  <c r="F63" i="59"/>
  <c r="Y141" i="59" s="1"/>
  <c r="D73" i="23"/>
  <c r="E115" i="23" s="1"/>
  <c r="F69" i="59"/>
  <c r="Y140" i="59" s="1"/>
  <c r="F31" i="59"/>
  <c r="G73" i="23"/>
  <c r="H115" i="23" s="1"/>
  <c r="H7" i="22"/>
  <c r="D48" i="59"/>
  <c r="C63" i="59" l="1"/>
  <c r="V141" i="59" s="1"/>
  <c r="AB141" i="59" s="1"/>
  <c r="C73" i="23"/>
  <c r="D115" i="23" s="1"/>
  <c r="I115" i="23" s="1"/>
  <c r="V33" i="59"/>
  <c r="X33" i="59" s="1"/>
  <c r="C69" i="59"/>
  <c r="V140" i="59" s="1"/>
  <c r="AB140" i="59" s="1"/>
  <c r="B75" i="23"/>
  <c r="C125" i="23" s="1"/>
  <c r="V31" i="59"/>
  <c r="B9" i="22"/>
  <c r="S9" i="22"/>
  <c r="B74" i="59"/>
  <c r="E48" i="59"/>
  <c r="C64" i="23"/>
  <c r="D103" i="23" s="1"/>
  <c r="B7" i="22"/>
  <c r="S7" i="22"/>
  <c r="H103" i="23"/>
  <c r="M48" i="23" l="1"/>
  <c r="I48" i="23"/>
  <c r="L48" i="23"/>
  <c r="Q48" i="23"/>
  <c r="D41" i="23"/>
  <c r="E41" i="23" s="1"/>
  <c r="O48" i="23"/>
  <c r="N48" i="23"/>
  <c r="J48" i="23"/>
  <c r="H48" i="23"/>
  <c r="P48" i="23"/>
  <c r="G48" i="23"/>
  <c r="S48" i="23"/>
  <c r="U48" i="23"/>
  <c r="T48" i="23"/>
  <c r="R48" i="23"/>
  <c r="H63" i="59"/>
  <c r="I63" i="59" s="1"/>
  <c r="J63" i="59" s="1"/>
  <c r="K63" i="59" s="1"/>
  <c r="H73" i="23"/>
  <c r="H69" i="59"/>
  <c r="I69" i="59" s="1"/>
  <c r="J69" i="59" s="1"/>
  <c r="K69" i="59" s="1"/>
  <c r="I103" i="23"/>
  <c r="P17" i="22"/>
  <c r="O48" i="59"/>
  <c r="N33" i="22"/>
  <c r="S33" i="22" s="1"/>
  <c r="X31" i="59"/>
  <c r="AC141" i="59"/>
  <c r="Q48" i="59"/>
  <c r="E74" i="59" s="1"/>
  <c r="R48" i="59"/>
  <c r="T48" i="59"/>
  <c r="N48" i="59"/>
  <c r="H48" i="59"/>
  <c r="H64" i="23"/>
  <c r="M48" i="59"/>
  <c r="I48" i="59"/>
  <c r="G48" i="59"/>
  <c r="P48" i="59"/>
  <c r="D74" i="59" s="1"/>
  <c r="L48" i="59"/>
  <c r="N35" i="22"/>
  <c r="S35" i="22" s="1"/>
  <c r="U48" i="59"/>
  <c r="G74" i="59" s="1"/>
  <c r="S48" i="59"/>
  <c r="J48" i="59"/>
  <c r="D41" i="59"/>
  <c r="F48" i="23" l="1"/>
  <c r="K48" i="23"/>
  <c r="I73" i="23"/>
  <c r="J73" i="23" s="1"/>
  <c r="K73" i="23" s="1"/>
  <c r="U35" i="22"/>
  <c r="T9" i="22"/>
  <c r="F74" i="59"/>
  <c r="K48" i="59"/>
  <c r="W48" i="59" s="1"/>
  <c r="D75" i="23"/>
  <c r="E125" i="23" s="1"/>
  <c r="O17" i="22"/>
  <c r="G75" i="23"/>
  <c r="B67" i="59"/>
  <c r="U136" i="59" s="1"/>
  <c r="E41" i="59"/>
  <c r="F75" i="23"/>
  <c r="G125" i="23" s="1"/>
  <c r="N17" i="22"/>
  <c r="B69" i="23"/>
  <c r="C111" i="23" s="1"/>
  <c r="T7" i="22"/>
  <c r="I64" i="23"/>
  <c r="J64" i="23" s="1"/>
  <c r="K64" i="23" s="1"/>
  <c r="S14" i="58"/>
  <c r="R17" i="22"/>
  <c r="R69" i="22"/>
  <c r="F48" i="59"/>
  <c r="E75" i="23"/>
  <c r="F125" i="23" s="1"/>
  <c r="G41" i="23" l="1"/>
  <c r="L41" i="23"/>
  <c r="J41" i="23"/>
  <c r="Q41" i="23"/>
  <c r="I41" i="23"/>
  <c r="N41" i="23"/>
  <c r="O41" i="23"/>
  <c r="P41" i="23"/>
  <c r="M41" i="23"/>
  <c r="H41" i="23"/>
  <c r="T41" i="23"/>
  <c r="R41" i="23"/>
  <c r="U41" i="23"/>
  <c r="S41" i="23"/>
  <c r="C74" i="59"/>
  <c r="H74" i="59" s="1"/>
  <c r="I74" i="59" s="1"/>
  <c r="J74" i="59" s="1"/>
  <c r="K74" i="59" s="1"/>
  <c r="C75" i="23"/>
  <c r="D125" i="23" s="1"/>
  <c r="R14" i="58"/>
  <c r="T14" i="58" s="1"/>
  <c r="Q17" i="22"/>
  <c r="Q69" i="22"/>
  <c r="J41" i="59"/>
  <c r="H41" i="59"/>
  <c r="I41" i="59"/>
  <c r="Q41" i="59"/>
  <c r="E67" i="59" s="1"/>
  <c r="X136" i="59" s="1"/>
  <c r="R41" i="59"/>
  <c r="T41" i="59"/>
  <c r="S17" i="22"/>
  <c r="P41" i="59"/>
  <c r="D67" i="59" s="1"/>
  <c r="W136" i="59" s="1"/>
  <c r="H125" i="23"/>
  <c r="L41" i="59"/>
  <c r="V48" i="59"/>
  <c r="X48" i="59" s="1"/>
  <c r="N41" i="59"/>
  <c r="U41" i="59"/>
  <c r="G67" i="59" s="1"/>
  <c r="S41" i="59"/>
  <c r="G41" i="59"/>
  <c r="P69" i="22"/>
  <c r="O41" i="59"/>
  <c r="M41" i="59"/>
  <c r="N25" i="22" l="1"/>
  <c r="F41" i="23"/>
  <c r="K41" i="23"/>
  <c r="D50" i="23"/>
  <c r="E50" i="23" s="1"/>
  <c r="S69" i="22"/>
  <c r="U71" i="22" s="1"/>
  <c r="I125" i="23"/>
  <c r="H75" i="23"/>
  <c r="F41" i="59"/>
  <c r="F69" i="23"/>
  <c r="G111" i="23" s="1"/>
  <c r="G69" i="23"/>
  <c r="E69" i="23"/>
  <c r="F111" i="23" s="1"/>
  <c r="K41" i="59"/>
  <c r="W41" i="59" s="1"/>
  <c r="P65" i="22"/>
  <c r="D69" i="23"/>
  <c r="E111" i="23" s="1"/>
  <c r="Z136" i="59"/>
  <c r="F67" i="59"/>
  <c r="Y136" i="59" s="1"/>
  <c r="D50" i="59"/>
  <c r="D46" i="23" l="1"/>
  <c r="E46" i="23" s="1"/>
  <c r="T23" i="22"/>
  <c r="I75" i="23"/>
  <c r="J75" i="23" s="1"/>
  <c r="K75" i="23" s="1"/>
  <c r="V41" i="59"/>
  <c r="X41" i="59" s="1"/>
  <c r="C69" i="23"/>
  <c r="D111" i="23" s="1"/>
  <c r="P21" i="22"/>
  <c r="B70" i="23"/>
  <c r="C113" i="23" s="1"/>
  <c r="H111" i="23"/>
  <c r="O25" i="22"/>
  <c r="M25" i="22"/>
  <c r="B68" i="59"/>
  <c r="E50" i="59"/>
  <c r="C67" i="59"/>
  <c r="D46" i="59"/>
  <c r="N22" i="22" l="1"/>
  <c r="P63" i="22" s="1"/>
  <c r="Q50" i="23"/>
  <c r="H50" i="23"/>
  <c r="J50" i="23"/>
  <c r="M50" i="23"/>
  <c r="I50" i="23"/>
  <c r="D47" i="23"/>
  <c r="E47" i="23" s="1"/>
  <c r="G50" i="23"/>
  <c r="L50" i="23"/>
  <c r="N50" i="23"/>
  <c r="P50" i="23"/>
  <c r="O50" i="23"/>
  <c r="R50" i="23"/>
  <c r="T50" i="23"/>
  <c r="U50" i="23"/>
  <c r="S50" i="23"/>
  <c r="H69" i="23"/>
  <c r="I111" i="23"/>
  <c r="J50" i="59"/>
  <c r="R50" i="59"/>
  <c r="T50" i="59"/>
  <c r="R59" i="22"/>
  <c r="R21" i="22"/>
  <c r="S19" i="58"/>
  <c r="H50" i="59"/>
  <c r="N21" i="22"/>
  <c r="M50" i="59"/>
  <c r="B72" i="23"/>
  <c r="C121" i="23" s="1"/>
  <c r="V136" i="59"/>
  <c r="AB136" i="59" s="1"/>
  <c r="H67" i="59"/>
  <c r="I67" i="59" s="1"/>
  <c r="J67" i="59" s="1"/>
  <c r="K67" i="59" s="1"/>
  <c r="O65" i="22"/>
  <c r="P50" i="59"/>
  <c r="D68" i="59" s="1"/>
  <c r="G50" i="59"/>
  <c r="O21" i="22"/>
  <c r="S50" i="59"/>
  <c r="U50" i="59"/>
  <c r="G68" i="59" s="1"/>
  <c r="N50" i="59"/>
  <c r="Q65" i="22"/>
  <c r="Q25" i="22"/>
  <c r="R22" i="58"/>
  <c r="T22" i="58" s="1"/>
  <c r="S25" i="22"/>
  <c r="I50" i="59"/>
  <c r="O50" i="59"/>
  <c r="Q50" i="59"/>
  <c r="E68" i="59" s="1"/>
  <c r="L50" i="59"/>
  <c r="E46" i="59"/>
  <c r="B72" i="59"/>
  <c r="U146" i="59" s="1"/>
  <c r="D47" i="59"/>
  <c r="K50" i="23" l="1"/>
  <c r="F50" i="23"/>
  <c r="I46" i="23"/>
  <c r="O46" i="23"/>
  <c r="N46" i="23"/>
  <c r="L46" i="23"/>
  <c r="H46" i="23"/>
  <c r="G46" i="23"/>
  <c r="J46" i="23"/>
  <c r="M46" i="23"/>
  <c r="Q46" i="23"/>
  <c r="P46" i="23"/>
  <c r="R46" i="23"/>
  <c r="T46" i="23"/>
  <c r="S46" i="23"/>
  <c r="U46" i="23"/>
  <c r="I69" i="23"/>
  <c r="J69" i="23" s="1"/>
  <c r="K69" i="23" s="1"/>
  <c r="S21" i="22"/>
  <c r="T17" i="22"/>
  <c r="I46" i="59"/>
  <c r="M22" i="22"/>
  <c r="F50" i="59"/>
  <c r="Q46" i="59"/>
  <c r="E72" i="59" s="1"/>
  <c r="X146" i="59" s="1"/>
  <c r="O22" i="22"/>
  <c r="D70" i="23"/>
  <c r="E113" i="23" s="1"/>
  <c r="P46" i="59"/>
  <c r="D72" i="59" s="1"/>
  <c r="W146" i="59" s="1"/>
  <c r="H46" i="59"/>
  <c r="G46" i="59"/>
  <c r="G70" i="23"/>
  <c r="S46" i="59"/>
  <c r="U46" i="59"/>
  <c r="G72" i="59" s="1"/>
  <c r="R46" i="59"/>
  <c r="T46" i="59"/>
  <c r="B65" i="23"/>
  <c r="C105" i="23" s="1"/>
  <c r="K50" i="59"/>
  <c r="W50" i="59" s="1"/>
  <c r="R19" i="58"/>
  <c r="T19" i="58" s="1"/>
  <c r="Q59" i="22"/>
  <c r="Q21" i="22"/>
  <c r="S65" i="22"/>
  <c r="J46" i="59"/>
  <c r="M46" i="59"/>
  <c r="F68" i="59"/>
  <c r="L46" i="59"/>
  <c r="O20" i="22"/>
  <c r="N46" i="59"/>
  <c r="E70" i="23"/>
  <c r="F113" i="23" s="1"/>
  <c r="B64" i="59"/>
  <c r="U135" i="59" s="1"/>
  <c r="E47" i="59"/>
  <c r="O46" i="59"/>
  <c r="P59" i="22"/>
  <c r="F70" i="23"/>
  <c r="G113" i="23" s="1"/>
  <c r="N18" i="22" l="1"/>
  <c r="F46" i="23"/>
  <c r="K46" i="23"/>
  <c r="I47" i="23"/>
  <c r="D43" i="23"/>
  <c r="E43" i="23" s="1"/>
  <c r="N47" i="23"/>
  <c r="O47" i="23"/>
  <c r="L47" i="23"/>
  <c r="H47" i="23"/>
  <c r="M47" i="23"/>
  <c r="Q47" i="23"/>
  <c r="P47" i="23"/>
  <c r="J47" i="23"/>
  <c r="G47" i="23"/>
  <c r="S47" i="23"/>
  <c r="U47" i="23"/>
  <c r="R47" i="23"/>
  <c r="T47" i="23"/>
  <c r="R45" i="23"/>
  <c r="T45" i="23"/>
  <c r="U65" i="22"/>
  <c r="V50" i="59"/>
  <c r="X50" i="59" s="1"/>
  <c r="C70" i="23"/>
  <c r="D113" i="23" s="1"/>
  <c r="C68" i="59"/>
  <c r="H68" i="59" s="1"/>
  <c r="I68" i="59" s="1"/>
  <c r="J68" i="59" s="1"/>
  <c r="K68" i="59" s="1"/>
  <c r="R45" i="59"/>
  <c r="T45" i="59"/>
  <c r="G72" i="23"/>
  <c r="Q22" i="22"/>
  <c r="Q63" i="22"/>
  <c r="R20" i="58"/>
  <c r="T20" i="58" s="1"/>
  <c r="S22" i="22"/>
  <c r="T47" i="59"/>
  <c r="R47" i="59"/>
  <c r="J47" i="59"/>
  <c r="Z146" i="59"/>
  <c r="Q47" i="59"/>
  <c r="E64" i="59" s="1"/>
  <c r="X135" i="59" s="1"/>
  <c r="O63" i="22"/>
  <c r="H47" i="59"/>
  <c r="M47" i="59"/>
  <c r="N47" i="59"/>
  <c r="I47" i="59"/>
  <c r="O47" i="59"/>
  <c r="G47" i="59"/>
  <c r="P18" i="22"/>
  <c r="U47" i="59"/>
  <c r="G64" i="59" s="1"/>
  <c r="S47" i="59"/>
  <c r="P47" i="59"/>
  <c r="D64" i="59" s="1"/>
  <c r="W135" i="59" s="1"/>
  <c r="P20" i="22"/>
  <c r="F72" i="59"/>
  <c r="Y146" i="59" s="1"/>
  <c r="E72" i="23"/>
  <c r="F121" i="23" s="1"/>
  <c r="D72" i="23"/>
  <c r="E121" i="23" s="1"/>
  <c r="Q57" i="22"/>
  <c r="R18" i="58"/>
  <c r="Q20" i="22"/>
  <c r="F72" i="23"/>
  <c r="G121" i="23" s="1"/>
  <c r="P49" i="22"/>
  <c r="S59" i="22"/>
  <c r="K46" i="59"/>
  <c r="W46" i="59" s="1"/>
  <c r="F46" i="59"/>
  <c r="H113" i="23"/>
  <c r="L47" i="59"/>
  <c r="D43" i="59"/>
  <c r="M18" i="22" l="1"/>
  <c r="F47" i="23"/>
  <c r="K47" i="23"/>
  <c r="D36" i="23"/>
  <c r="E36" i="23" s="1"/>
  <c r="Q45" i="23"/>
  <c r="U45" i="23"/>
  <c r="S45" i="23"/>
  <c r="S63" i="22"/>
  <c r="U63" i="22" s="1"/>
  <c r="C72" i="23"/>
  <c r="D121" i="23" s="1"/>
  <c r="H70" i="23"/>
  <c r="I70" i="23" s="1"/>
  <c r="J70" i="23" s="1"/>
  <c r="K70" i="23" s="1"/>
  <c r="I113" i="23"/>
  <c r="F56" i="59"/>
  <c r="Y133" i="59" s="1"/>
  <c r="R49" i="22"/>
  <c r="S16" i="58"/>
  <c r="R18" i="22"/>
  <c r="F47" i="59"/>
  <c r="F64" i="59"/>
  <c r="Y135" i="59" s="1"/>
  <c r="V46" i="59"/>
  <c r="X46" i="59" s="1"/>
  <c r="K47" i="59"/>
  <c r="W47" i="59" s="1"/>
  <c r="H121" i="23"/>
  <c r="Q45" i="59"/>
  <c r="E56" i="59" s="1"/>
  <c r="X133" i="59" s="1"/>
  <c r="G65" i="23"/>
  <c r="F57" i="23"/>
  <c r="G87" i="23" s="1"/>
  <c r="P12" i="22"/>
  <c r="B66" i="23"/>
  <c r="C107" i="23" s="1"/>
  <c r="Z135" i="59"/>
  <c r="N20" i="22"/>
  <c r="S20" i="22" s="1"/>
  <c r="B65" i="59"/>
  <c r="U142" i="59" s="1"/>
  <c r="E43" i="59"/>
  <c r="C72" i="59"/>
  <c r="V146" i="59" s="1"/>
  <c r="AB143" i="59" s="1"/>
  <c r="O18" i="22"/>
  <c r="R57" i="22"/>
  <c r="R20" i="22"/>
  <c r="S18" i="58"/>
  <c r="T18" i="58" s="1"/>
  <c r="F65" i="23"/>
  <c r="G105" i="23" s="1"/>
  <c r="S45" i="59"/>
  <c r="U45" i="59"/>
  <c r="D65" i="23"/>
  <c r="E105" i="23" s="1"/>
  <c r="E65" i="23"/>
  <c r="F105" i="23" s="1"/>
  <c r="O49" i="22"/>
  <c r="D36" i="59"/>
  <c r="L18" i="22" l="1"/>
  <c r="G43" i="23"/>
  <c r="N43" i="23"/>
  <c r="M43" i="23"/>
  <c r="I43" i="23"/>
  <c r="J43" i="23"/>
  <c r="O43" i="23"/>
  <c r="H43" i="23"/>
  <c r="Q43" i="23"/>
  <c r="P43" i="23"/>
  <c r="L43" i="23"/>
  <c r="U43" i="23"/>
  <c r="S43" i="23"/>
  <c r="R43" i="23"/>
  <c r="T43" i="23"/>
  <c r="H72" i="23"/>
  <c r="I121" i="23"/>
  <c r="C64" i="59"/>
  <c r="V135" i="59" s="1"/>
  <c r="AB135" i="59" s="1"/>
  <c r="H105" i="23"/>
  <c r="Q43" i="59"/>
  <c r="E65" i="59" s="1"/>
  <c r="X142" i="59" s="1"/>
  <c r="B61" i="23"/>
  <c r="C97" i="23" s="1"/>
  <c r="O12" i="22"/>
  <c r="C65" i="23"/>
  <c r="D105" i="23" s="1"/>
  <c r="U43" i="59"/>
  <c r="G65" i="59" s="1"/>
  <c r="S43" i="59"/>
  <c r="G56" i="59"/>
  <c r="W45" i="59"/>
  <c r="E36" i="59"/>
  <c r="B60" i="59"/>
  <c r="U138" i="59" s="1"/>
  <c r="N12" i="22"/>
  <c r="R45" i="22"/>
  <c r="R12" i="22"/>
  <c r="S9" i="58"/>
  <c r="E57" i="23"/>
  <c r="F87" i="23" s="1"/>
  <c r="G43" i="59"/>
  <c r="I43" i="59"/>
  <c r="N43" i="59"/>
  <c r="V45" i="59"/>
  <c r="X45" i="59" s="1"/>
  <c r="H43" i="59"/>
  <c r="Q49" i="22"/>
  <c r="Q18" i="22"/>
  <c r="R16" i="58"/>
  <c r="T16" i="58" s="1"/>
  <c r="M43" i="59"/>
  <c r="P43" i="59"/>
  <c r="D65" i="59" s="1"/>
  <c r="W142" i="59" s="1"/>
  <c r="P57" i="22"/>
  <c r="S57" i="22" s="1"/>
  <c r="J43" i="59"/>
  <c r="O43" i="59"/>
  <c r="G57" i="23"/>
  <c r="L43" i="59"/>
  <c r="G18" i="22"/>
  <c r="R43" i="59"/>
  <c r="T43" i="59"/>
  <c r="H72" i="59"/>
  <c r="I72" i="59" s="1"/>
  <c r="J72" i="59" s="1"/>
  <c r="K72" i="59" s="1"/>
  <c r="V47" i="59"/>
  <c r="X47" i="59" s="1"/>
  <c r="H18" i="22" l="1"/>
  <c r="K43" i="23"/>
  <c r="F43" i="23"/>
  <c r="I36" i="23"/>
  <c r="M36" i="23"/>
  <c r="G36" i="23"/>
  <c r="L36" i="23"/>
  <c r="J36" i="23"/>
  <c r="N36" i="23"/>
  <c r="Q36" i="23"/>
  <c r="H36" i="23"/>
  <c r="P36" i="23"/>
  <c r="O36" i="23"/>
  <c r="S36" i="23"/>
  <c r="U36" i="23"/>
  <c r="R36" i="23"/>
  <c r="T36" i="23"/>
  <c r="T21" i="22"/>
  <c r="S12" i="22"/>
  <c r="I72" i="23"/>
  <c r="J72" i="23" s="1"/>
  <c r="K72" i="23" s="1"/>
  <c r="H64" i="59"/>
  <c r="I64" i="59" s="1"/>
  <c r="J64" i="59" s="1"/>
  <c r="K64" i="59" s="1"/>
  <c r="I105" i="23"/>
  <c r="F43" i="59"/>
  <c r="L36" i="59"/>
  <c r="H36" i="59"/>
  <c r="O36" i="59"/>
  <c r="H65" i="23"/>
  <c r="J36" i="59"/>
  <c r="K43" i="59"/>
  <c r="W43" i="59" s="1"/>
  <c r="S36" i="59"/>
  <c r="U36" i="59"/>
  <c r="G60" i="59" s="1"/>
  <c r="C18" i="22"/>
  <c r="AC136" i="59"/>
  <c r="T36" i="59"/>
  <c r="R36" i="59"/>
  <c r="D66" i="23"/>
  <c r="E107" i="23" s="1"/>
  <c r="H87" i="23"/>
  <c r="I87" i="23" s="1"/>
  <c r="H57" i="23"/>
  <c r="M36" i="59"/>
  <c r="G66" i="23"/>
  <c r="Q12" i="22"/>
  <c r="R9" i="58"/>
  <c r="T9" i="58" s="1"/>
  <c r="Q45" i="22"/>
  <c r="Z142" i="59"/>
  <c r="F65" i="59"/>
  <c r="Y142" i="59" s="1"/>
  <c r="E66" i="23"/>
  <c r="F107" i="23" s="1"/>
  <c r="I36" i="59"/>
  <c r="P36" i="59"/>
  <c r="D60" i="59" s="1"/>
  <c r="W138" i="59" s="1"/>
  <c r="F66" i="23"/>
  <c r="G107" i="23" s="1"/>
  <c r="Q36" i="59"/>
  <c r="E60" i="59" s="1"/>
  <c r="X138" i="59" s="1"/>
  <c r="N36" i="59"/>
  <c r="G36" i="59"/>
  <c r="P45" i="22"/>
  <c r="Z133" i="59"/>
  <c r="AB133" i="59" s="1"/>
  <c r="AC133" i="59" s="1"/>
  <c r="H56" i="59"/>
  <c r="I56" i="59" s="1"/>
  <c r="J56" i="59" s="1"/>
  <c r="K56" i="59" s="1"/>
  <c r="F36" i="23" l="1"/>
  <c r="K36" i="23"/>
  <c r="D39" i="23"/>
  <c r="E39" i="23" s="1"/>
  <c r="S45" i="22"/>
  <c r="U45" i="22" s="1"/>
  <c r="C66" i="23"/>
  <c r="D107" i="23" s="1"/>
  <c r="C65" i="59"/>
  <c r="V142" i="59" s="1"/>
  <c r="AB142" i="59" s="1"/>
  <c r="V43" i="59"/>
  <c r="X43" i="59" s="1"/>
  <c r="E61" i="23"/>
  <c r="F97" i="23" s="1"/>
  <c r="G61" i="23"/>
  <c r="H107" i="23"/>
  <c r="I57" i="23"/>
  <c r="J57" i="23" s="1"/>
  <c r="K57" i="23" s="1"/>
  <c r="T20" i="22"/>
  <c r="K36" i="59"/>
  <c r="W36" i="59" s="1"/>
  <c r="P15" i="22"/>
  <c r="F36" i="59"/>
  <c r="D61" i="23"/>
  <c r="E97" i="23" s="1"/>
  <c r="F61" i="23"/>
  <c r="G97" i="23" s="1"/>
  <c r="I65" i="23"/>
  <c r="J65" i="23" s="1"/>
  <c r="K65" i="23" s="1"/>
  <c r="T22" i="22"/>
  <c r="F60" i="59"/>
  <c r="Y138" i="59" s="1"/>
  <c r="B18" i="22"/>
  <c r="S18" i="22"/>
  <c r="Z138" i="59"/>
  <c r="D39" i="59"/>
  <c r="D38" i="23" l="1"/>
  <c r="E38" i="23" s="1"/>
  <c r="H66" i="23"/>
  <c r="H65" i="59"/>
  <c r="I65" i="59" s="1"/>
  <c r="J65" i="59" s="1"/>
  <c r="K65" i="59" s="1"/>
  <c r="I107" i="23"/>
  <c r="C60" i="59"/>
  <c r="V138" i="59" s="1"/>
  <c r="AB138" i="59" s="1"/>
  <c r="V36" i="59"/>
  <c r="X36" i="59" s="1"/>
  <c r="B55" i="59"/>
  <c r="E39" i="59"/>
  <c r="B56" i="23"/>
  <c r="C61" i="23"/>
  <c r="D97" i="23" s="1"/>
  <c r="S12" i="58"/>
  <c r="T12" i="58" s="1"/>
  <c r="R15" i="22"/>
  <c r="R53" i="22"/>
  <c r="N49" i="22"/>
  <c r="S49" i="22" s="1"/>
  <c r="H97" i="23"/>
  <c r="N15" i="22"/>
  <c r="S15" i="22" s="1"/>
  <c r="AC142" i="59"/>
  <c r="AC143" i="59"/>
  <c r="D38" i="59"/>
  <c r="O39" i="23" l="1"/>
  <c r="Q39" i="23"/>
  <c r="H39" i="23"/>
  <c r="P39" i="23"/>
  <c r="G39" i="23"/>
  <c r="J39" i="23"/>
  <c r="I39" i="23"/>
  <c r="N39" i="23"/>
  <c r="R39" i="23"/>
  <c r="T39" i="23"/>
  <c r="S39" i="23"/>
  <c r="U39" i="23"/>
  <c r="T18" i="22"/>
  <c r="I66" i="23"/>
  <c r="J66" i="23" s="1"/>
  <c r="K66" i="23" s="1"/>
  <c r="H60" i="59"/>
  <c r="I60" i="59" s="1"/>
  <c r="J60" i="59" s="1"/>
  <c r="K60" i="59" s="1"/>
  <c r="H61" i="23"/>
  <c r="S39" i="59"/>
  <c r="U39" i="59"/>
  <c r="G55" i="59" s="1"/>
  <c r="B59" i="23"/>
  <c r="G39" i="59"/>
  <c r="H39" i="59"/>
  <c r="N39" i="59"/>
  <c r="P39" i="59"/>
  <c r="D55" i="59" s="1"/>
  <c r="J39" i="59"/>
  <c r="U129" i="59"/>
  <c r="E38" i="59"/>
  <c r="B58" i="59"/>
  <c r="U134" i="59" s="1"/>
  <c r="I97" i="23"/>
  <c r="T39" i="59"/>
  <c r="R39" i="59"/>
  <c r="O39" i="59"/>
  <c r="I39" i="59"/>
  <c r="Q39" i="59"/>
  <c r="E55" i="59" s="1"/>
  <c r="P53" i="22"/>
  <c r="S53" i="22" s="1"/>
  <c r="C85" i="23"/>
  <c r="K39" i="23" l="1"/>
  <c r="F39" i="23"/>
  <c r="L38" i="23"/>
  <c r="H38" i="23"/>
  <c r="P38" i="23"/>
  <c r="D40" i="23"/>
  <c r="E40" i="23" s="1"/>
  <c r="J38" i="23"/>
  <c r="M38" i="23"/>
  <c r="O38" i="23"/>
  <c r="N38" i="23"/>
  <c r="G38" i="23"/>
  <c r="I38" i="23"/>
  <c r="Q38" i="23"/>
  <c r="S38" i="23"/>
  <c r="U38" i="23"/>
  <c r="R38" i="23"/>
  <c r="T38" i="23"/>
  <c r="I61" i="23"/>
  <c r="J61" i="23" s="1"/>
  <c r="K61" i="23" s="1"/>
  <c r="T12" i="22"/>
  <c r="I38" i="59"/>
  <c r="C91" i="23"/>
  <c r="P38" i="59"/>
  <c r="D58" i="59" s="1"/>
  <c r="W134" i="59" s="1"/>
  <c r="F39" i="59"/>
  <c r="G56" i="23"/>
  <c r="H38" i="59"/>
  <c r="K39" i="59"/>
  <c r="W39" i="59" s="1"/>
  <c r="F56" i="23"/>
  <c r="G85" i="23" s="1"/>
  <c r="N38" i="59"/>
  <c r="Q38" i="59"/>
  <c r="E58" i="59" s="1"/>
  <c r="X134" i="59" s="1"/>
  <c r="J38" i="59"/>
  <c r="F55" i="59"/>
  <c r="O38" i="59"/>
  <c r="D56" i="23"/>
  <c r="E85" i="23" s="1"/>
  <c r="L38" i="59"/>
  <c r="T38" i="59"/>
  <c r="R38" i="59"/>
  <c r="Z129" i="59"/>
  <c r="U38" i="59"/>
  <c r="G58" i="59" s="1"/>
  <c r="S38" i="59"/>
  <c r="X129" i="59"/>
  <c r="G38" i="59"/>
  <c r="E56" i="23"/>
  <c r="F85" i="23" s="1"/>
  <c r="M38" i="59"/>
  <c r="W129" i="59"/>
  <c r="D40" i="59"/>
  <c r="N24" i="22" l="1"/>
  <c r="K38" i="23"/>
  <c r="F38" i="23"/>
  <c r="D49" i="23"/>
  <c r="E49" i="23" s="1"/>
  <c r="V39" i="59"/>
  <c r="X39" i="59" s="1"/>
  <c r="K38" i="59"/>
  <c r="W38" i="59" s="1"/>
  <c r="D59" i="23"/>
  <c r="C56" i="23"/>
  <c r="D85" i="23" s="1"/>
  <c r="Y129" i="59"/>
  <c r="N16" i="22"/>
  <c r="F58" i="59"/>
  <c r="Y134" i="59" s="1"/>
  <c r="B74" i="23"/>
  <c r="C123" i="23" s="1"/>
  <c r="F38" i="59"/>
  <c r="C55" i="59"/>
  <c r="E40" i="59"/>
  <c r="B73" i="59"/>
  <c r="U145" i="59" s="1"/>
  <c r="E59" i="23"/>
  <c r="G59" i="23"/>
  <c r="F59" i="23"/>
  <c r="O16" i="22"/>
  <c r="Z134" i="59"/>
  <c r="H85" i="23"/>
  <c r="D49" i="59"/>
  <c r="P39" i="22" l="1"/>
  <c r="G24" i="22"/>
  <c r="L24" i="22"/>
  <c r="M24" i="22"/>
  <c r="O39" i="22" s="1"/>
  <c r="N19" i="22"/>
  <c r="N40" i="23"/>
  <c r="I40" i="23"/>
  <c r="H40" i="23"/>
  <c r="J40" i="23"/>
  <c r="M40" i="23"/>
  <c r="L40" i="23"/>
  <c r="O40" i="23"/>
  <c r="D44" i="23"/>
  <c r="E44" i="23" s="1"/>
  <c r="Q40" i="23"/>
  <c r="P40" i="23"/>
  <c r="G40" i="23"/>
  <c r="S40" i="23"/>
  <c r="U40" i="23"/>
  <c r="T40" i="23"/>
  <c r="R40" i="23"/>
  <c r="C58" i="59"/>
  <c r="V134" i="59" s="1"/>
  <c r="AB134" i="59" s="1"/>
  <c r="V38" i="59"/>
  <c r="X38" i="59" s="1"/>
  <c r="H56" i="23"/>
  <c r="I40" i="59"/>
  <c r="G40" i="59"/>
  <c r="V129" i="59"/>
  <c r="AB129" i="59" s="1"/>
  <c r="AC130" i="59" s="1"/>
  <c r="H55" i="59"/>
  <c r="L40" i="59"/>
  <c r="I85" i="23"/>
  <c r="E49" i="59"/>
  <c r="B70" i="59"/>
  <c r="U144" i="59" s="1"/>
  <c r="Q40" i="59"/>
  <c r="E73" i="59" s="1"/>
  <c r="X145" i="59" s="1"/>
  <c r="S40" i="59"/>
  <c r="U40" i="59"/>
  <c r="G73" i="59" s="1"/>
  <c r="B68" i="23"/>
  <c r="C117" i="23" s="1"/>
  <c r="F91" i="23"/>
  <c r="P61" i="22"/>
  <c r="E91" i="23"/>
  <c r="P40" i="59"/>
  <c r="D73" i="59" s="1"/>
  <c r="W145" i="59" s="1"/>
  <c r="O40" i="59"/>
  <c r="G91" i="23"/>
  <c r="M40" i="59"/>
  <c r="C59" i="23"/>
  <c r="H59" i="23" s="1"/>
  <c r="J40" i="59"/>
  <c r="R13" i="58"/>
  <c r="T13" i="58" s="1"/>
  <c r="Q61" i="22"/>
  <c r="Q16" i="22"/>
  <c r="S16" i="22"/>
  <c r="H40" i="59"/>
  <c r="O24" i="22"/>
  <c r="H91" i="23"/>
  <c r="N40" i="59"/>
  <c r="R40" i="59"/>
  <c r="T40" i="59"/>
  <c r="D44" i="59"/>
  <c r="M19" i="22" l="1"/>
  <c r="I24" i="22"/>
  <c r="P37" i="22"/>
  <c r="K40" i="23"/>
  <c r="F40" i="23"/>
  <c r="G49" i="23"/>
  <c r="H49" i="23"/>
  <c r="P49" i="23"/>
  <c r="N49" i="23"/>
  <c r="Q49" i="23"/>
  <c r="J49" i="23"/>
  <c r="O49" i="23"/>
  <c r="I49" i="23"/>
  <c r="M49" i="23"/>
  <c r="L49" i="23"/>
  <c r="D34" i="23"/>
  <c r="E34" i="23" s="1"/>
  <c r="S49" i="23"/>
  <c r="U49" i="23"/>
  <c r="T49" i="23"/>
  <c r="R49" i="23"/>
  <c r="I56" i="23"/>
  <c r="J56" i="23" s="1"/>
  <c r="K56" i="23" s="1"/>
  <c r="S61" i="22"/>
  <c r="H58" i="59"/>
  <c r="I58" i="59" s="1"/>
  <c r="J58" i="59" s="1"/>
  <c r="K58" i="59" s="1"/>
  <c r="T15" i="22"/>
  <c r="Q49" i="59"/>
  <c r="E70" i="59" s="1"/>
  <c r="X144" i="59" s="1"/>
  <c r="J49" i="59"/>
  <c r="Z145" i="59"/>
  <c r="F73" i="59"/>
  <c r="Y145" i="59" s="1"/>
  <c r="I59" i="23"/>
  <c r="J59" i="23" s="1"/>
  <c r="K59" i="23" s="1"/>
  <c r="T14" i="22"/>
  <c r="O37" i="22"/>
  <c r="P49" i="59"/>
  <c r="D70" i="59" s="1"/>
  <c r="W144" i="59" s="1"/>
  <c r="E74" i="23"/>
  <c r="F123" i="23" s="1"/>
  <c r="D74" i="23"/>
  <c r="E123" i="23" s="1"/>
  <c r="B63" i="23"/>
  <c r="D24" i="22"/>
  <c r="M49" i="59"/>
  <c r="O49" i="59"/>
  <c r="I49" i="59"/>
  <c r="I55" i="59"/>
  <c r="J55" i="59" s="1"/>
  <c r="K55" i="59" s="1"/>
  <c r="B62" i="59"/>
  <c r="E44" i="59"/>
  <c r="AC134" i="59"/>
  <c r="AC135" i="59"/>
  <c r="R49" i="59"/>
  <c r="T49" i="59"/>
  <c r="G49" i="59"/>
  <c r="O19" i="22"/>
  <c r="F40" i="59"/>
  <c r="D91" i="23"/>
  <c r="L49" i="59"/>
  <c r="H49" i="59"/>
  <c r="N49" i="59"/>
  <c r="F74" i="23"/>
  <c r="G123" i="23" s="1"/>
  <c r="Q24" i="22"/>
  <c r="R21" i="58"/>
  <c r="T21" i="58" s="1"/>
  <c r="Q39" i="22"/>
  <c r="K40" i="59"/>
  <c r="W40" i="59" s="1"/>
  <c r="U49" i="59"/>
  <c r="G70" i="59" s="1"/>
  <c r="S49" i="59"/>
  <c r="G74" i="23"/>
  <c r="D34" i="59"/>
  <c r="H24" i="22" l="1"/>
  <c r="I19" i="22"/>
  <c r="H19" i="22" s="1"/>
  <c r="F49" i="23"/>
  <c r="K49" i="23"/>
  <c r="O44" i="23"/>
  <c r="G44" i="23"/>
  <c r="N44" i="23"/>
  <c r="L44" i="23"/>
  <c r="I44" i="23"/>
  <c r="J44" i="23"/>
  <c r="Q44" i="23"/>
  <c r="P44" i="23"/>
  <c r="M44" i="23"/>
  <c r="H44" i="23"/>
  <c r="R44" i="23"/>
  <c r="T44" i="23"/>
  <c r="S44" i="23"/>
  <c r="U44" i="23"/>
  <c r="C74" i="23"/>
  <c r="D123" i="23" s="1"/>
  <c r="C73" i="59"/>
  <c r="V145" i="59" s="1"/>
  <c r="AB146" i="59" s="1"/>
  <c r="J44" i="59"/>
  <c r="P44" i="59"/>
  <c r="D62" i="59" s="1"/>
  <c r="F68" i="23"/>
  <c r="G117" i="23" s="1"/>
  <c r="O44" i="59"/>
  <c r="B71" i="23"/>
  <c r="C119" i="23" s="1"/>
  <c r="M44" i="59"/>
  <c r="I91" i="23"/>
  <c r="F70" i="59"/>
  <c r="Y144" i="59" s="1"/>
  <c r="I44" i="59"/>
  <c r="C24" i="22"/>
  <c r="V40" i="59"/>
  <c r="X40" i="59" s="1"/>
  <c r="F49" i="59"/>
  <c r="S44" i="59"/>
  <c r="U44" i="59"/>
  <c r="G62" i="59" s="1"/>
  <c r="Z144" i="59"/>
  <c r="D19" i="22"/>
  <c r="T44" i="59"/>
  <c r="R44" i="59"/>
  <c r="K49" i="59"/>
  <c r="W49" i="59" s="1"/>
  <c r="D68" i="23"/>
  <c r="E117" i="23" s="1"/>
  <c r="G68" i="23"/>
  <c r="Q37" i="22"/>
  <c r="Q19" i="22"/>
  <c r="R17" i="58"/>
  <c r="T17" i="58" s="1"/>
  <c r="C99" i="23"/>
  <c r="H44" i="59"/>
  <c r="Q44" i="59"/>
  <c r="E62" i="59" s="1"/>
  <c r="L44" i="59"/>
  <c r="H123" i="23"/>
  <c r="B71" i="59"/>
  <c r="U143" i="59" s="1"/>
  <c r="E34" i="59"/>
  <c r="N44" i="59"/>
  <c r="N10" i="22"/>
  <c r="U137" i="59"/>
  <c r="G44" i="59"/>
  <c r="E68" i="23"/>
  <c r="F117" i="23" s="1"/>
  <c r="F44" i="23" l="1"/>
  <c r="K44" i="23"/>
  <c r="H34" i="23"/>
  <c r="O34" i="23"/>
  <c r="I34" i="23"/>
  <c r="J34" i="23"/>
  <c r="N34" i="23"/>
  <c r="P34" i="23"/>
  <c r="G34" i="23"/>
  <c r="Q34" i="23"/>
  <c r="M34" i="23"/>
  <c r="L34" i="23"/>
  <c r="R34" i="23"/>
  <c r="T34" i="23"/>
  <c r="U34" i="23"/>
  <c r="S34" i="23"/>
  <c r="H74" i="23"/>
  <c r="I123" i="23"/>
  <c r="H73" i="59"/>
  <c r="I73" i="59" s="1"/>
  <c r="J73" i="59" s="1"/>
  <c r="K73" i="59" s="1"/>
  <c r="G63" i="23"/>
  <c r="X137" i="59"/>
  <c r="H117" i="23"/>
  <c r="T34" i="59"/>
  <c r="R34" i="59"/>
  <c r="C70" i="59"/>
  <c r="V144" i="59" s="1"/>
  <c r="AB145" i="59" s="1"/>
  <c r="AC146" i="59" s="1"/>
  <c r="L34" i="59"/>
  <c r="C68" i="23"/>
  <c r="D117" i="23" s="1"/>
  <c r="D63" i="23"/>
  <c r="W137" i="59"/>
  <c r="G34" i="59"/>
  <c r="I34" i="59"/>
  <c r="S34" i="59"/>
  <c r="U34" i="59"/>
  <c r="K44" i="59"/>
  <c r="W44" i="59" s="1"/>
  <c r="P67" i="22"/>
  <c r="S67" i="22" s="1"/>
  <c r="S10" i="22"/>
  <c r="M34" i="59"/>
  <c r="F44" i="59"/>
  <c r="O34" i="59"/>
  <c r="Z137" i="59"/>
  <c r="J34" i="59"/>
  <c r="F62" i="59"/>
  <c r="N34" i="59"/>
  <c r="Q34" i="59"/>
  <c r="E71" i="59" s="1"/>
  <c r="X143" i="59" s="1"/>
  <c r="E63" i="23"/>
  <c r="B24" i="22"/>
  <c r="S24" i="22"/>
  <c r="H34" i="59"/>
  <c r="F63" i="23"/>
  <c r="C19" i="22"/>
  <c r="V49" i="59"/>
  <c r="X49" i="59" s="1"/>
  <c r="P34" i="59"/>
  <c r="D71" i="59" s="1"/>
  <c r="W143" i="59" s="1"/>
  <c r="F34" i="23" l="1"/>
  <c r="K34" i="23"/>
  <c r="T16" i="22"/>
  <c r="I74" i="23"/>
  <c r="J74" i="23" s="1"/>
  <c r="K74" i="23" s="1"/>
  <c r="C63" i="23"/>
  <c r="D99" i="23" s="1"/>
  <c r="U69" i="22"/>
  <c r="F34" i="59"/>
  <c r="I117" i="23"/>
  <c r="K34" i="59"/>
  <c r="W34" i="59" s="1"/>
  <c r="H70" i="59"/>
  <c r="I70" i="59" s="1"/>
  <c r="J70" i="59" s="1"/>
  <c r="K70" i="59" s="1"/>
  <c r="C62" i="59"/>
  <c r="V137" i="59" s="1"/>
  <c r="Y137" i="59"/>
  <c r="N39" i="22"/>
  <c r="S39" i="22" s="1"/>
  <c r="G71" i="23"/>
  <c r="F71" i="23"/>
  <c r="G119" i="23" s="1"/>
  <c r="E71" i="23"/>
  <c r="F119" i="23" s="1"/>
  <c r="F71" i="59"/>
  <c r="Y143" i="59" s="1"/>
  <c r="G99" i="23"/>
  <c r="F99" i="23"/>
  <c r="G71" i="59"/>
  <c r="D71" i="23"/>
  <c r="E119" i="23" s="1"/>
  <c r="E99" i="23"/>
  <c r="H68" i="23"/>
  <c r="V44" i="59"/>
  <c r="X44" i="59" s="1"/>
  <c r="B19" i="22"/>
  <c r="S19" i="22"/>
  <c r="H99" i="23"/>
  <c r="H63" i="23" l="1"/>
  <c r="U39" i="22"/>
  <c r="C71" i="59"/>
  <c r="V143" i="59" s="1"/>
  <c r="V34" i="59"/>
  <c r="X34" i="59" s="1"/>
  <c r="AB137" i="59"/>
  <c r="AC137" i="59" s="1"/>
  <c r="H62" i="59"/>
  <c r="I62" i="59" s="1"/>
  <c r="J62" i="59" s="1"/>
  <c r="K62" i="59" s="1"/>
  <c r="H119" i="23"/>
  <c r="I99" i="23"/>
  <c r="Z143" i="59"/>
  <c r="N37" i="22"/>
  <c r="S37" i="22" s="1"/>
  <c r="C71" i="23"/>
  <c r="D119" i="23" s="1"/>
  <c r="I68" i="23"/>
  <c r="J68" i="23" s="1"/>
  <c r="K68" i="23" s="1"/>
  <c r="T24" i="22"/>
  <c r="D35" i="23" l="1"/>
  <c r="E35" i="23" s="1"/>
  <c r="I63" i="23"/>
  <c r="J63" i="23" s="1"/>
  <c r="K63" i="23" s="1"/>
  <c r="T19" i="22"/>
  <c r="AB144" i="59"/>
  <c r="AC145" i="59" s="1"/>
  <c r="H71" i="59"/>
  <c r="I71" i="59" s="1"/>
  <c r="J71" i="59" s="1"/>
  <c r="K71" i="59" s="1"/>
  <c r="AC138" i="59"/>
  <c r="I119" i="23"/>
  <c r="H71" i="23"/>
  <c r="D35" i="59"/>
  <c r="AC144" i="59" l="1"/>
  <c r="I71" i="23"/>
  <c r="J71" i="23" s="1"/>
  <c r="K71" i="23" s="1"/>
  <c r="T10" i="22"/>
  <c r="B67" i="23"/>
  <c r="B66" i="59"/>
  <c r="E35" i="59"/>
  <c r="N35" i="23" l="1"/>
  <c r="G35" i="23"/>
  <c r="Q35" i="23"/>
  <c r="O35" i="23"/>
  <c r="H35" i="23"/>
  <c r="L35" i="23"/>
  <c r="J35" i="23"/>
  <c r="I35" i="23"/>
  <c r="M35" i="23"/>
  <c r="P35" i="23"/>
  <c r="R35" i="23"/>
  <c r="T35" i="23"/>
  <c r="U35" i="23"/>
  <c r="S35" i="23"/>
  <c r="T35" i="59"/>
  <c r="R35" i="59"/>
  <c r="G35" i="59"/>
  <c r="U35" i="59"/>
  <c r="G66" i="59" s="1"/>
  <c r="S35" i="59"/>
  <c r="M35" i="59"/>
  <c r="H35" i="59"/>
  <c r="O35" i="59"/>
  <c r="J35" i="59"/>
  <c r="I35" i="59"/>
  <c r="C109" i="23"/>
  <c r="B76" i="23"/>
  <c r="B77" i="23"/>
  <c r="Q35" i="59"/>
  <c r="E66" i="59" s="1"/>
  <c r="P35" i="59"/>
  <c r="D66" i="59" s="1"/>
  <c r="N35" i="59"/>
  <c r="U139" i="59"/>
  <c r="B76" i="59"/>
  <c r="B75" i="59"/>
  <c r="L35" i="59"/>
  <c r="F35" i="23" l="1"/>
  <c r="K35" i="23"/>
  <c r="F35" i="59"/>
  <c r="G67" i="23"/>
  <c r="W139" i="59"/>
  <c r="D75" i="59"/>
  <c r="C101" i="23"/>
  <c r="D67" i="23"/>
  <c r="F67" i="23"/>
  <c r="K35" i="59"/>
  <c r="W35" i="59" s="1"/>
  <c r="W51" i="59" s="1"/>
  <c r="X139" i="59"/>
  <c r="E75" i="59"/>
  <c r="Z139" i="59"/>
  <c r="G75" i="59"/>
  <c r="E67" i="23"/>
  <c r="F66" i="59"/>
  <c r="V35" i="59" l="1"/>
  <c r="X35" i="59" s="1"/>
  <c r="C66" i="59"/>
  <c r="C75" i="59" s="1"/>
  <c r="E109" i="23"/>
  <c r="E101" i="23" s="1"/>
  <c r="D76" i="23"/>
  <c r="C67" i="23"/>
  <c r="H67" i="23" s="1"/>
  <c r="G109" i="23"/>
  <c r="G101" i="23" s="1"/>
  <c r="F76" i="23"/>
  <c r="Y139" i="59"/>
  <c r="F75" i="59"/>
  <c r="F109" i="23"/>
  <c r="F101" i="23" s="1"/>
  <c r="E76" i="23"/>
  <c r="H109" i="23"/>
  <c r="H101" i="23" s="1"/>
  <c r="G76" i="23"/>
  <c r="N11" i="22" l="1"/>
  <c r="V51" i="59"/>
  <c r="X51" i="59" s="1"/>
  <c r="V139" i="59"/>
  <c r="AB139" i="59" s="1"/>
  <c r="H66" i="59"/>
  <c r="I66" i="59" s="1"/>
  <c r="J66" i="59" s="1"/>
  <c r="K66" i="59" s="1"/>
  <c r="D109" i="23"/>
  <c r="C76" i="23"/>
  <c r="C34" i="27" s="1"/>
  <c r="P47" i="22"/>
  <c r="N27" i="22"/>
  <c r="P11" i="22"/>
  <c r="O11" i="22"/>
  <c r="M11" i="22"/>
  <c r="I67" i="23"/>
  <c r="J67" i="23" s="1"/>
  <c r="K67" i="23" s="1"/>
  <c r="T11" i="22"/>
  <c r="H76" i="23"/>
  <c r="N23" i="22" l="1"/>
  <c r="H75" i="59"/>
  <c r="H76" i="59"/>
  <c r="F11" i="22"/>
  <c r="D101" i="23"/>
  <c r="I101" i="23" s="1"/>
  <c r="I109" i="23"/>
  <c r="P71" i="22"/>
  <c r="N26" i="22"/>
  <c r="T27" i="22"/>
  <c r="T26" i="22"/>
  <c r="AC140" i="59"/>
  <c r="AC139" i="59"/>
  <c r="J11" i="22"/>
  <c r="G11" i="22"/>
  <c r="K11" i="22"/>
  <c r="O47" i="22"/>
  <c r="M27" i="22"/>
  <c r="L11" i="22"/>
  <c r="R47" i="22"/>
  <c r="R11" i="22"/>
  <c r="P27" i="22"/>
  <c r="Q11" i="22"/>
  <c r="Q47" i="22"/>
  <c r="O27" i="22"/>
  <c r="E11" i="22"/>
  <c r="J23" i="22" l="1"/>
  <c r="K23" i="22"/>
  <c r="F23" i="22"/>
  <c r="F26" i="22" s="1"/>
  <c r="L23" i="22"/>
  <c r="E23" i="22"/>
  <c r="G23" i="22"/>
  <c r="K27" i="22"/>
  <c r="E26" i="22"/>
  <c r="J26" i="22"/>
  <c r="J27" i="22"/>
  <c r="R8" i="58"/>
  <c r="D11" i="22"/>
  <c r="S8" i="58"/>
  <c r="P23" i="22"/>
  <c r="G27" i="22"/>
  <c r="E27" i="22"/>
  <c r="I11" i="22"/>
  <c r="F27" i="22"/>
  <c r="Q27" i="22"/>
  <c r="L27" i="22"/>
  <c r="M23" i="22"/>
  <c r="O23" i="22"/>
  <c r="R27" i="22"/>
  <c r="P51" i="22"/>
  <c r="G26" i="22" l="1"/>
  <c r="K26" i="22"/>
  <c r="L26" i="22"/>
  <c r="D23" i="22"/>
  <c r="I23" i="22"/>
  <c r="T8" i="58"/>
  <c r="X23" i="58" s="1"/>
  <c r="R71" i="22"/>
  <c r="R23" i="22"/>
  <c r="P26" i="22"/>
  <c r="R51" i="22" s="1"/>
  <c r="O71" i="22"/>
  <c r="M26" i="22"/>
  <c r="H11" i="22"/>
  <c r="I27" i="22"/>
  <c r="C23" i="22"/>
  <c r="D26" i="22"/>
  <c r="Q71" i="22"/>
  <c r="Q23" i="22"/>
  <c r="O26" i="22"/>
  <c r="Q51" i="22" s="1"/>
  <c r="C11" i="22"/>
  <c r="D27" i="22"/>
  <c r="I26" i="22" l="1"/>
  <c r="H23" i="22"/>
  <c r="U23" i="58"/>
  <c r="S23" i="22"/>
  <c r="H27" i="22"/>
  <c r="B23" i="22"/>
  <c r="C26" i="22"/>
  <c r="H26" i="22"/>
  <c r="B11" i="22"/>
  <c r="N47" i="22" s="1"/>
  <c r="C27" i="22"/>
  <c r="S11" i="22"/>
  <c r="R26" i="22"/>
  <c r="Q26" i="22"/>
  <c r="O51" i="22"/>
  <c r="H28" i="22" l="1"/>
  <c r="S27" i="22"/>
  <c r="S26" i="22"/>
  <c r="S47" i="22"/>
  <c r="B27" i="22"/>
  <c r="N71" i="22"/>
  <c r="S71" i="22" s="1"/>
  <c r="B26" i="22"/>
  <c r="N51" i="22" s="1"/>
  <c r="U73" i="22" l="1"/>
  <c r="U47" i="22"/>
  <c r="C11" i="27"/>
  <c r="S51" i="22"/>
  <c r="C100" i="23" l="1"/>
  <c r="S58" i="22" l="1"/>
  <c r="U57" i="22" s="1"/>
  <c r="S56" i="22"/>
  <c r="U59" i="22" s="1"/>
  <c r="S52" i="22"/>
  <c r="U67" i="22" s="1"/>
  <c r="S40" i="22" l="1"/>
  <c r="U41" i="22" s="1"/>
  <c r="I22" i="26" l="1"/>
  <c r="I120" i="23" l="1"/>
  <c r="I116" i="23"/>
  <c r="I86" i="23"/>
  <c r="I102" i="23" l="1"/>
  <c r="H100" i="23"/>
  <c r="S32" i="22" l="1"/>
  <c r="U33" i="22" s="1"/>
  <c r="R50" i="22" l="1"/>
  <c r="I106" i="23" l="1"/>
  <c r="S48" i="22"/>
  <c r="U49" i="22" s="1"/>
  <c r="P50" i="22" l="1"/>
  <c r="G100" i="23" l="1"/>
  <c r="E100" i="23"/>
  <c r="I122" i="23"/>
  <c r="F100" i="23"/>
  <c r="Q50" i="22"/>
  <c r="O50" i="22"/>
  <c r="S60" i="22"/>
  <c r="U61" i="22" s="1"/>
  <c r="I98" i="23" l="1"/>
  <c r="D100" i="23"/>
  <c r="S36" i="22"/>
  <c r="U37" i="22" s="1"/>
  <c r="N50" i="22"/>
  <c r="S50" i="22" s="1"/>
  <c r="U51" i="22" l="1"/>
  <c r="B11" i="27"/>
  <c r="I100" i="23"/>
  <c r="B34" i="27" l="1"/>
  <c r="T11" i="63" l="1"/>
  <c r="T17" i="63"/>
  <c r="T20" i="63"/>
  <c r="V63" i="22"/>
  <c r="W63" i="22" s="1"/>
  <c r="T14" i="63" l="1"/>
  <c r="T15" i="63"/>
  <c r="T7" i="63"/>
  <c r="T18" i="63"/>
  <c r="T4" i="63"/>
  <c r="T6" i="63"/>
  <c r="T5" i="63"/>
  <c r="T8" i="63"/>
  <c r="T12" i="63"/>
  <c r="T21" i="63"/>
  <c r="T22" i="63"/>
  <c r="T19" i="63"/>
  <c r="V57" i="22"/>
  <c r="W57" i="22" s="1"/>
  <c r="V65" i="22" l="1"/>
  <c r="W65" i="22" s="1"/>
  <c r="T10" i="63"/>
  <c r="T16" i="63"/>
  <c r="V49" i="22" l="1"/>
  <c r="W49" i="22" s="1"/>
  <c r="V55" i="22" l="1"/>
  <c r="W55" i="22" s="1"/>
  <c r="V33" i="22" l="1"/>
  <c r="W33" i="22" s="1"/>
  <c r="V35" i="22" l="1"/>
  <c r="W35" i="22" s="1"/>
  <c r="V43" i="22" l="1"/>
  <c r="W43" i="22" s="1"/>
  <c r="V71" i="22" l="1"/>
  <c r="W71" i="22" s="1"/>
  <c r="V67" i="22" l="1"/>
  <c r="W67" i="22" s="1"/>
  <c r="V37" i="22" l="1"/>
  <c r="W37" i="22" s="1"/>
  <c r="T13" i="63" l="1"/>
  <c r="V59" i="22" l="1"/>
  <c r="W59" i="22" s="1"/>
  <c r="V69" i="22"/>
  <c r="W69" i="22" s="1"/>
  <c r="V41" i="22"/>
  <c r="W41" i="22" s="1"/>
  <c r="V45" i="22" l="1"/>
  <c r="W45" i="22" s="1"/>
  <c r="V61" i="22" l="1"/>
  <c r="W61" i="22" s="1"/>
  <c r="V73" i="22" l="1"/>
  <c r="W73" i="22" s="1"/>
  <c r="V47" i="22" l="1"/>
  <c r="W47" i="22" s="1"/>
  <c r="V51" i="22" l="1"/>
  <c r="W51" i="22" s="1"/>
  <c r="V39" i="22"/>
  <c r="W39" i="22"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tc={328A52C9-7953-4671-B2E4-351D7D5A465B}</author>
  </authors>
  <commentList>
    <comment ref="K72" authorId="0" shapeId="0" xr:uid="{328A52C9-7953-4671-B2E4-351D7D5A465B}">
      <text>
        <t>[Threaded comment]
Your version of Excel allows you to read this threaded comment; however, any edits to it will get removed if the file is opened in a newer version of Excel. Learn more: https://go.microsoft.com/fwlink/?linkid=870924
Comment:
    Excludes Nicaragua</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tc={D2803BA6-A10F-48A7-ABEA-28B0DFDE7DAA}</author>
  </authors>
  <commentList>
    <comment ref="L41" authorId="0" shapeId="0" xr:uid="{D2803BA6-A10F-48A7-ABEA-28B0DFDE7DAA}">
      <text>
        <t>[Threaded comment]
Your version of Excel allows you to read this threaded comment; however, any edits to it will get removed if the file is opened in a newer version of Excel. Learn more: https://go.microsoft.com/fwlink/?linkid=870924
Comment:
    Does not include Nicaragua</t>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tc={563E3DF4-3407-4B30-9B84-1C979BE22931}</author>
  </authors>
  <commentList>
    <comment ref="S108" authorId="0" shapeId="0" xr:uid="{563E3DF4-3407-4B30-9B84-1C979BE22931}">
      <text>
        <t>[Threaded comment]
Your version of Excel allows you to read this threaded comment; however, any edits to it will get removed if the file is opened in a newer version of Excel. Learn more: https://go.microsoft.com/fwlink/?linkid=870924
Comment:
    Does not include Nicaragua</t>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tc={CDFBFCBB-DA11-47FD-A903-84A73C08FBA0}</author>
  </authors>
  <commentList>
    <comment ref="H12" authorId="0" shapeId="0" xr:uid="{CDFBFCBB-DA11-47FD-A903-84A73C08FBA0}">
      <text>
        <t>[Threaded comment]
Your version of Excel allows you to read this threaded comment; however, any edits to it will get removed if the file is opened in a newer version of Excel. Learn more: https://go.microsoft.com/fwlink/?linkid=870924
Comment:
    Incluye fondo del reserva para el trabajador.</t>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tc={14554B3D-9DD2-4DC0-9E1F-79158369A3BE}</author>
    <author>tc={2154AEEC-9336-4F3A-A4DF-1416E3A8355C}</author>
    <author>tc={C78CD87E-E579-4D65-8D37-27243A588348}</author>
    <author>tc={434EDC8F-36DA-4B4D-B741-5B4690F67D57}</author>
  </authors>
  <commentList>
    <comment ref="L8" authorId="0" shapeId="0" xr:uid="{14554B3D-9DD2-4DC0-9E1F-79158369A3BE}">
      <text>
        <t>[Threaded comment]
Your version of Excel allows you to read this threaded comment; however, any edits to it will get removed if the file is opened in a newer version of Excel. Learn more: https://go.microsoft.com/fwlink/?linkid=870924
Comment:
    https://www.pluxee.pa/blog/prima-antiguedad-panama/</t>
      </text>
    </comment>
    <comment ref="L10" authorId="1" shapeId="0" xr:uid="{2154AEEC-9336-4F3A-A4DF-1416E3A8355C}">
      <text>
        <t xml:space="preserve">[Threaded comment]
Your version of Excel allows you to read this threaded comment; however, any edits to it will get removed if the file is opened in a newer version of Excel. Learn more: https://go.microsoft.com/fwlink/?linkid=870924
Comment:
    Se llama ‘Fondo de Recapacitación Laboral’: Fondo de ahorro depositado en cuentas individuales a nombre del trabajador </t>
      </text>
    </comment>
    <comment ref="L17" authorId="2" shapeId="0" xr:uid="{C78CD87E-E579-4D65-8D37-27243A588348}">
      <text>
        <t xml:space="preserve">[Threaded comment]
Your version of Excel allows you to read this threaded comment; however, any edits to it will get removed if the file is opened in a newer version of Excel. Learn more: https://go.microsoft.com/fwlink/?linkid=870924
Comment:
    La nota de costos laborales 2013 no tenía esto, pendiente arreglar. </t>
      </text>
    </comment>
    <comment ref="M42" authorId="3" shapeId="0" xr:uid="{434EDC8F-36DA-4B4D-B741-5B4690F67D57}">
      <text>
        <t>[Threaded comment]
Your version of Excel allows you to read this threaded comment; however, any edits to it will get removed if the file is opened in a newer version of Excel. Learn more: https://go.microsoft.com/fwlink/?linkid=870924
Comment:
    Source: https://www.imf.org/external/pubs/ft/scr/2014/cr14316.pdf</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tc={727CEB9B-2499-44AA-8BE5-193D0E9FC91B}</author>
  </authors>
  <commentList>
    <comment ref="L50" authorId="0" shapeId="0" xr:uid="{727CEB9B-2499-44AA-8BE5-193D0E9FC91B}">
      <text>
        <t>[Threaded comment]
Your version of Excel allows you to read this threaded comment; however, any edits to it will get removed if the file is opened in a newer version of Excel. Learn more: https://go.microsoft.com/fwlink/?linkid=870924
Comment:
    Does not include Nicaragua</t>
      </text>
    </comment>
  </commentList>
</comments>
</file>

<file path=xl/sharedStrings.xml><?xml version="1.0" encoding="utf-8"?>
<sst xmlns="http://schemas.openxmlformats.org/spreadsheetml/2006/main" count="3651" uniqueCount="643">
  <si>
    <t>Costos no salariales como porcentaje del salario anual</t>
  </si>
  <si>
    <t>(Costos por despido como flujo)</t>
  </si>
  <si>
    <t>Seguridad Social del empleado</t>
  </si>
  <si>
    <t>Seguridad Social del empleador</t>
  </si>
  <si>
    <t>Vacaciones</t>
  </si>
  <si>
    <t>Aguinaldo</t>
  </si>
  <si>
    <t>Costos de despido flujo</t>
  </si>
  <si>
    <t>Costo no salarial total</t>
  </si>
  <si>
    <t>ALC: 47%</t>
  </si>
  <si>
    <t>Despido (flujo)</t>
  </si>
  <si>
    <t>Aviso Previo (flujo)</t>
  </si>
  <si>
    <t>ARG</t>
  </si>
  <si>
    <t>BRA</t>
  </si>
  <si>
    <t>BOL</t>
  </si>
  <si>
    <t>URY</t>
  </si>
  <si>
    <t>COL</t>
  </si>
  <si>
    <t>PER</t>
  </si>
  <si>
    <t>ECU</t>
  </si>
  <si>
    <t>CRI</t>
  </si>
  <si>
    <t>PAN</t>
  </si>
  <si>
    <t>PRY</t>
  </si>
  <si>
    <t>GTM</t>
  </si>
  <si>
    <t>VEN</t>
  </si>
  <si>
    <t>NIC</t>
  </si>
  <si>
    <t>MEX</t>
  </si>
  <si>
    <t>SLV</t>
  </si>
  <si>
    <t>DOM</t>
  </si>
  <si>
    <t>HND</t>
  </si>
  <si>
    <t>CHL</t>
  </si>
  <si>
    <t>JAM</t>
  </si>
  <si>
    <t>BRB</t>
  </si>
  <si>
    <t>TTO</t>
  </si>
  <si>
    <t>Fuente: Elaboración propia a partir de datos de la legislación laboral de ALC en 2013</t>
  </si>
  <si>
    <t>Nota: Se asume una antigüedad de cinco años en cada país. El flujo de costos se estima como el monto que el empleador debería ahorrar anualmente para cubrir el costo de despido, independientemente de que efectivamente lo haga o no lo haga.</t>
  </si>
  <si>
    <t>(Costos por despido como Stock)</t>
  </si>
  <si>
    <t>ALC: 80%</t>
  </si>
  <si>
    <t>Despido (stock)</t>
  </si>
  <si>
    <t>Aviso Previo (Stock)</t>
  </si>
  <si>
    <t>Nota: Se asume una antigüedad de cinco años en cada país. El stock de costos se estima como el monto total que el empleador debe pagar al momento del despido, al margen de que haya realizado un ahorro previo mensual o no.</t>
  </si>
  <si>
    <t>Salario anual - Contribuciones a la Seguridad Social a cargo del Empleado</t>
  </si>
  <si>
    <t>Pensiones</t>
  </si>
  <si>
    <t>Salud</t>
  </si>
  <si>
    <t>Riesgo laboral</t>
  </si>
  <si>
    <t>Otros</t>
  </si>
  <si>
    <t>Salario anual - Contribuciones a la Seguridad Social a cargo del Empleador</t>
  </si>
  <si>
    <t>Indemnización por despido (stock)</t>
  </si>
  <si>
    <t>Aviso previo (stock)</t>
  </si>
  <si>
    <t>Indemnización por despido (flujo)</t>
  </si>
  <si>
    <t>Aviso previo (flujo)</t>
  </si>
  <si>
    <t>Costos totales actualizado a 2016</t>
  </si>
  <si>
    <t>Costos laborales Perú como % del salrio anual, 2013</t>
  </si>
  <si>
    <t>PER micro</t>
  </si>
  <si>
    <t>PER peque</t>
  </si>
  <si>
    <t>Contribuciones a la SS - Empleado</t>
  </si>
  <si>
    <t>Contribuciones a la SS - Empleador</t>
  </si>
  <si>
    <t>Costo total</t>
  </si>
  <si>
    <t>ALC:48%</t>
  </si>
  <si>
    <t>PER-e.peq.</t>
  </si>
  <si>
    <t>PER-micro</t>
  </si>
  <si>
    <t>ALC</t>
  </si>
  <si>
    <t>Minimum wage</t>
  </si>
  <si>
    <t>% del Salario Annual</t>
  </si>
  <si>
    <t>TOT</t>
  </si>
  <si>
    <t>Otros con training</t>
  </si>
  <si>
    <t xml:space="preserve">Training </t>
  </si>
  <si>
    <t>Training</t>
  </si>
  <si>
    <t>Indemnización por despido</t>
  </si>
  <si>
    <t>Aviso previo</t>
  </si>
  <si>
    <t>Mandatory contributions</t>
  </si>
  <si>
    <t>Salaried costs</t>
  </si>
  <si>
    <t>Job security provisions</t>
  </si>
  <si>
    <t>Employer's contributions</t>
  </si>
  <si>
    <t>Employee's contributions</t>
  </si>
  <si>
    <t>Stock</t>
  </si>
  <si>
    <t>Flow</t>
  </si>
  <si>
    <t>Total contributions</t>
  </si>
  <si>
    <t>Pensions</t>
  </si>
  <si>
    <t>Health</t>
  </si>
  <si>
    <t>Work injury/sev. payment</t>
  </si>
  <si>
    <t>Others</t>
  </si>
  <si>
    <t>Severance payment (without just cause)</t>
  </si>
  <si>
    <t>Firing notice</t>
  </si>
  <si>
    <t>Bonus</t>
  </si>
  <si>
    <t>Annual leave</t>
  </si>
  <si>
    <t>Severance payment (flow)</t>
  </si>
  <si>
    <t>Firing notice (flow)</t>
  </si>
  <si>
    <t>Total cost</t>
  </si>
  <si>
    <t>Costos laborales salariales y no salariales</t>
  </si>
  <si>
    <t>Datos a dólares PPP</t>
  </si>
  <si>
    <t>Implied PPP</t>
  </si>
  <si>
    <t>Employees social security contributions</t>
  </si>
  <si>
    <t>Work injury/severance payment</t>
  </si>
  <si>
    <t>Employers social security contributions</t>
  </si>
  <si>
    <t>Other non-salary costs</t>
  </si>
  <si>
    <t>Annual bonus</t>
  </si>
  <si>
    <t>Paid leave</t>
  </si>
  <si>
    <t>Severance payment</t>
  </si>
  <si>
    <t>Argentina</t>
  </si>
  <si>
    <t>Bolivia</t>
  </si>
  <si>
    <t>Brazil</t>
  </si>
  <si>
    <t>Chile</t>
  </si>
  <si>
    <t>Colombia</t>
  </si>
  <si>
    <t>Costa Rica</t>
  </si>
  <si>
    <t>Ecuador</t>
  </si>
  <si>
    <t>Guatemala</t>
  </si>
  <si>
    <t>Honduras</t>
  </si>
  <si>
    <t>Jamaica</t>
  </si>
  <si>
    <t>México</t>
  </si>
  <si>
    <t>Nicaragua</t>
  </si>
  <si>
    <t>Panamá</t>
  </si>
  <si>
    <t>Peru</t>
  </si>
  <si>
    <t>Paraguay</t>
  </si>
  <si>
    <t>Dom. Rep.</t>
  </si>
  <si>
    <t>El Salvador</t>
  </si>
  <si>
    <t>Uruguay</t>
  </si>
  <si>
    <t>Venezuela</t>
  </si>
  <si>
    <t>Trinidad &amp; Tobago</t>
  </si>
  <si>
    <t>Datos como % del PIB por trabajador</t>
  </si>
  <si>
    <t xml:space="preserve"> GDP per worker (US$ PPP)</t>
  </si>
  <si>
    <t>Annual wages</t>
  </si>
  <si>
    <t>Firing notice (low)</t>
  </si>
  <si>
    <t>Mexico</t>
  </si>
  <si>
    <t>Panama</t>
  </si>
  <si>
    <t>Costo total (flujo)</t>
  </si>
  <si>
    <t>Perú</t>
  </si>
  <si>
    <t>LAC</t>
  </si>
  <si>
    <t>RANKING SS. EMPLEADO</t>
  </si>
  <si>
    <t>Contribuciones a la Seguridad Social a cargo del Empleado</t>
  </si>
  <si>
    <t>RANKING SS. EMPLEADOR</t>
  </si>
  <si>
    <t>Contribuciones a la Seguridad Social a cargo del Empleador</t>
  </si>
  <si>
    <t>RANKINGS COSTO POR DESPIDO</t>
  </si>
  <si>
    <t>Costos por despido (flujo)</t>
  </si>
  <si>
    <t>Indemnización por despido (Stock)</t>
  </si>
  <si>
    <t>Aviso previo (Stock)</t>
  </si>
  <si>
    <t>Monthly wage</t>
  </si>
  <si>
    <t>Employees (pensions)</t>
  </si>
  <si>
    <t>Employers (pensions)</t>
  </si>
  <si>
    <t xml:space="preserve">Employees </t>
  </si>
  <si>
    <t>Employers</t>
  </si>
  <si>
    <t>WI</t>
  </si>
  <si>
    <t xml:space="preserve">Figure 1a. The average non-wage cost of salaried labor (NWC) 
Expressed as % of average wages
</t>
  </si>
  <si>
    <t>Bonuses</t>
  </si>
  <si>
    <t>Mandatory social security contributions</t>
  </si>
  <si>
    <t xml:space="preserve">Severance payment </t>
  </si>
  <si>
    <t xml:space="preserve">Figure 1b. The minimum cost of salaried labor (MCSL)
Expressed as % of GDP per worker
</t>
  </si>
  <si>
    <t>Figure 2. The non-wage cost of salaried labor (NWC), 2023</t>
  </si>
  <si>
    <t>% of average annual wage of formal workers</t>
  </si>
  <si>
    <t>ACSL</t>
  </si>
  <si>
    <t>MCSL</t>
  </si>
  <si>
    <t>PAIS</t>
  </si>
  <si>
    <t>Figure 2 table</t>
  </si>
  <si>
    <t>Year</t>
  </si>
  <si>
    <t>Datos como % del salario promedio anual de trabajadores formales</t>
  </si>
  <si>
    <t xml:space="preserve"> Average annual wage of formal workers</t>
  </si>
  <si>
    <t>Severance payment (stock)</t>
  </si>
  <si>
    <t>Firing notice (stock)</t>
  </si>
  <si>
    <t>RANKING COSTOS TOTALES</t>
  </si>
  <si>
    <t>Salario mínimo</t>
  </si>
  <si>
    <t>Contribuciones a la SS empleado</t>
  </si>
  <si>
    <t>Contribuciones a la SS empleador</t>
  </si>
  <si>
    <t>Aguinaldo y vacaciones</t>
  </si>
  <si>
    <t>Costos por despido (Stock)</t>
  </si>
  <si>
    <t>Indemnización por despido flujo</t>
  </si>
  <si>
    <t>Indemnización por despido  (stock)</t>
  </si>
  <si>
    <t>Figure 4. The minimum cost of salaried labor (MCSL), 2023</t>
  </si>
  <si>
    <t>% of de GDP per worker</t>
  </si>
  <si>
    <t>% del PIB por trabajador</t>
  </si>
  <si>
    <t>Salario annual</t>
  </si>
  <si>
    <t xml:space="preserve">Salaried costs </t>
  </si>
  <si>
    <t>Country</t>
  </si>
  <si>
    <t>GDP per worker</t>
  </si>
  <si>
    <t>Annual minimum wage</t>
  </si>
  <si>
    <t>Work injury/sev.payment</t>
  </si>
  <si>
    <t>Total contributions2</t>
  </si>
  <si>
    <t>Pensions3</t>
  </si>
  <si>
    <t>Health4</t>
  </si>
  <si>
    <t>Work injury/sev.payment5</t>
  </si>
  <si>
    <t>Others6</t>
  </si>
  <si>
    <t>Figure 4</t>
  </si>
  <si>
    <t>% de variación (2014 respecto a 2022)</t>
  </si>
  <si>
    <t>País</t>
  </si>
  <si>
    <t>Mandatory contrib</t>
  </si>
  <si>
    <t>Sev. Payment (f)</t>
  </si>
  <si>
    <t>Firing notice (f)</t>
  </si>
  <si>
    <t>Figure 5. Mandatory contributions: by employer and employee</t>
  </si>
  <si>
    <t>Work injury/sev. Payment</t>
  </si>
  <si>
    <t>Employees</t>
  </si>
  <si>
    <t>Total</t>
  </si>
  <si>
    <t>Mandatory contributions as % of average annual wage of formal workers</t>
  </si>
  <si>
    <t>Figure 6,7, 8. Mandatory contributions: by employer and employee</t>
  </si>
  <si>
    <t>Other contributions</t>
  </si>
  <si>
    <t>Figure 9: Average non-wage cost of salaried labor: Employees contributions</t>
  </si>
  <si>
    <t>Other contrib.</t>
  </si>
  <si>
    <t>Figure 10: The minimum cost of salaried labor: Employees contributions</t>
  </si>
  <si>
    <t xml:space="preserve">Figure 11: Average non-wage cost of salaried labor: Employers contributions </t>
  </si>
  <si>
    <t>Figure 12: The minimum cost of salaried labor: Employers contributions</t>
  </si>
  <si>
    <t xml:space="preserve">  </t>
  </si>
  <si>
    <t>Figure 10: The minimum cost of salaried labor: Employees and Employers</t>
  </si>
  <si>
    <t>URY2013</t>
  </si>
  <si>
    <t>URY2023</t>
  </si>
  <si>
    <t>ARG2013</t>
  </si>
  <si>
    <t>ARG2023</t>
  </si>
  <si>
    <t>BOL2013</t>
  </si>
  <si>
    <t>BOL2023</t>
  </si>
  <si>
    <t>PAN2013</t>
  </si>
  <si>
    <t>PAN2023</t>
  </si>
  <si>
    <t>ECU2013</t>
  </si>
  <si>
    <t>ECU2023</t>
  </si>
  <si>
    <t>CRI2013</t>
  </si>
  <si>
    <t>CRI2023</t>
  </si>
  <si>
    <t>PRY2013</t>
  </si>
  <si>
    <t>PRY2023</t>
  </si>
  <si>
    <t>SLV2013</t>
  </si>
  <si>
    <t>SLV2023</t>
  </si>
  <si>
    <t>DOM2013</t>
  </si>
  <si>
    <t>DOM2023</t>
  </si>
  <si>
    <t>GTM2013</t>
  </si>
  <si>
    <t>GTM2023</t>
  </si>
  <si>
    <t>MEX2013</t>
  </si>
  <si>
    <t>MEX2023</t>
  </si>
  <si>
    <t>BRB*</t>
  </si>
  <si>
    <t>LA</t>
  </si>
  <si>
    <t>Correlation between EPL for individual dismissals and cost of job security provisions</t>
  </si>
  <si>
    <t>pais</t>
  </si>
  <si>
    <t>Formality</t>
  </si>
  <si>
    <t>Salaried workers</t>
  </si>
  <si>
    <t>Unemployment</t>
  </si>
  <si>
    <t>labor_cost</t>
  </si>
  <si>
    <t>min_labor_cost</t>
  </si>
  <si>
    <t>GDP_PW</t>
  </si>
  <si>
    <t>Min_labor cost_employers</t>
  </si>
  <si>
    <t>EPL_Ind. Dismissals</t>
  </si>
  <si>
    <t>Procedural inconveniences</t>
  </si>
  <si>
    <t>Notice and severance pay</t>
  </si>
  <si>
    <t>Difficulty of dismisal</t>
  </si>
  <si>
    <t>Cost of job security provisions</t>
  </si>
  <si>
    <t xml:space="preserve"> </t>
  </si>
  <si>
    <t xml:space="preserve">Figure 14. Relationship between cost of job security provisions as share of wages (firing notices and severance pay) and the EPR index </t>
  </si>
  <si>
    <t>Notice and severance pay for no-fault individual dismissals</t>
  </si>
  <si>
    <t>Difficulty of dismissal</t>
  </si>
  <si>
    <t>Figure XX. Minimum cost of job security provisions</t>
  </si>
  <si>
    <t>% of GDP per worker</t>
  </si>
  <si>
    <t>Notice&amp;severance pay-individual dismissal</t>
  </si>
  <si>
    <t>Caribe</t>
  </si>
  <si>
    <t xml:space="preserve">LAC </t>
  </si>
  <si>
    <t xml:space="preserve">LA </t>
  </si>
  <si>
    <t>BHM</t>
  </si>
  <si>
    <t>Difficulty of dismissals</t>
  </si>
  <si>
    <t>COU</t>
  </si>
  <si>
    <t>year</t>
  </si>
  <si>
    <t>EPR_v3</t>
  </si>
  <si>
    <t>REGULAR1</t>
  </si>
  <si>
    <t>REGULAR2</t>
  </si>
  <si>
    <t>REGULAR3_v3</t>
  </si>
  <si>
    <t>Individual dismissals</t>
  </si>
  <si>
    <t>BHS2013</t>
  </si>
  <si>
    <t>BHS</t>
  </si>
  <si>
    <t>BRA2012</t>
  </si>
  <si>
    <t>BRB2013</t>
  </si>
  <si>
    <t>CHL2013</t>
  </si>
  <si>
    <t>COL2013</t>
  </si>
  <si>
    <t>HND2013</t>
  </si>
  <si>
    <t>JAM2013</t>
  </si>
  <si>
    <t>NIC2013</t>
  </si>
  <si>
    <t>PER2013</t>
  </si>
  <si>
    <t>VEN2013</t>
  </si>
  <si>
    <t>Correlation matriz (significance level at 95%)</t>
  </si>
  <si>
    <t>Cost of JSP</t>
  </si>
  <si>
    <t>Cost of severance pay</t>
  </si>
  <si>
    <t>Cost of firing notice</t>
  </si>
  <si>
    <t>ELR indicator-individual dismissal</t>
  </si>
  <si>
    <t>C1 EPL indicator-Procedural inconveniences</t>
  </si>
  <si>
    <t>C2 EPL indicator-notice and sev. Pay</t>
  </si>
  <si>
    <t>C3 EPL indicator-Difficulty of dismissals</t>
  </si>
  <si>
    <t>EPR indicator-individual dismissal</t>
  </si>
  <si>
    <t>C1 EPR indicator-Procedural inconveniences</t>
  </si>
  <si>
    <t>0.7497*</t>
  </si>
  <si>
    <t>C2 EPR indicator-notice and sev. Pay</t>
  </si>
  <si>
    <t>-0.6655*</t>
  </si>
  <si>
    <t>C3 EPR indicator-Difficulty of dismissals</t>
  </si>
  <si>
    <t>0.7988*</t>
  </si>
  <si>
    <t>0.5567*</t>
  </si>
  <si>
    <t>-0.6007*</t>
  </si>
  <si>
    <t>Bonus (days)</t>
  </si>
  <si>
    <t>Contribution base of mandatory contributions</t>
  </si>
  <si>
    <t>Total applicable for average wages</t>
  </si>
  <si>
    <t>Total applicable for the minimum wage</t>
  </si>
  <si>
    <t>Severance payment (days)</t>
  </si>
  <si>
    <t>Firing notice (days)</t>
  </si>
  <si>
    <t>UDS PPP</t>
  </si>
  <si>
    <t>Gross wage (wage+annual bonus)</t>
  </si>
  <si>
    <t xml:space="preserve">Colombia </t>
  </si>
  <si>
    <t>D. Republic</t>
  </si>
  <si>
    <t>Trinidad and Tobago</t>
  </si>
  <si>
    <t>Net wage</t>
  </si>
  <si>
    <t>Original unit and short description of typical cases</t>
  </si>
  <si>
    <t>Assignment of numerical strictness scores</t>
  </si>
  <si>
    <t>Assigned scores</t>
  </si>
  <si>
    <t>Scale 0‑3</t>
  </si>
  <si>
    <t>Scale (0‑3) × 2</t>
  </si>
  <si>
    <t>Notification Procedures</t>
  </si>
  <si>
    <t xml:space="preserve">when an oral statement is enough; </t>
  </si>
  <si>
    <t>when a written statement of the reasons for dismissal must be supplied to the employee;</t>
  </si>
  <si>
    <t>when a third party (such as works council or the competent labor authority) must be notified;</t>
  </si>
  <si>
    <t>when the employer cannot proceed to dismissal without authorization from a third party.</t>
  </si>
  <si>
    <t>Days</t>
  </si>
  <si>
    <t>≤ 2</t>
  </si>
  <si>
    <t>&lt; 10</t>
  </si>
  <si>
    <t>&lt; 18</t>
  </si>
  <si>
    <t>&lt; 26</t>
  </si>
  <si>
    <t>&lt; 35</t>
  </si>
  <si>
    <t>&lt; 45</t>
  </si>
  <si>
    <t>≥ 45</t>
  </si>
  <si>
    <t>Delay involved before notice can start</t>
  </si>
  <si>
    <t>Estimated time includes, where relevant, the following assumptions: 6 days are counted in case of required warning procedure, 1 day when dismissal can be notified orally or the notice can be directly handed to the employee, 2 days when a letter needs to be sent by mail and 3 days when this must be a registered letter.</t>
  </si>
  <si>
    <t>9 months tenure</t>
  </si>
  <si>
    <t>Months</t>
  </si>
  <si>
    <t>≤ 0.4</t>
  </si>
  <si>
    <t>≤ 0.8</t>
  </si>
  <si>
    <t>≤ 1.2</t>
  </si>
  <si>
    <t>&lt; 1.6</t>
  </si>
  <si>
    <t>&lt; 2</t>
  </si>
  <si>
    <t>≥ 2</t>
  </si>
  <si>
    <t>Length of the notice period at</t>
  </si>
  <si>
    <t>4 years tenure</t>
  </si>
  <si>
    <t>≤ 0.75</t>
  </si>
  <si>
    <t>≤ 1.25</t>
  </si>
  <si>
    <t>&lt; 2.5</t>
  </si>
  <si>
    <t>&lt; 3.5</t>
  </si>
  <si>
    <t>≥ 3.5</t>
  </si>
  <si>
    <t>20 years tenure</t>
  </si>
  <si>
    <t>&lt; 1</t>
  </si>
  <si>
    <t>≤ 2.75</t>
  </si>
  <si>
    <t>&lt; 5</t>
  </si>
  <si>
    <t>&lt; 7</t>
  </si>
  <si>
    <t>&lt; 9</t>
  </si>
  <si>
    <t>&lt; 11</t>
  </si>
  <si>
    <t>≥ 11</t>
  </si>
  <si>
    <t>Months pay</t>
  </si>
  <si>
    <t>≤ 0.5</t>
  </si>
  <si>
    <t>≤ 1</t>
  </si>
  <si>
    <t>≤ 1.75</t>
  </si>
  <si>
    <t>≤ 2.5</t>
  </si>
  <si>
    <t>&lt; 3</t>
  </si>
  <si>
    <t>≥ 3</t>
  </si>
  <si>
    <t>Severance pay at</t>
  </si>
  <si>
    <t>≤ 3</t>
  </si>
  <si>
    <t>&lt; 4</t>
  </si>
  <si>
    <t>≥ 4</t>
  </si>
  <si>
    <t>≤ 6</t>
  </si>
  <si>
    <t>≤ 10</t>
  </si>
  <si>
    <t>≤ 12</t>
  </si>
  <si>
    <t>≤ 18</t>
  </si>
  <si>
    <t>&gt; 18</t>
  </si>
  <si>
    <t>Scale (0‑3) × 2</t>
  </si>
  <si>
    <t>Definition of justified or unfair dismissal</t>
  </si>
  <si>
    <t>when worker capability or redundancy of the job are adequate and sufficient ground for dismissal;</t>
  </si>
  <si>
    <t>when social considerations, age or job tenure must when possible influence the choice of which worker(s) to dismiss;</t>
  </si>
  <si>
    <t>when a transfer and/or a retraining to adapt the worker to different work must be attempted prior to dismissal;</t>
  </si>
  <si>
    <t>when worker capability cannot be a ground for dismissal.</t>
  </si>
  <si>
    <t>≥ 24</t>
  </si>
  <si>
    <t>&gt; 12</t>
  </si>
  <si>
    <t>&gt; 9</t>
  </si>
  <si>
    <t>&gt; 5</t>
  </si>
  <si>
    <t>&gt; 2.5</t>
  </si>
  <si>
    <t>≥ 1.5</t>
  </si>
  <si>
    <t>&lt; 1.5</t>
  </si>
  <si>
    <t>Length of trial period</t>
  </si>
  <si>
    <t xml:space="preserve">Period within which, regular contracts are not fully covered by employment protection provisions and unfair dismissal claims can usually not be made. </t>
  </si>
  <si>
    <t>≤ 8</t>
  </si>
  <si>
    <t>≤ 24</t>
  </si>
  <si>
    <t>≤ 30</t>
  </si>
  <si>
    <t>&gt; 30</t>
  </si>
  <si>
    <t>Compensation following unfair dismissal</t>
  </si>
  <si>
    <t>Typical compensation at 20 years of tenure, including back pay and other compensation (e.g. for future lost earnings in lieu of reinstatement or psychological injury), but excluding ordinary severance pay.</t>
  </si>
  <si>
    <t>Scale 0‑3</t>
  </si>
  <si>
    <t>Scale (0‑3) × 2</t>
  </si>
  <si>
    <t>Possibility of reinstatement following unfair dismissal</t>
  </si>
  <si>
    <t>no right or practice of reinstatement;</t>
  </si>
  <si>
    <t>reinstatement rarely or sometimes made available;</t>
  </si>
  <si>
    <t>reinstatement fairly often made available;</t>
  </si>
  <si>
    <t>reinstatement (almost) always made available;</t>
  </si>
  <si>
    <t>Before dismissal takes effect</t>
  </si>
  <si>
    <t>≤ 9</t>
  </si>
  <si>
    <t>&gt; 12</t>
  </si>
  <si>
    <t>Maximum time to make a claim of unfair dismissal</t>
  </si>
  <si>
    <t>Maximum time period after dismissal notification up to which an unfair dismissal claim can be made.</t>
  </si>
  <si>
    <t>Code</t>
  </si>
  <si>
    <t>Frequency</t>
  </si>
  <si>
    <t>ppp</t>
  </si>
  <si>
    <t>Notes</t>
  </si>
  <si>
    <t>Monthly</t>
  </si>
  <si>
    <t>Average montly wage for the semester</t>
  </si>
  <si>
    <t>National minimum wage floor</t>
  </si>
  <si>
    <t>National minimum wage floor for adults</t>
  </si>
  <si>
    <t>Daily</t>
  </si>
  <si>
    <t>Daily value (19,650) multiplied by 30 days.</t>
  </si>
  <si>
    <t>Minimum wages are set according to economic activity. The average presented in the table includes wages for unqualified workers, semi-qualified, skilled, specialized and the average for agricultural workers.</t>
  </si>
  <si>
    <r>
      <t>Dom. Rep.</t>
    </r>
    <r>
      <rPr>
        <b/>
        <sz val="9"/>
        <color theme="1"/>
        <rFont val="Times New Roman"/>
        <family val="1"/>
      </rPr>
      <t xml:space="preserve"> (1)</t>
    </r>
  </si>
  <si>
    <t xml:space="preserve">Montly </t>
  </si>
  <si>
    <t xml:space="preserve">Average montly wage for micro, small, medium and large enterprises. Differs from the previous technical note, which took the minimum wage applicable to micro enterprises. </t>
  </si>
  <si>
    <t>Monthly average wage (daily wage multiplied by 365/12 days) of each industry.</t>
  </si>
  <si>
    <r>
      <t>Guatemala</t>
    </r>
    <r>
      <rPr>
        <b/>
        <sz val="8"/>
        <color theme="1"/>
        <rFont val="Times New Roman"/>
        <family val="1"/>
      </rPr>
      <t xml:space="preserve"> (2)</t>
    </r>
  </si>
  <si>
    <r>
      <t>Monthly average wage (daily wage multiplied by 365/12  days) including wages of agricultural workers and non-agricultural workers</t>
    </r>
    <r>
      <rPr>
        <sz val="8"/>
        <color theme="1"/>
        <rFont val="Times New Roman"/>
        <family val="1"/>
      </rPr>
      <t xml:space="preserve"> (1)</t>
    </r>
  </si>
  <si>
    <t xml:space="preserve">Minimum wages are set according to economic activity.  The value in this table corresponds to the average of monthly wages of each economic activity for small, medium and large enterprises.  Differs from the previous technical note, which took the minimum wage applicable to large enterprises. </t>
  </si>
  <si>
    <r>
      <t>Jamaica</t>
    </r>
    <r>
      <rPr>
        <b/>
        <sz val="8"/>
        <color theme="1"/>
        <rFont val="Times New Roman"/>
        <family val="1"/>
      </rPr>
      <t xml:space="preserve"> (3)</t>
    </r>
  </si>
  <si>
    <t>Weekly</t>
  </si>
  <si>
    <t>Weekly value multiplied by 4.3 weeks per month.</t>
  </si>
  <si>
    <t>Minimum wages are set according to geographical zone (General and Free Trade Zone).  The value presented is the general minimum wage.</t>
  </si>
  <si>
    <r>
      <t>Nicaragua</t>
    </r>
    <r>
      <rPr>
        <b/>
        <sz val="8"/>
        <color theme="1"/>
        <rFont val="Times New Roman"/>
        <family val="1"/>
      </rPr>
      <t xml:space="preserve"> (3)</t>
    </r>
  </si>
  <si>
    <t>Minimum wages are set according to economic activity.  The value in this table corresponds to the average of monthly wages of each economic activity.</t>
  </si>
  <si>
    <t>Hourly</t>
  </si>
  <si>
    <t xml:space="preserve">Minimum wages are set according to economic activity.  The value in this table corresponds to the average of monthly wages of each economic activity. The hourly wage is multiplied by 8 hours per day and by 30 days per month. </t>
  </si>
  <si>
    <t>In 2023, the national minimum wage is standardized across the country, with no distinctions between urban and rural areas. This is a difference compared to 2013. Venezuelan bolivars (VEF) per month (or 130 strong bolivars per month).</t>
  </si>
  <si>
    <t xml:space="preserve">Notes: 
(1) In Guatemala, for labor costs calculations, the minimum wage includes the annual bonus of 250 quetzales.
</t>
  </si>
  <si>
    <t>Table A.2. Other contributions: rates applicable to average wages</t>
  </si>
  <si>
    <t>Others Employee's contributions</t>
  </si>
  <si>
    <t>Others Employers' contributions</t>
  </si>
  <si>
    <t>Others Total</t>
  </si>
  <si>
    <t>Work injury</t>
  </si>
  <si>
    <t>Unemployment insurance</t>
  </si>
  <si>
    <t>Table A.3. Other contributions: rates and description</t>
  </si>
  <si>
    <t>Employee</t>
  </si>
  <si>
    <t>Employer</t>
  </si>
  <si>
    <t>Unemployment insurance 0,9%
Family allowances 4,4%</t>
  </si>
  <si>
    <t>Work injury 1,7%</t>
  </si>
  <si>
    <t>Work injury - 1%
Salario Educación - 2,5%
FGTS - 8%
Servicio Nacional de Aprendizaje - 1%
Servicio Social - 1,5%
Instituto Nacional de Colonización y Reforma Agraria - 0,2%</t>
  </si>
  <si>
    <t>Unemployment insurance 0,6%
Comisión para AFP's - 1,48%</t>
  </si>
  <si>
    <t>Work injury 1%
Unemployment insurance 2,4%
Disability insurance - 1,26%</t>
  </si>
  <si>
    <t>Unemployment insurance 8,3%
Work injury 0,3%
Instituto Colombiano de Bienestar Familiar - 3% (applicable for workers that earn more than 10 minimum wages).
Servicio Nacional de Aprendizaje - 2% (applicable for workers that earn more than 10 minimum wages).
Cajas de Compensación Familiar - 4%</t>
  </si>
  <si>
    <t>Cuota Banco Popular -1%</t>
  </si>
  <si>
    <t>Work injury 0,3%
Unemployment insurance 3%
Family allowances 5%
Cuota Banco Popular - 0,5%
Instituto Nacional de Aprendizaje - 1,5%
Instituto Mixto de Ayuda Social -0,5%</t>
  </si>
  <si>
    <t>Unemployment insurance 2%
Seguro Social Campesino - 0,35%
Ley orgánica de discapacidad - 0,10%
Administration fee - 0,36%</t>
  </si>
  <si>
    <t>Work injury 0,55%
Unemployment insurance 1%
Seguro Social Campesino - 0,35%
Administration fee - 0,44%</t>
  </si>
  <si>
    <t>Work injury 1%</t>
  </si>
  <si>
    <t>Work injury 3%
Instituto Técnico de Capacitación y Productividad - INTECAP - 1%
Instituto de Recreación de trabajadores del sector privado - IRTRA - 1%</t>
  </si>
  <si>
    <t>Fondo Social para la Vivienda - FOSOVI - 1,5%</t>
  </si>
  <si>
    <t>Work injury 0,2%
Instituto Nacional de Formación Profesional - INFOP - 1%
Fondo Social para la Vivienda - FOSOVI - 1,5%</t>
  </si>
  <si>
    <t>National Housing Trust  - NHT -  2%
Education tax - 2,25%</t>
  </si>
  <si>
    <t>National Housing Trust - NHT - 3%
Education tax - 3,5%
HEART Trust - 3%</t>
  </si>
  <si>
    <t>Work injury 1,98%
Day care centers and social contributions - 1%
INFONAVIT (Vivienda) - 5%</t>
  </si>
  <si>
    <t>Work injury 1,5%
Víctimas de guerra - 1,5%
Instituto Nacional Tecnológico (INATEC) - 2%</t>
  </si>
  <si>
    <t>Education insurance - 1,25%</t>
  </si>
  <si>
    <t>Work injury 0,42%
Education insurance - 1,5%</t>
  </si>
  <si>
    <t>Compensación por tiempo de Servicios-8,3%
Work injury 0,6%</t>
  </si>
  <si>
    <t>Sistema Nacional de Formación y Capacitación Laboral - SINAFOCAL- 1%</t>
  </si>
  <si>
    <t>Dom. Republic</t>
  </si>
  <si>
    <t>Instituto de Formación Profesional - INFOTEP - 0,05%</t>
  </si>
  <si>
    <t>Work injury 1,2%
Instituto de Formación Profesional - INFOTEP -  1%</t>
  </si>
  <si>
    <t>INSAFORP - 1%</t>
  </si>
  <si>
    <t>Fondo de Reconversión Laboral (FRL) - 0,125%</t>
  </si>
  <si>
    <t>Work injury 6,9%
Fondo de Reconversión Laboral (FRL) - 0,125%</t>
  </si>
  <si>
    <t>Family allowances 0,5%
Instituto Nacional de Cooperación Educacional - 0,5%
Subsistema de Vivienda y Habitat - 1%</t>
  </si>
  <si>
    <t>Work injury 0,75%
Unemployment insurance 2%
Instituto Nacional de Cooperación Educacional - 2%
Subsistema de Vivienda y Habitat - 2%</t>
  </si>
  <si>
    <t>Excludes VEN</t>
  </si>
  <si>
    <t>Average wage</t>
  </si>
  <si>
    <t>Salario promedio 2013 de informales en la actividad principal</t>
  </si>
  <si>
    <t>mensual</t>
  </si>
  <si>
    <t>annual</t>
  </si>
  <si>
    <t>Figure XX. Cost of job security provisions</t>
  </si>
  <si>
    <t>Monthly minimum wage</t>
  </si>
  <si>
    <t>Paid leave (days)</t>
  </si>
  <si>
    <t>Net wage for employees, gross wage for employers.</t>
  </si>
  <si>
    <t>Gross wage (wage+annual bonus).</t>
  </si>
  <si>
    <t>4% </t>
  </si>
  <si>
    <t>Pension</t>
  </si>
  <si>
    <t>Total change (percentage points)</t>
  </si>
  <si>
    <t>Wage Costs</t>
  </si>
  <si>
    <t>Non-wage labor costs</t>
  </si>
  <si>
    <t>Total Cost</t>
  </si>
  <si>
    <t>Job security, bonus and paid leave</t>
  </si>
  <si>
    <t>Social Security Contributions</t>
  </si>
  <si>
    <t>LAC without TTO and NIC</t>
  </si>
  <si>
    <t>Individual Accounts</t>
  </si>
  <si>
    <t xml:space="preserve">Note: Antigua and Barbuda is expecting gradual increases: Employee reaching 7% by 2025, Employer reaching 8% by 2025. 
In January 2025, Chile's Congress approved a significant pension reform. This reform includes an increase in employer contributions, adding an additional 8.5% over nine years to the existing employee contribution. </t>
  </si>
  <si>
    <t>Social Security Programs Throughout the World: The Americas, 2013</t>
  </si>
  <si>
    <t xml:space="preserve">Source 2013 pension and health: SSA The Americas 2013. </t>
  </si>
  <si>
    <t>Belize: https://publications.iadb.org/publications/english/document/Belize-Pension-System.pdf</t>
  </si>
  <si>
    <t>Suriname: https://www.imf.org/external/pubs/ft/scr/2014/cr14316.pdf?utm_source=chatgpt.com</t>
  </si>
  <si>
    <t>Change in ACSL</t>
  </si>
  <si>
    <t>Latin America</t>
  </si>
  <si>
    <t>ACSL 2023</t>
  </si>
  <si>
    <t>Dominican Republic</t>
  </si>
  <si>
    <t>Total 2023</t>
  </si>
  <si>
    <t>Total 2025</t>
  </si>
  <si>
    <t>Difference 2023 vs 2025</t>
  </si>
  <si>
    <t>Estimated cost 2025</t>
  </si>
  <si>
    <t>2025 (Projected)</t>
  </si>
  <si>
    <t>2023 vs 2013</t>
  </si>
  <si>
    <t>2025 vs 2023</t>
  </si>
  <si>
    <t>2025 (projected)</t>
  </si>
  <si>
    <t>MW</t>
  </si>
  <si>
    <t>REST</t>
  </si>
  <si>
    <t>TOTAL COST</t>
  </si>
  <si>
    <t>Difference 2023 vs 2013</t>
  </si>
  <si>
    <t>Aumento en compensacion de tiempo de servicios en 1.7 pp de 2013 a 2023.</t>
  </si>
  <si>
    <t>Aumento en compensacion de fondo de capitalizacion de trabajadores (1.5pp), pensiones, etc.</t>
  </si>
  <si>
    <t>Aumento en workers' insurance</t>
  </si>
  <si>
    <t>Aumento en seguro por discapacidad</t>
  </si>
  <si>
    <t>Aumento en tasas de pensiones</t>
  </si>
  <si>
    <t>Total Change</t>
  </si>
  <si>
    <t>Table 1. Evolution of Average Wage Worker Contribution Rates by Country (2013-2025)</t>
  </si>
  <si>
    <t>Box 1</t>
  </si>
  <si>
    <t>Deduction allowed</t>
  </si>
  <si>
    <t>Legal Entity</t>
  </si>
  <si>
    <t>Natural Person</t>
  </si>
  <si>
    <t>Social Security</t>
  </si>
  <si>
    <t>Only pension contributions</t>
  </si>
  <si>
    <t>Severance Payments</t>
  </si>
  <si>
    <t>Yes</t>
  </si>
  <si>
    <t>X</t>
  </si>
  <si>
    <t>No</t>
  </si>
  <si>
    <t>Monthly value
(local currency)</t>
  </si>
  <si>
    <t>Monthly value
(US$ PPP)</t>
  </si>
  <si>
    <t>Change</t>
  </si>
  <si>
    <t>Minimum Wage Estimation</t>
  </si>
  <si>
    <t>Updated to use the average monthly wage across micro, small, medium, and large enterprises, instead of the minimum wage applicable to small enterprises.</t>
  </si>
  <si>
    <t>The values correspond to the average monthly wage across small, medium, and large enterprises, rather than the minimum wage for large enterprises used previously.</t>
  </si>
  <si>
    <t>Parameter</t>
  </si>
  <si>
    <t>Corrected 2013 calculations to apply the health contribution rate for single workers without dependents (3% instead of 4.5% for workers with dependents).</t>
  </si>
  <si>
    <t>Adjusted 2013 estimates to reflect 19 days of paid leave for workers with five years of tenure (15 days plus 30% wage compensation), correcting the previous value of 24 days.</t>
  </si>
  <si>
    <t>Corrected 2013 calculations to reflect a 60-day firing notice for workers with five years of tenure, instead of 30 days.</t>
  </si>
  <si>
    <t>Corrected 2013 calculations to include severance fund contributions (1.92% of the base wage) and pension contributions on the 13th month (7.25% employee and 10.75% employer of that month’s wage).</t>
  </si>
  <si>
    <t>Corrected 2013 calculations to include a 1.5% contribution to the Ministerio de Salud Pública y Bienestar Social (MSPBS), in addition to the existing 1% contribution to the Sistema Nacional de Formación y Capacitación Laboral (SINAFOCAL).</t>
  </si>
  <si>
    <t>Corrected 2013 calculations to include an additional 1.5% health contribution on base wages exceeding 2.5 BPS.</t>
  </si>
  <si>
    <t>Calculation</t>
  </si>
  <si>
    <t>Corrected the base wage to include bonus payments.</t>
  </si>
  <si>
    <t>Appendix 4:      Methodology changes compared to 2013 estimations</t>
  </si>
  <si>
    <t>2013</t>
  </si>
  <si>
    <t>2023</t>
  </si>
  <si>
    <t>Component</t>
  </si>
  <si>
    <t>Source: Authors based on official institutions of each country such as Ministries of Labor, Central Banks, and official decrees. Note: “Others” include mandatory contributions made to individual accounts, such as the case in Colombia, Costa Rica, Panama, Ecuador, Peru and Brazil. (1) As of August 1, 2025.</t>
  </si>
  <si>
    <t>Education Insurance: gross wage.</t>
  </si>
  <si>
    <t>Pensions and FRL: Gross wage (wage+annual bonus)</t>
  </si>
  <si>
    <t>Rest: Net Wage</t>
  </si>
  <si>
    <t>Table 1. Labor cost for Latin American and Caribbean countries in 2025</t>
  </si>
  <si>
    <t>Figure 2a Table</t>
  </si>
  <si>
    <t>Figure 2.b. Change in NWC of Salaried Labor, 2013 vs 2023</t>
  </si>
  <si>
    <t>Figure 2c. NWC of Salaried Labor, 2023</t>
  </si>
  <si>
    <t>Figure 4a: The cost of formalizing informal labor (CFIL), 2013 &amp; 2023</t>
  </si>
  <si>
    <t>Figure 4b: Relationship between the cost of formalizing informal labor (CFIL) and other measures of labor costs, 2013 &amp; 2023</t>
  </si>
  <si>
    <t>CFIL 2023</t>
  </si>
  <si>
    <t>MCSL 2023</t>
  </si>
  <si>
    <t>USD PPP</t>
  </si>
  <si>
    <t>Appendix 1. Quantifying the 9 basis measures of individuals dismissals of workers with regular contracts (EPR)</t>
  </si>
  <si>
    <t>Correction</t>
  </si>
  <si>
    <t>Corrected 2013 calculations to include the employer reserve fund, equivalent to 8.33% of the base wage. Included 14th salary as bonus payment (does not affect base wage).</t>
  </si>
  <si>
    <t>Appendix 5. Minimum wages in Latin American countries, 2023-2025</t>
  </si>
  <si>
    <t> Country</t>
  </si>
  <si>
    <t>Unemployment insurance 0.9%</t>
  </si>
  <si>
    <t>Family allowances 4.7%</t>
  </si>
  <si>
    <t>Work injury 1.71%</t>
  </si>
  <si>
    <t>Work injury - 1%</t>
  </si>
  <si>
    <t>Salario Educación – 2.5%</t>
  </si>
  <si>
    <t>FGTS - 8%</t>
  </si>
  <si>
    <t>Servicio Nacional de Aprendizaje - 1%</t>
  </si>
  <si>
    <t>Servicio Social – 1.5%</t>
  </si>
  <si>
    <t>Unemployment insurance 0.6%</t>
  </si>
  <si>
    <t>Comisión para AFP's – 1.45%</t>
  </si>
  <si>
    <t>Work injury 0.9%</t>
  </si>
  <si>
    <t>Unemployment insurance 2.4%</t>
  </si>
  <si>
    <t>Disability insurance – 1.78%</t>
  </si>
  <si>
    <t>Unemployment insurance 8.3%</t>
  </si>
  <si>
    <t>Work injury 0.7%</t>
  </si>
  <si>
    <t>Instituto Colombiano de Bienestar Familiar - 3% (workers that earn more than 10 minimum wages).</t>
  </si>
  <si>
    <t>Servicio Nacional de Aprendizaje - 2% (applicable for workers that earn more than 10 minimum wages).</t>
  </si>
  <si>
    <t>Cajas de Compensación Familiar - 4%</t>
  </si>
  <si>
    <t>Cuota Banco Popular - 1%</t>
  </si>
  <si>
    <t>Work injury 0.3%</t>
  </si>
  <si>
    <t>Workers Capitalization Fund 1.5%</t>
  </si>
  <si>
    <t>Family allowances 5%</t>
  </si>
  <si>
    <t>Cuota Banco Popular - 0,25%</t>
  </si>
  <si>
    <t>Instituto Nacional de Aprendizaje - 1,5%</t>
  </si>
  <si>
    <t>Instituto Mixto de Ayuda Social -0,5%</t>
  </si>
  <si>
    <t>Unemployment insurance 2%</t>
  </si>
  <si>
    <t>Seguro Social Campesino – 0.35%</t>
  </si>
  <si>
    <t>Ley orgánica de discapacidad – 0.10%</t>
  </si>
  <si>
    <t>Administration fee – 0.36%</t>
  </si>
  <si>
    <t>Work injury 0.38%</t>
  </si>
  <si>
    <t>Unemployment insurance 1%</t>
  </si>
  <si>
    <t>Administration fee – 0.44%</t>
  </si>
  <si>
    <t>Reserve fund for employees – 8.33%</t>
  </si>
  <si>
    <t>Work injury 3%</t>
  </si>
  <si>
    <t>Instituto Técnico de Capacitación y Productividad - INTECAP - 1%</t>
  </si>
  <si>
    <t>Instituto de Recreación de trabajadores del sector privado - IRTRA - 1%</t>
  </si>
  <si>
    <t>Fondo Social para la Vivienda - FOSOVI – 1.5%</t>
  </si>
  <si>
    <t>Work injury 0.2%</t>
  </si>
  <si>
    <t>Instituto Nacional de Formación Profesional - INFOP - 1%</t>
  </si>
  <si>
    <t xml:space="preserve">Fondo Social para la Vivienda - FOSOVI – 1.5% </t>
  </si>
  <si>
    <t>Severance fund – 4%[1]</t>
  </si>
  <si>
    <t>National Housing Trust - NHT - 2%</t>
  </si>
  <si>
    <t>Education tax - 2%</t>
  </si>
  <si>
    <t>National Housing Trust - NHT - 3%</t>
  </si>
  <si>
    <t>Education tax – 3.5%</t>
  </si>
  <si>
    <t>HEART Trust - 3%</t>
  </si>
  <si>
    <t>Work injury 1.98%</t>
  </si>
  <si>
    <t>Day care centers and social contributions - 1%</t>
  </si>
  <si>
    <t>INFONAVIT (Vivienda) - 5%</t>
  </si>
  <si>
    <t>Education insurance – 1.25%</t>
  </si>
  <si>
    <t>Work injury 0.42%</t>
  </si>
  <si>
    <t>Education insurance – 1.5%</t>
  </si>
  <si>
    <t>Severance fund – 1.9%</t>
  </si>
  <si>
    <t>Compensación por tiempo de Servicios - 10%</t>
  </si>
  <si>
    <t>Work injury 0.63%</t>
  </si>
  <si>
    <t>Ministerio de Salud Pública y Bienestar Social (MSPBS) – 1.5%</t>
  </si>
  <si>
    <t>Instituto de Formación Profesional - INFOTEP – 0.5%</t>
  </si>
  <si>
    <t>Instituto de Formación Profesional - INFOTEP -  1%</t>
  </si>
  <si>
    <r>
      <t>INCAF</t>
    </r>
    <r>
      <rPr>
        <sz val="10"/>
        <color rgb="FF000000"/>
        <rFont val="Times New Roman"/>
        <family val="1"/>
      </rPr>
      <t xml:space="preserve"> - 1%</t>
    </r>
  </si>
  <si>
    <t>Fondo de Reconversión Laboral (FRL) – 0.10%</t>
  </si>
  <si>
    <t>Work injury 6.9%</t>
  </si>
  <si>
    <t>Unemployment insurance 0.5%</t>
  </si>
  <si>
    <t>Instituto Nacional de Cooperación Educacional – 0.5%</t>
  </si>
  <si>
    <t>Subsistema de Vivienda y Habitat - 1%</t>
  </si>
  <si>
    <t>Work injury 0.75%</t>
  </si>
  <si>
    <t>Instituto Nacional de Cooperación Educacional - 2%</t>
  </si>
  <si>
    <t>Subsistema de Vivienda y Habitat - 2%</t>
  </si>
  <si>
    <t>[1]</t>
  </si>
  <si>
    <t>This contribution can be deducted from severance payments in case of unfair dismissal, so it does not incur in an increased labor cost.</t>
  </si>
  <si>
    <t>Appendix 6. Other contributions: rates and description, 2025</t>
  </si>
  <si>
    <t>Figure 2. The non-wage cost of salaried labor (NWC), 2013-2025</t>
  </si>
  <si>
    <t>2025 Projection</t>
  </si>
  <si>
    <t>Figure 2. The non-wage cost of salaried labor (NWC), 2025</t>
  </si>
  <si>
    <t>Figure 14. The minimum cost of salaried labor (MCSL), 2025</t>
  </si>
  <si>
    <t>% of de GDP per worker of 2024</t>
  </si>
  <si>
    <t>% of average annual wage of formal workers of 2024</t>
  </si>
  <si>
    <t xml:space="preserve">Figure 1c. The cost of formalizing informal workers (CFIL), expressed as % of the average informal wage
</t>
  </si>
  <si>
    <t>Order</t>
  </si>
  <si>
    <t>Bahamas</t>
  </si>
  <si>
    <t>Barbados</t>
  </si>
  <si>
    <r>
      <t xml:space="preserve">2025 </t>
    </r>
    <r>
      <rPr>
        <b/>
        <vertAlign val="superscript"/>
        <sz val="8"/>
        <color rgb="FF000000"/>
        <rFont val="Times New Roman"/>
        <family val="1"/>
      </rPr>
      <t>(1)</t>
    </r>
  </si>
  <si>
    <t xml:space="preserve">Figure 2. Real Minimum Wage as a Proportion of GDP per Worker
</t>
  </si>
  <si>
    <t>Figure 3. The minimum cost of salaried labor (MCSL), 2023</t>
  </si>
  <si>
    <t>% Average informal wage</t>
  </si>
  <si>
    <t>Figure 6</t>
  </si>
  <si>
    <t>Figure 7</t>
  </si>
  <si>
    <t>Figure 8</t>
  </si>
  <si>
    <t>Solidarity fund (pensions): 4 minimum wages.</t>
  </si>
  <si>
    <t>Employer health contribution: 10 minimum wages.</t>
  </si>
  <si>
    <t>Sickness and maternity (regular) 20.4% of UMA</t>
  </si>
  <si>
    <t>Sickness and maternity 1.1%: surplus over 3 UMA</t>
  </si>
  <si>
    <t>Appendix 1.1. EPR Index 2013-2023</t>
  </si>
  <si>
    <r>
      <t>GDP per worker (US$ PPP)</t>
    </r>
    <r>
      <rPr>
        <b/>
        <vertAlign val="superscript"/>
        <sz val="9"/>
        <color rgb="FF000000"/>
        <rFont val="Times New Roman"/>
        <family val="1"/>
      </rPr>
      <t>1</t>
    </r>
  </si>
  <si>
    <t>Note: 1) 2024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</si>
</sst>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44" formatCode="_(&quot;$&quot;* #,##0.00_);_(&quot;$&quot;* \(#,##0.00\);_(&quot;$&quot;* &quot;-&quot;??_);_(@_)"/>
    <numFmt numFmtId="43" formatCode="_(* #,##0.00_);_(* \(#,##0.00\);_(* &quot;-&quot;??_);_(@_)"/>
    <numFmt numFmtId="164" formatCode="_-* #,##0_-;\-* #,##0_-;_-* &quot;-&quot;_-;_-@_-"/>
    <numFmt numFmtId="165" formatCode="_-* #,##0.00_-;\-* #,##0.00_-;_-* &quot;-&quot;??_-;_-@_-"/>
    <numFmt numFmtId="166" formatCode="_-* #,##0.00\ _€_-;\-* #,##0.00\ _€_-;_-* &quot;-&quot;??\ _€_-;_-@_-"/>
    <numFmt numFmtId="167" formatCode="0.0%"/>
    <numFmt numFmtId="168" formatCode="_-* #,##0\ _p_t_a_-;\-* #,##0\ _p_t_a_-;_-* &quot;-&quot;\ _p_t_a_-;_-@_-"/>
    <numFmt numFmtId="169" formatCode="_-* #,##0\ _P_t_s_-;\-* #,##0\ _P_t_s_-;_-* &quot;-&quot;\ _P_t_s_-;_-@_-"/>
    <numFmt numFmtId="170" formatCode="_ * #,##0.00_ ;_ * \-#,##0.00_ ;_ * &quot;-&quot;??_ ;_ @_ "/>
    <numFmt numFmtId="171" formatCode="_-* #,##0.00\ _P_t_s_-;\-* #,##0.00\ _P_t_s_-;_-* &quot;-&quot;??\ _P_t_s_-;_-@_-"/>
    <numFmt numFmtId="172" formatCode="##0.0;\-##0.0;0.0;"/>
    <numFmt numFmtId="173" formatCode="\ \.\.;\ \.\.;\ \.\.;\ \.\."/>
    <numFmt numFmtId="174" formatCode="0.000%"/>
    <numFmt numFmtId="175" formatCode="_(* #,##0_);_(* \(#,##0\);_(* &quot;-&quot;??_);_(@_)"/>
    <numFmt numFmtId="176" formatCode="_(* #,##0.0000_);_(* \(#,##0.0000\);_(* &quot;-&quot;??_);_(@_)"/>
    <numFmt numFmtId="177" formatCode="_(* #,##0.00000_);_(* \(#,##0.00000\);_(* &quot;-&quot;??_);_(@_)"/>
    <numFmt numFmtId="178" formatCode="0.0"/>
    <numFmt numFmtId="179" formatCode="_(* #,##0.0_);_(* \(#,##0.0\);_(* &quot;-&quot;??_);_(@_)"/>
    <numFmt numFmtId="180" formatCode="#,##0.0_);\(#,##0.0\)"/>
  </numFmts>
  <fonts count="159" x14ac:knownFonts="1">
    <font>
      <sz val="11"/>
      <color theme="1"/>
      <name val="Aptos Narrow"/>
      <family val="2"/>
      <scheme val="minor"/>
    </font>
    <font>
      <sz val="11"/>
      <color theme="1"/>
      <name val="Aptos Narrow"/>
      <family val="2"/>
      <scheme val="minor"/>
    </font>
    <font>
      <b/>
      <sz val="11"/>
      <color theme="1"/>
      <name val="Aptos Narrow"/>
      <family val="2"/>
      <scheme val="minor"/>
    </font>
    <font>
      <b/>
      <sz val="10"/>
      <color theme="1"/>
      <name val="Aptos Narrow"/>
      <family val="2"/>
      <scheme val="minor"/>
    </font>
    <font>
      <sz val="10"/>
      <name val="Arial"/>
      <family val="2"/>
    </font>
    <font>
      <sz val="11"/>
      <color indexed="8"/>
      <name val="Book Antiqua"/>
      <family val="2"/>
    </font>
    <font>
      <sz val="10"/>
      <color theme="1"/>
      <name val="Arial"/>
      <family val="2"/>
    </font>
    <font>
      <sz val="11"/>
      <color indexed="8"/>
      <name val="Calibri"/>
      <family val="2"/>
    </font>
    <font>
      <sz val="11"/>
      <color indexed="9"/>
      <name val="Book Antiqua"/>
      <family val="2"/>
    </font>
    <font>
      <sz val="10"/>
      <color theme="0"/>
      <name val="Arial"/>
      <family val="2"/>
    </font>
    <font>
      <sz val="11"/>
      <color indexed="9"/>
      <name val="Calibri"/>
      <family val="2"/>
    </font>
    <font>
      <b/>
      <sz val="11"/>
      <color indexed="63"/>
      <name val="Book Antiqua"/>
      <family val="2"/>
    </font>
    <font>
      <sz val="11"/>
      <color indexed="14"/>
      <name val="Book Antiqua"/>
      <family val="2"/>
    </font>
    <font>
      <sz val="10"/>
      <color rgb="FF9C0006"/>
      <name val="Arial"/>
      <family val="2"/>
    </font>
    <font>
      <b/>
      <sz val="11"/>
      <color indexed="52"/>
      <name val="Book Antiqua"/>
      <family val="2"/>
    </font>
    <font>
      <sz val="8"/>
      <name val="Arial"/>
      <family val="2"/>
    </font>
    <font>
      <b/>
      <sz val="10"/>
      <name val="Arial"/>
      <family val="2"/>
    </font>
    <font>
      <sz val="11"/>
      <color indexed="17"/>
      <name val="Calibri"/>
      <family val="2"/>
    </font>
    <font>
      <b/>
      <sz val="10"/>
      <color rgb="FFFA7D00"/>
      <name val="Arial"/>
      <family val="2"/>
    </font>
    <font>
      <b/>
      <sz val="11"/>
      <color indexed="52"/>
      <name val="Calibri"/>
      <family val="2"/>
    </font>
    <font>
      <b/>
      <sz val="11"/>
      <color indexed="9"/>
      <name val="Calibri"/>
      <family val="2"/>
    </font>
    <font>
      <sz val="11"/>
      <color indexed="52"/>
      <name val="Calibri"/>
      <family val="2"/>
    </font>
    <font>
      <b/>
      <sz val="11"/>
      <color indexed="9"/>
      <name val="Book Antiqua"/>
      <family val="2"/>
    </font>
    <font>
      <b/>
      <sz val="10"/>
      <color theme="0"/>
      <name val="Arial"/>
      <family val="2"/>
    </font>
    <font>
      <b/>
      <sz val="10"/>
      <color indexed="8"/>
      <name val="Verdana"/>
      <family val="2"/>
    </font>
    <font>
      <b/>
      <i/>
      <sz val="10"/>
      <color indexed="8"/>
      <name val="Verdana"/>
      <family val="2"/>
    </font>
    <font>
      <sz val="11"/>
      <color indexed="8"/>
      <name val="Verdana"/>
      <family val="2"/>
    </font>
    <font>
      <b/>
      <sz val="11"/>
      <color indexed="8"/>
      <name val="Verdana"/>
      <family val="2"/>
    </font>
    <font>
      <b/>
      <sz val="13"/>
      <color indexed="9"/>
      <name val="Verdana"/>
      <family val="2"/>
    </font>
    <font>
      <b/>
      <sz val="10"/>
      <color indexed="54"/>
      <name val="Verdana"/>
      <family val="2"/>
    </font>
    <font>
      <sz val="11"/>
      <color indexed="8"/>
      <name val="Arial"/>
      <family val="2"/>
    </font>
    <font>
      <b/>
      <u/>
      <sz val="8.5"/>
      <color indexed="8"/>
      <name val="MS Sans Serif"/>
      <family val="2"/>
    </font>
    <font>
      <b/>
      <sz val="8.5"/>
      <color indexed="12"/>
      <name val="MS Sans Serif"/>
      <family val="2"/>
    </font>
    <font>
      <b/>
      <sz val="8"/>
      <color indexed="12"/>
      <name val="Arial"/>
      <family val="2"/>
    </font>
    <font>
      <sz val="10"/>
      <name val="Calibri"/>
      <family val="2"/>
    </font>
    <font>
      <sz val="10"/>
      <color indexed="8"/>
      <name val="Arial"/>
      <family val="2"/>
    </font>
    <font>
      <sz val="10"/>
      <color indexed="8"/>
      <name val="MS Sans Serif"/>
      <family val="2"/>
    </font>
    <font>
      <sz val="11"/>
      <color indexed="62"/>
      <name val="Book Antiqua"/>
      <family val="2"/>
    </font>
    <font>
      <b/>
      <sz val="11"/>
      <color indexed="56"/>
      <name val="Calibri"/>
      <family val="2"/>
    </font>
    <font>
      <b/>
      <sz val="9"/>
      <name val="Arial"/>
      <family val="2"/>
    </font>
    <font>
      <sz val="11"/>
      <color indexed="62"/>
      <name val="Calibri"/>
      <family val="2"/>
    </font>
    <font>
      <b/>
      <sz val="11"/>
      <color indexed="8"/>
      <name val="Book Antiqua"/>
      <family val="2"/>
    </font>
    <font>
      <i/>
      <sz val="11"/>
      <color indexed="23"/>
      <name val="Book Antiqua"/>
      <family val="2"/>
    </font>
    <font>
      <sz val="11"/>
      <color indexed="8"/>
      <name val="Calibri"/>
      <family val="2"/>
      <charset val="1"/>
    </font>
    <font>
      <i/>
      <sz val="10"/>
      <color rgb="FF7F7F7F"/>
      <name val="Arial"/>
      <family val="2"/>
    </font>
    <font>
      <u/>
      <sz val="11"/>
      <color rgb="FF800080"/>
      <name val="Aptos Narrow"/>
      <family val="2"/>
      <scheme val="minor"/>
    </font>
    <font>
      <sz val="8"/>
      <color indexed="8"/>
      <name val="Arial"/>
      <family val="2"/>
    </font>
    <font>
      <sz val="10"/>
      <color indexed="8"/>
      <name val="Arial"/>
      <family val="2"/>
      <charset val="238"/>
    </font>
    <font>
      <sz val="11"/>
      <color indexed="17"/>
      <name val="Book Antiqua"/>
      <family val="2"/>
    </font>
    <font>
      <sz val="10"/>
      <color rgb="FF006100"/>
      <name val="Arial"/>
      <family val="2"/>
    </font>
    <font>
      <b/>
      <sz val="8"/>
      <color indexed="8"/>
      <name val="MS Sans Serif"/>
      <family val="2"/>
    </font>
    <font>
      <b/>
      <sz val="12"/>
      <name val="Arial"/>
      <family val="2"/>
    </font>
    <font>
      <b/>
      <sz val="15"/>
      <color indexed="57"/>
      <name val="Book Antiqua"/>
      <family val="2"/>
    </font>
    <font>
      <b/>
      <sz val="15"/>
      <color theme="3"/>
      <name val="Arial"/>
      <family val="2"/>
    </font>
    <font>
      <b/>
      <sz val="13"/>
      <color indexed="57"/>
      <name val="Book Antiqua"/>
      <family val="2"/>
    </font>
    <font>
      <b/>
      <sz val="13"/>
      <color theme="3"/>
      <name val="Arial"/>
      <family val="2"/>
    </font>
    <font>
      <b/>
      <sz val="11"/>
      <color indexed="57"/>
      <name val="Book Antiqua"/>
      <family val="2"/>
    </font>
    <font>
      <b/>
      <sz val="11"/>
      <color theme="3"/>
      <name val="Arial"/>
      <family val="2"/>
    </font>
    <font>
      <u/>
      <sz val="10"/>
      <color indexed="12"/>
      <name val="Arial"/>
      <family val="2"/>
    </font>
    <font>
      <u/>
      <sz val="11"/>
      <color rgb="FF0000FF"/>
      <name val="Aptos Narrow"/>
      <family val="2"/>
      <scheme val="minor"/>
    </font>
    <font>
      <u/>
      <sz val="10"/>
      <color theme="10"/>
      <name val="Arial"/>
      <family val="2"/>
    </font>
    <font>
      <u/>
      <sz val="11"/>
      <color theme="10"/>
      <name val="Calibri"/>
      <family val="2"/>
    </font>
    <font>
      <u/>
      <sz val="11"/>
      <color theme="10"/>
      <name val="Aptos Narrow"/>
      <family val="2"/>
      <scheme val="minor"/>
    </font>
    <font>
      <u/>
      <sz val="10"/>
      <color indexed="12"/>
      <name val="MS Sans Serif"/>
      <family val="2"/>
    </font>
    <font>
      <sz val="11"/>
      <color indexed="20"/>
      <name val="Calibri"/>
      <family val="2"/>
    </font>
    <font>
      <sz val="10"/>
      <color rgb="FF3F3F76"/>
      <name val="Arial"/>
      <family val="2"/>
    </font>
    <font>
      <sz val="8"/>
      <name val="Arial"/>
      <family val="2"/>
      <charset val="238"/>
    </font>
    <font>
      <sz val="11"/>
      <color indexed="52"/>
      <name val="Book Antiqua"/>
      <family val="2"/>
    </font>
    <font>
      <sz val="10"/>
      <color rgb="FFFA7D00"/>
      <name val="Arial"/>
      <family val="2"/>
    </font>
    <font>
      <sz val="11"/>
      <color indexed="60"/>
      <name val="Book Antiqua"/>
      <family val="2"/>
    </font>
    <font>
      <sz val="10"/>
      <color rgb="FF9C6500"/>
      <name val="Arial"/>
      <family val="2"/>
    </font>
    <font>
      <sz val="11"/>
      <color theme="1"/>
      <name val="Aptos Narrow"/>
      <family val="3"/>
      <charset val="129"/>
      <scheme val="minor"/>
    </font>
    <font>
      <sz val="11"/>
      <color rgb="FF000000"/>
      <name val="Aptos Narrow"/>
      <family val="2"/>
      <scheme val="minor"/>
    </font>
    <font>
      <sz val="11"/>
      <name val="Arial"/>
      <family val="2"/>
    </font>
    <font>
      <sz val="12"/>
      <color theme="1"/>
      <name val="Aptos Narrow"/>
      <family val="2"/>
      <scheme val="minor"/>
    </font>
    <font>
      <sz val="11"/>
      <name val="Calibri"/>
      <family val="2"/>
    </font>
    <font>
      <sz val="10"/>
      <name val="MS Sans Serif"/>
      <family val="2"/>
    </font>
    <font>
      <b/>
      <sz val="10"/>
      <color rgb="FF3F3F3F"/>
      <name val="Arial"/>
      <family val="2"/>
    </font>
    <font>
      <b/>
      <u/>
      <sz val="10"/>
      <color indexed="8"/>
      <name val="MS Sans Serif"/>
      <family val="2"/>
    </font>
    <font>
      <b/>
      <sz val="8.5"/>
      <color indexed="8"/>
      <name val="MS Sans Serif"/>
      <family val="2"/>
    </font>
    <font>
      <sz val="8"/>
      <color indexed="8"/>
      <name val="MS Sans Serif"/>
      <family val="2"/>
    </font>
    <font>
      <b/>
      <sz val="11"/>
      <color indexed="63"/>
      <name val="Calibri"/>
      <family val="2"/>
    </font>
    <font>
      <i/>
      <sz val="10"/>
      <name val="Arial"/>
      <family val="2"/>
    </font>
    <font>
      <sz val="10"/>
      <name val="Courier"/>
      <family val="3"/>
    </font>
    <font>
      <sz val="11"/>
      <color indexed="10"/>
      <name val="Calibri"/>
      <family val="2"/>
    </font>
    <font>
      <i/>
      <sz val="11"/>
      <color indexed="23"/>
      <name val="Calibri"/>
      <family val="2"/>
    </font>
    <font>
      <b/>
      <sz val="18"/>
      <color indexed="57"/>
      <name val="Book Antiqua"/>
      <family val="2"/>
    </font>
    <font>
      <b/>
      <sz val="8"/>
      <name val="Arial"/>
      <family val="2"/>
    </font>
    <font>
      <b/>
      <sz val="18"/>
      <color indexed="56"/>
      <name val="Cambria"/>
      <family val="2"/>
    </font>
    <font>
      <b/>
      <sz val="15"/>
      <color indexed="56"/>
      <name val="Calibri"/>
      <family val="2"/>
    </font>
    <font>
      <b/>
      <sz val="13"/>
      <color indexed="56"/>
      <name val="Calibri"/>
      <family val="2"/>
    </font>
    <font>
      <b/>
      <sz val="10"/>
      <color theme="1"/>
      <name val="Arial"/>
      <family val="2"/>
    </font>
    <font>
      <sz val="11"/>
      <color indexed="10"/>
      <name val="Book Antiqua"/>
      <family val="2"/>
    </font>
    <font>
      <sz val="10"/>
      <color rgb="FFFF0000"/>
      <name val="Arial"/>
      <family val="2"/>
    </font>
    <font>
      <sz val="11"/>
      <color theme="0"/>
      <name val="Aptos Narrow"/>
      <family val="2"/>
      <scheme val="minor"/>
    </font>
    <font>
      <b/>
      <sz val="9"/>
      <color theme="0"/>
      <name val="Aptos Narrow"/>
      <family val="2"/>
      <scheme val="minor"/>
    </font>
    <font>
      <b/>
      <sz val="10"/>
      <color theme="0"/>
      <name val="Aptos Narrow"/>
      <family val="2"/>
      <scheme val="minor"/>
    </font>
    <font>
      <i/>
      <sz val="10"/>
      <color theme="1"/>
      <name val="Aptos Narrow"/>
      <family val="2"/>
      <scheme val="minor"/>
    </font>
    <font>
      <b/>
      <sz val="11"/>
      <color theme="1"/>
      <name val="Arial Narrow"/>
      <family val="2"/>
    </font>
    <font>
      <b/>
      <sz val="14"/>
      <color theme="1"/>
      <name val="Aptos Narrow"/>
      <family val="2"/>
      <scheme val="minor"/>
    </font>
    <font>
      <sz val="10"/>
      <color theme="1"/>
      <name val="Aptos Narrow"/>
      <family val="2"/>
      <scheme val="minor"/>
    </font>
    <font>
      <b/>
      <sz val="10"/>
      <color theme="1"/>
      <name val="Arial Narrow"/>
      <family val="2"/>
    </font>
    <font>
      <sz val="9"/>
      <color theme="1"/>
      <name val="Aptos Narrow"/>
      <family val="2"/>
      <scheme val="minor"/>
    </font>
    <font>
      <b/>
      <sz val="16"/>
      <color theme="1"/>
      <name val="Aptos Narrow"/>
      <family val="2"/>
      <scheme val="minor"/>
    </font>
    <font>
      <b/>
      <sz val="12"/>
      <color theme="1"/>
      <name val="Times New Roman"/>
      <family val="1"/>
    </font>
    <font>
      <b/>
      <sz val="14"/>
      <color theme="1"/>
      <name val="Times New Roman"/>
      <family val="1"/>
    </font>
    <font>
      <sz val="11"/>
      <color rgb="FFFF0000"/>
      <name val="Aptos Narrow"/>
      <family val="2"/>
      <scheme val="minor"/>
    </font>
    <font>
      <sz val="11"/>
      <name val="Aptos Narrow"/>
      <family val="2"/>
      <scheme val="minor"/>
    </font>
    <font>
      <sz val="10"/>
      <color indexed="8"/>
      <name val="Calibri"/>
      <family val="2"/>
    </font>
    <font>
      <b/>
      <sz val="9"/>
      <color indexed="8"/>
      <name val="Calibri"/>
      <family val="2"/>
    </font>
    <font>
      <b/>
      <sz val="11"/>
      <color indexed="8"/>
      <name val="Calibri"/>
      <family val="2"/>
    </font>
    <font>
      <b/>
      <sz val="9"/>
      <color theme="1"/>
      <name val="Times New Roman"/>
      <family val="1"/>
    </font>
    <font>
      <sz val="9"/>
      <color theme="1"/>
      <name val="Times New Roman"/>
      <family val="1"/>
    </font>
    <font>
      <b/>
      <sz val="10"/>
      <color theme="1"/>
      <name val="Times New Roman"/>
      <family val="1"/>
    </font>
    <font>
      <sz val="10"/>
      <color theme="1"/>
      <name val="Times New Roman"/>
      <family val="1"/>
    </font>
    <font>
      <sz val="11"/>
      <color theme="1"/>
      <name val="Times New Roman"/>
      <family val="1"/>
    </font>
    <font>
      <b/>
      <sz val="11"/>
      <name val="Times New Roman"/>
      <family val="1"/>
    </font>
    <font>
      <b/>
      <sz val="11"/>
      <color theme="1"/>
      <name val="Times New Roman"/>
      <family val="1"/>
    </font>
    <font>
      <b/>
      <sz val="8"/>
      <color theme="1"/>
      <name val="Times New Roman"/>
      <family val="1"/>
    </font>
    <font>
      <sz val="8"/>
      <color theme="1"/>
      <name val="Times New Roman"/>
      <family val="1"/>
    </font>
    <font>
      <i/>
      <sz val="8"/>
      <color theme="1"/>
      <name val="Times New Roman"/>
      <family val="1"/>
    </font>
    <font>
      <i/>
      <sz val="10"/>
      <color theme="1"/>
      <name val="Times New Roman"/>
      <family val="1"/>
    </font>
    <font>
      <b/>
      <sz val="12"/>
      <color theme="1"/>
      <name val="Aptos Narrow"/>
      <family val="2"/>
      <scheme val="minor"/>
    </font>
    <font>
      <sz val="8"/>
      <color rgb="FF000000"/>
      <name val="Arial"/>
      <family val="2"/>
    </font>
    <font>
      <b/>
      <sz val="8"/>
      <color rgb="FF000000"/>
      <name val="Arial"/>
      <family val="2"/>
    </font>
    <font>
      <sz val="7"/>
      <color rgb="FF000000"/>
      <name val="Arial"/>
      <family val="2"/>
    </font>
    <font>
      <sz val="11"/>
      <color rgb="FFFF0000"/>
      <name val="Times New Roman"/>
      <family val="1"/>
    </font>
    <font>
      <sz val="10"/>
      <color rgb="FF000000"/>
      <name val="Times New Roman"/>
      <family val="1"/>
    </font>
    <font>
      <sz val="9"/>
      <name val="Times New Roman"/>
      <family val="1"/>
    </font>
    <font>
      <sz val="8"/>
      <name val="Aptos Narrow"/>
      <family val="2"/>
      <scheme val="minor"/>
    </font>
    <font>
      <b/>
      <sz val="10"/>
      <color theme="0"/>
      <name val="Arial Narrow"/>
      <family val="2"/>
    </font>
    <font>
      <b/>
      <sz val="11"/>
      <color theme="0"/>
      <name val="Aptos Narrow"/>
      <family val="2"/>
      <scheme val="minor"/>
    </font>
    <font>
      <b/>
      <sz val="10"/>
      <name val="Aptos Narrow"/>
      <family val="2"/>
      <scheme val="minor"/>
    </font>
    <font>
      <b/>
      <sz val="14"/>
      <name val="Aptos Narrow"/>
      <family val="2"/>
      <scheme val="minor"/>
    </font>
    <font>
      <b/>
      <sz val="11"/>
      <name val="Aptos Narrow"/>
      <family val="2"/>
      <scheme val="minor"/>
    </font>
    <font>
      <b/>
      <sz val="9"/>
      <name val="Times New Roman"/>
      <family val="1"/>
    </font>
    <font>
      <b/>
      <sz val="14"/>
      <color rgb="FFFF0000"/>
      <name val="Aptos Narrow"/>
      <family val="2"/>
      <scheme val="minor"/>
    </font>
    <font>
      <sz val="11"/>
      <color rgb="FF000000"/>
      <name val="Times New Roman"/>
      <family val="1"/>
    </font>
    <font>
      <b/>
      <sz val="12"/>
      <color rgb="FF000000"/>
      <name val="Times New Roman"/>
      <family val="1"/>
    </font>
    <font>
      <b/>
      <sz val="9"/>
      <color rgb="FF000000"/>
      <name val="Times New Roman"/>
      <family val="1"/>
    </font>
    <font>
      <sz val="9"/>
      <color rgb="FF000000"/>
      <name val="Times New Roman"/>
      <family val="1"/>
    </font>
    <font>
      <sz val="11"/>
      <color rgb="FFC00000"/>
      <name val="Aptos Narrow"/>
      <family val="2"/>
      <scheme val="minor"/>
    </font>
    <font>
      <sz val="9"/>
      <color theme="1"/>
      <name val="Aptos"/>
      <family val="2"/>
    </font>
    <font>
      <sz val="11"/>
      <color theme="1"/>
      <name val="Arial Narrow"/>
      <family val="2"/>
    </font>
    <font>
      <sz val="11"/>
      <color theme="1"/>
      <name val="Times New Roman"/>
      <family val="2"/>
    </font>
    <font>
      <sz val="10"/>
      <name val="Helv"/>
    </font>
    <font>
      <sz val="12"/>
      <color theme="1"/>
      <name val="Garamond"/>
      <family val="1"/>
    </font>
    <font>
      <b/>
      <sz val="8"/>
      <color rgb="FF000000"/>
      <name val="Times New Roman"/>
      <family val="1"/>
    </font>
    <font>
      <sz val="8"/>
      <color rgb="FF000000"/>
      <name val="Times New Roman"/>
      <family val="1"/>
    </font>
    <font>
      <sz val="9"/>
      <color theme="1"/>
      <name val="Garamond"/>
      <family val="1"/>
    </font>
    <font>
      <b/>
      <sz val="10"/>
      <color rgb="FF000000"/>
      <name val="Times New Roman"/>
      <family val="1"/>
    </font>
    <font>
      <sz val="10"/>
      <color theme="1"/>
      <name val="Garamond"/>
      <family val="1"/>
    </font>
    <font>
      <sz val="9"/>
      <color rgb="FF000000"/>
      <name val="Garamond"/>
      <family val="1"/>
    </font>
    <font>
      <b/>
      <vertAlign val="superscript"/>
      <sz val="9"/>
      <color rgb="FF000000"/>
      <name val="Times New Roman"/>
      <family val="1"/>
    </font>
    <font>
      <sz val="9.5"/>
      <color rgb="FF000000"/>
      <name val="Times New Roman"/>
      <family val="1"/>
    </font>
    <font>
      <vertAlign val="superscript"/>
      <sz val="10"/>
      <color theme="1"/>
      <name val="Times New Roman"/>
      <family val="1"/>
    </font>
    <font>
      <b/>
      <sz val="10"/>
      <name val="Arial Narrow"/>
      <family val="2"/>
    </font>
    <font>
      <sz val="11"/>
      <color theme="1"/>
      <name val="Aptos"/>
      <family val="2"/>
    </font>
    <font>
      <b/>
      <vertAlign val="superscript"/>
      <sz val="8"/>
      <color rgb="FF000000"/>
      <name val="Times New Roman"/>
      <family val="1"/>
    </font>
  </fonts>
  <fills count="8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6"/>
      </patternFill>
    </fill>
    <fill>
      <patternFill patternType="solid">
        <fgColor indexed="47"/>
      </patternFill>
    </fill>
    <fill>
      <patternFill patternType="solid">
        <fgColor indexed="43"/>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29"/>
      </patternFill>
    </fill>
    <fill>
      <patternFill patternType="solid">
        <fgColor indexed="44"/>
      </patternFill>
    </fill>
    <fill>
      <patternFill patternType="solid">
        <fgColor indexed="11"/>
      </patternFill>
    </fill>
    <fill>
      <patternFill patternType="solid">
        <fgColor indexed="51"/>
      </patternFill>
    </fill>
    <fill>
      <patternFill patternType="solid">
        <fgColor indexed="19"/>
      </patternFill>
    </fill>
    <fill>
      <patternFill patternType="solid">
        <fgColor indexed="1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9"/>
      </patternFill>
    </fill>
    <fill>
      <patternFill patternType="solid">
        <fgColor indexed="31"/>
        <bgColor indexed="64"/>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24"/>
        <bgColor indexed="64"/>
      </patternFill>
    </fill>
    <fill>
      <patternFill patternType="solid">
        <fgColor indexed="26"/>
        <bgColor indexed="64"/>
      </patternFill>
    </fill>
    <fill>
      <patternFill patternType="solid">
        <fgColor indexed="22"/>
        <bgColor indexed="10"/>
      </patternFill>
    </fill>
    <fill>
      <patternFill patternType="solid">
        <fgColor indexed="62"/>
      </patternFill>
    </fill>
    <fill>
      <patternFill patternType="solid">
        <fgColor indexed="10"/>
      </patternFill>
    </fill>
    <fill>
      <patternFill patternType="solid">
        <fgColor indexed="57"/>
      </patternFill>
    </fill>
    <fill>
      <patternFill patternType="solid">
        <fgColor indexed="22"/>
        <bgColor indexed="8"/>
      </patternFill>
    </fill>
    <fill>
      <patternFill patternType="solid">
        <fgColor indexed="10"/>
        <bgColor indexed="64"/>
      </patternFill>
    </fill>
    <fill>
      <patternFill patternType="solid">
        <fgColor theme="3" tint="-0.499984740745262"/>
        <bgColor indexed="64"/>
      </patternFill>
    </fill>
    <fill>
      <patternFill patternType="solid">
        <fgColor theme="9" tint="0.39997558519241921"/>
        <bgColor indexed="64"/>
      </patternFill>
    </fill>
    <fill>
      <patternFill patternType="solid">
        <fgColor rgb="FFDCE6F1"/>
        <bgColor indexed="64"/>
      </patternFill>
    </fill>
    <fill>
      <patternFill patternType="solid">
        <fgColor theme="8" tint="-0.249977111117893"/>
        <bgColor indexed="64"/>
      </patternFill>
    </fill>
    <fill>
      <patternFill patternType="solid">
        <fgColor theme="8" tint="0.59999389629810485"/>
        <bgColor indexed="64"/>
      </patternFill>
    </fill>
    <fill>
      <patternFill patternType="solid">
        <fgColor theme="0"/>
        <bgColor indexed="64"/>
      </patternFill>
    </fill>
    <fill>
      <patternFill patternType="solid">
        <fgColor theme="4"/>
        <bgColor indexed="64"/>
      </patternFill>
    </fill>
    <fill>
      <patternFill patternType="solid">
        <fgColor theme="4"/>
        <bgColor theme="4"/>
      </patternFill>
    </fill>
    <fill>
      <patternFill patternType="solid">
        <fgColor theme="4" tint="0.79998168889431442"/>
        <bgColor theme="4" tint="0.79998168889431442"/>
      </patternFill>
    </fill>
    <fill>
      <patternFill patternType="solid">
        <fgColor theme="0"/>
        <bgColor theme="4" tint="0.79998168889431442"/>
      </patternFill>
    </fill>
    <fill>
      <patternFill patternType="solid">
        <fgColor rgb="FFFFFF00"/>
        <bgColor indexed="64"/>
      </patternFill>
    </fill>
    <fill>
      <patternFill patternType="solid">
        <fgColor theme="0"/>
        <bgColor theme="4"/>
      </patternFill>
    </fill>
    <fill>
      <patternFill patternType="solid">
        <fgColor rgb="FFFFFFFF"/>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FF"/>
        <bgColor rgb="FF000000"/>
      </patternFill>
    </fill>
    <fill>
      <patternFill patternType="solid">
        <fgColor theme="3" tint="0.89999084444715716"/>
        <bgColor indexed="64"/>
      </patternFill>
    </fill>
    <fill>
      <patternFill patternType="solid">
        <fgColor theme="0" tint="-4.9989318521683403E-2"/>
        <bgColor indexed="64"/>
      </patternFill>
    </fill>
    <fill>
      <patternFill patternType="solid">
        <fgColor rgb="FFF2F2F2"/>
        <bgColor indexed="64"/>
      </patternFill>
    </fill>
  </fills>
  <borders count="118">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double">
        <color indexed="64"/>
      </left>
      <right style="double">
        <color indexed="64"/>
      </right>
      <top style="double">
        <color indexed="64"/>
      </top>
      <bottom style="double">
        <color indexed="64"/>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right/>
      <top style="thin">
        <color indexed="51"/>
      </top>
      <bottom style="double">
        <color indexed="51"/>
      </bottom>
      <diagonal/>
    </border>
    <border>
      <left/>
      <right/>
      <top/>
      <bottom style="thick">
        <color indexed="51"/>
      </bottom>
      <diagonal/>
    </border>
    <border>
      <left/>
      <right/>
      <top/>
      <bottom style="thick">
        <color indexed="43"/>
      </bottom>
      <diagonal/>
    </border>
    <border>
      <left/>
      <right/>
      <top/>
      <bottom style="medium">
        <color indexed="43"/>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22"/>
      </left>
      <right style="thin">
        <color indexed="22"/>
      </right>
      <top style="thin">
        <color indexed="22"/>
      </top>
      <bottom style="thin">
        <color indexed="2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rgb="FF000000"/>
      </top>
      <bottom/>
      <diagonal/>
    </border>
    <border>
      <left/>
      <right/>
      <top/>
      <bottom style="thick">
        <color rgb="FF3366FF"/>
      </bottom>
      <diagonal/>
    </border>
    <border>
      <left/>
      <right/>
      <top style="thick">
        <color rgb="FF3366FF"/>
      </top>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theme="0"/>
      </top>
      <bottom style="thin">
        <color theme="0"/>
      </bottom>
      <diagonal/>
    </border>
    <border>
      <left/>
      <right/>
      <top style="thin">
        <color theme="0"/>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top style="thin">
        <color auto="1"/>
      </top>
      <bottom/>
      <diagonal/>
    </border>
    <border>
      <left style="thin">
        <color rgb="FFFFFFFF"/>
      </left>
      <right style="thin">
        <color rgb="FFFFFFFF"/>
      </right>
      <top style="thin">
        <color rgb="FFFFFFFF"/>
      </top>
      <bottom style="thin">
        <color rgb="FFFFFFFF"/>
      </bottom>
      <diagonal/>
    </border>
    <border>
      <left/>
      <right/>
      <top/>
      <bottom style="thin">
        <color auto="1"/>
      </bottom>
      <diagonal/>
    </border>
    <border>
      <left/>
      <right/>
      <top/>
      <bottom style="thin">
        <color rgb="FF95B3D7"/>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style="dotted">
        <color indexed="64"/>
      </bottom>
      <diagonal/>
    </border>
    <border>
      <left/>
      <right/>
      <top/>
      <bottom style="dotted">
        <color indexed="64"/>
      </bottom>
      <diagonal/>
    </border>
    <border>
      <left style="medium">
        <color indexed="64"/>
      </left>
      <right style="medium">
        <color indexed="64"/>
      </right>
      <top/>
      <bottom style="dotted">
        <color indexed="64"/>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bottom style="dotted">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style="medium">
        <color indexed="64"/>
      </left>
      <right style="medium">
        <color indexed="64"/>
      </right>
      <top style="dotted">
        <color indexed="64"/>
      </top>
      <bottom/>
      <diagonal/>
    </border>
    <border>
      <left/>
      <right/>
      <top style="dotted">
        <color indexed="64"/>
      </top>
      <bottom style="medium">
        <color indexed="64"/>
      </bottom>
      <diagonal/>
    </border>
    <border>
      <left style="thin">
        <color theme="4" tint="0.39997558519241921"/>
      </left>
      <right/>
      <top style="thin">
        <color theme="4" tint="0.39997558519241921"/>
      </top>
      <bottom style="thin">
        <color theme="4" tint="0.39997558519241921"/>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style="thin">
        <color theme="4" tint="0.39997558519241921"/>
      </left>
      <right/>
      <top style="thin">
        <color theme="4" tint="0.39997558519241921"/>
      </top>
      <bottom style="thin">
        <color auto="1"/>
      </bottom>
      <diagonal/>
    </border>
    <border>
      <left/>
      <right/>
      <top style="thin">
        <color theme="4" tint="0.39997558519241921"/>
      </top>
      <bottom style="thin">
        <color auto="1"/>
      </bottom>
      <diagonal/>
    </border>
    <border>
      <left/>
      <right style="thin">
        <color indexed="64"/>
      </right>
      <top style="thin">
        <color theme="4" tint="0.39997558519241921"/>
      </top>
      <bottom style="thin">
        <color auto="1"/>
      </bottom>
      <diagonal/>
    </border>
    <border>
      <left/>
      <right/>
      <top style="thin">
        <color theme="4" tint="0.39997558519241921"/>
      </top>
      <bottom/>
      <diagonal/>
    </border>
    <border>
      <left style="thin">
        <color theme="4" tint="0.39997558519241921"/>
      </left>
      <right/>
      <top style="thin">
        <color theme="4" tint="0.39997558519241921"/>
      </top>
      <bottom/>
      <diagonal/>
    </border>
    <border>
      <left/>
      <right style="thin">
        <color theme="4" tint="0.39997558519241921"/>
      </right>
      <top style="thin">
        <color theme="4" tint="0.39997558519241921"/>
      </top>
      <bottom/>
      <diagonal/>
    </border>
    <border>
      <left/>
      <right style="thin">
        <color indexed="64"/>
      </right>
      <top style="thin">
        <color theme="4" tint="0.39997558519241921"/>
      </top>
      <bottom/>
      <diagonal/>
    </border>
    <border>
      <left style="thin">
        <color theme="4" tint="0.39997558519241921"/>
      </left>
      <right/>
      <top/>
      <bottom/>
      <diagonal/>
    </border>
    <border>
      <left style="medium">
        <color indexed="64"/>
      </left>
      <right style="medium">
        <color indexed="64"/>
      </right>
      <top style="medium">
        <color indexed="64"/>
      </top>
      <bottom style="medium">
        <color indexed="64"/>
      </bottom>
      <diagonal/>
    </border>
    <border>
      <left/>
      <right style="medium">
        <color rgb="FF000000"/>
      </right>
      <top style="medium">
        <color indexed="64"/>
      </top>
      <bottom/>
      <diagonal/>
    </border>
    <border>
      <left/>
      <right/>
      <top/>
      <bottom style="medium">
        <color rgb="FF000000"/>
      </bottom>
      <diagonal/>
    </border>
    <border>
      <left/>
      <right style="medium">
        <color rgb="FF000000"/>
      </right>
      <top/>
      <bottom style="medium">
        <color rgb="FF000000"/>
      </bottom>
      <diagonal/>
    </border>
    <border>
      <left style="medium">
        <color indexed="64"/>
      </left>
      <right/>
      <top/>
      <bottom style="medium">
        <color rgb="FF000000"/>
      </bottom>
      <diagonal/>
    </border>
    <border>
      <left style="medium">
        <color rgb="FF000000"/>
      </left>
      <right/>
      <top style="medium">
        <color indexed="64"/>
      </top>
      <bottom/>
      <diagonal/>
    </border>
    <border>
      <left style="medium">
        <color rgb="FF000000"/>
      </left>
      <right/>
      <top/>
      <bottom style="medium">
        <color indexed="64"/>
      </bottom>
      <diagonal/>
    </border>
    <border>
      <left style="medium">
        <color indexed="64"/>
      </left>
      <right style="medium">
        <color indexed="64"/>
      </right>
      <top style="medium">
        <color rgb="FF000000"/>
      </top>
      <bottom/>
      <diagonal/>
    </border>
    <border>
      <left/>
      <right/>
      <top/>
      <bottom style="thin">
        <color theme="4" tint="0.39997558519241921"/>
      </bottom>
      <diagonal/>
    </border>
  </borders>
  <cellStyleXfs count="391">
    <xf numFmtId="0" fontId="0" fillId="0" borderId="0"/>
    <xf numFmtId="9" fontId="1" fillId="0" borderId="0" applyFont="0" applyFill="0" applyBorder="0" applyAlignment="0" applyProtection="0"/>
    <xf numFmtId="0" fontId="4" fillId="0" borderId="0"/>
    <xf numFmtId="0" fontId="4" fillId="0" borderId="0"/>
    <xf numFmtId="0" fontId="4" fillId="0" borderId="0" applyNumberFormat="0" applyFill="0" applyBorder="0" applyAlignment="0" applyProtection="0"/>
    <xf numFmtId="0" fontId="4" fillId="0" borderId="0" applyNumberFormat="0" applyFill="0" applyBorder="0" applyAlignment="0" applyProtection="0"/>
    <xf numFmtId="0" fontId="1" fillId="10" borderId="0" applyNumberFormat="0" applyBorder="0" applyAlignment="0" applyProtection="0"/>
    <xf numFmtId="0" fontId="5" fillId="33" borderId="0" applyNumberFormat="0" applyBorder="0" applyAlignment="0" applyProtection="0"/>
    <xf numFmtId="0" fontId="6" fillId="10" borderId="0" applyNumberFormat="0" applyBorder="0" applyAlignment="0" applyProtection="0"/>
    <xf numFmtId="0" fontId="1" fillId="10" borderId="0" applyNumberFormat="0" applyBorder="0" applyAlignment="0" applyProtection="0"/>
    <xf numFmtId="0" fontId="1" fillId="14" borderId="0" applyNumberFormat="0" applyBorder="0" applyAlignment="0" applyProtection="0"/>
    <xf numFmtId="0" fontId="5" fillId="34" borderId="0" applyNumberFormat="0" applyBorder="0" applyAlignment="0" applyProtection="0"/>
    <xf numFmtId="0" fontId="6" fillId="14" borderId="0" applyNumberFormat="0" applyBorder="0" applyAlignment="0" applyProtection="0"/>
    <xf numFmtId="0" fontId="1" fillId="14" borderId="0" applyNumberFormat="0" applyBorder="0" applyAlignment="0" applyProtection="0"/>
    <xf numFmtId="0" fontId="1" fillId="18" borderId="0" applyNumberFormat="0" applyBorder="0" applyAlignment="0" applyProtection="0"/>
    <xf numFmtId="0" fontId="5" fillId="34" borderId="0" applyNumberFormat="0" applyBorder="0" applyAlignment="0" applyProtection="0"/>
    <xf numFmtId="0" fontId="6" fillId="18" borderId="0" applyNumberFormat="0" applyBorder="0" applyAlignment="0" applyProtection="0"/>
    <xf numFmtId="0" fontId="1" fillId="18" borderId="0" applyNumberFormat="0" applyBorder="0" applyAlignment="0" applyProtection="0"/>
    <xf numFmtId="0" fontId="1" fillId="22" borderId="0" applyNumberFormat="0" applyBorder="0" applyAlignment="0" applyProtection="0"/>
    <xf numFmtId="0" fontId="5" fillId="33" borderId="0" applyNumberFormat="0" applyBorder="0" applyAlignment="0" applyProtection="0"/>
    <xf numFmtId="0" fontId="6" fillId="22" borderId="0" applyNumberFormat="0" applyBorder="0" applyAlignment="0" applyProtection="0"/>
    <xf numFmtId="0" fontId="1" fillId="22" borderId="0" applyNumberFormat="0" applyBorder="0" applyAlignment="0" applyProtection="0"/>
    <xf numFmtId="0" fontId="1" fillId="26" borderId="0" applyNumberFormat="0" applyBorder="0" applyAlignment="0" applyProtection="0"/>
    <xf numFmtId="0" fontId="5" fillId="33" borderId="0" applyNumberFormat="0" applyBorder="0" applyAlignment="0" applyProtection="0"/>
    <xf numFmtId="0" fontId="6" fillId="26" borderId="0" applyNumberFormat="0" applyBorder="0" applyAlignment="0" applyProtection="0"/>
    <xf numFmtId="0" fontId="1" fillId="26" borderId="0" applyNumberFormat="0" applyBorder="0" applyAlignment="0" applyProtection="0"/>
    <xf numFmtId="0" fontId="1" fillId="30" borderId="0" applyNumberFormat="0" applyBorder="0" applyAlignment="0" applyProtection="0"/>
    <xf numFmtId="0" fontId="5" fillId="35" borderId="0" applyNumberFormat="0" applyBorder="0" applyAlignment="0" applyProtection="0"/>
    <xf numFmtId="0" fontId="6" fillId="30" borderId="0" applyNumberFormat="0" applyBorder="0" applyAlignment="0" applyProtection="0"/>
    <xf numFmtId="0" fontId="1" fillId="30" borderId="0" applyNumberFormat="0" applyBorder="0" applyAlignment="0" applyProtection="0"/>
    <xf numFmtId="0" fontId="5" fillId="33" borderId="0" applyNumberFormat="0" applyBorder="0" applyAlignment="0" applyProtection="0"/>
    <xf numFmtId="0" fontId="5" fillId="34" borderId="0" applyNumberFormat="0" applyBorder="0" applyAlignment="0" applyProtection="0"/>
    <xf numFmtId="0" fontId="5" fillId="34" borderId="0" applyNumberFormat="0" applyBorder="0" applyAlignment="0" applyProtection="0"/>
    <xf numFmtId="0" fontId="5" fillId="33" borderId="0" applyNumberFormat="0" applyBorder="0" applyAlignment="0" applyProtection="0"/>
    <xf numFmtId="0" fontId="5" fillId="33" borderId="0" applyNumberFormat="0" applyBorder="0" applyAlignment="0" applyProtection="0"/>
    <xf numFmtId="0" fontId="5" fillId="35" borderId="0" applyNumberFormat="0" applyBorder="0" applyAlignment="0" applyProtection="0"/>
    <xf numFmtId="0" fontId="7" fillId="36" borderId="0" applyNumberFormat="0" applyBorder="0" applyAlignment="0" applyProtection="0"/>
    <xf numFmtId="0" fontId="7" fillId="37" borderId="0" applyNumberFormat="0" applyBorder="0" applyAlignment="0" applyProtection="0"/>
    <xf numFmtId="0" fontId="7" fillId="38" borderId="0" applyNumberFormat="0" applyBorder="0" applyAlignment="0" applyProtection="0"/>
    <xf numFmtId="0" fontId="7" fillId="39" borderId="0" applyNumberFormat="0" applyBorder="0" applyAlignment="0" applyProtection="0"/>
    <xf numFmtId="0" fontId="7" fillId="40" borderId="0" applyNumberFormat="0" applyBorder="0" applyAlignment="0" applyProtection="0"/>
    <xf numFmtId="0" fontId="7" fillId="34" borderId="0" applyNumberFormat="0" applyBorder="0" applyAlignment="0" applyProtection="0"/>
    <xf numFmtId="0" fontId="1" fillId="11" borderId="0" applyNumberFormat="0" applyBorder="0" applyAlignment="0" applyProtection="0"/>
    <xf numFmtId="0" fontId="5" fillId="35" borderId="0" applyNumberFormat="0" applyBorder="0" applyAlignment="0" applyProtection="0"/>
    <xf numFmtId="0" fontId="6" fillId="11" borderId="0" applyNumberFormat="0" applyBorder="0" applyAlignment="0" applyProtection="0"/>
    <xf numFmtId="0" fontId="1" fillId="11" borderId="0" applyNumberFormat="0" applyBorder="0" applyAlignment="0" applyProtection="0"/>
    <xf numFmtId="0" fontId="1" fillId="15" borderId="0" applyNumberFormat="0" applyBorder="0" applyAlignment="0" applyProtection="0"/>
    <xf numFmtId="0" fontId="5" fillId="34" borderId="0" applyNumberFormat="0" applyBorder="0" applyAlignment="0" applyProtection="0"/>
    <xf numFmtId="0" fontId="6" fillId="15" borderId="0" applyNumberFormat="0" applyBorder="0" applyAlignment="0" applyProtection="0"/>
    <xf numFmtId="0" fontId="1" fillId="15" borderId="0" applyNumberFormat="0" applyBorder="0" applyAlignment="0" applyProtection="0"/>
    <xf numFmtId="0" fontId="1" fillId="19" borderId="0" applyNumberFormat="0" applyBorder="0" applyAlignment="0" applyProtection="0"/>
    <xf numFmtId="0" fontId="5" fillId="41" borderId="0" applyNumberFormat="0" applyBorder="0" applyAlignment="0" applyProtection="0"/>
    <xf numFmtId="0" fontId="6" fillId="19" borderId="0" applyNumberFormat="0" applyBorder="0" applyAlignment="0" applyProtection="0"/>
    <xf numFmtId="0" fontId="1" fillId="19" borderId="0" applyNumberFormat="0" applyBorder="0" applyAlignment="0" applyProtection="0"/>
    <xf numFmtId="0" fontId="1" fillId="23" borderId="0" applyNumberFormat="0" applyBorder="0" applyAlignment="0" applyProtection="0"/>
    <xf numFmtId="0" fontId="5" fillId="34" borderId="0" applyNumberFormat="0" applyBorder="0" applyAlignment="0" applyProtection="0"/>
    <xf numFmtId="0" fontId="6" fillId="23" borderId="0" applyNumberFormat="0" applyBorder="0" applyAlignment="0" applyProtection="0"/>
    <xf numFmtId="0" fontId="1" fillId="23" borderId="0" applyNumberFormat="0" applyBorder="0" applyAlignment="0" applyProtection="0"/>
    <xf numFmtId="0" fontId="1" fillId="27" borderId="0" applyNumberFormat="0" applyBorder="0" applyAlignment="0" applyProtection="0"/>
    <xf numFmtId="0" fontId="5" fillId="35" borderId="0" applyNumberFormat="0" applyBorder="0" applyAlignment="0" applyProtection="0"/>
    <xf numFmtId="0" fontId="6" fillId="27" borderId="0" applyNumberFormat="0" applyBorder="0" applyAlignment="0" applyProtection="0"/>
    <xf numFmtId="0" fontId="1" fillId="27" borderId="0" applyNumberFormat="0" applyBorder="0" applyAlignment="0" applyProtection="0"/>
    <xf numFmtId="0" fontId="1" fillId="31" borderId="0" applyNumberFormat="0" applyBorder="0" applyAlignment="0" applyProtection="0"/>
    <xf numFmtId="0" fontId="5" fillId="35" borderId="0" applyNumberFormat="0" applyBorder="0" applyAlignment="0" applyProtection="0"/>
    <xf numFmtId="0" fontId="6" fillId="31" borderId="0" applyNumberFormat="0" applyBorder="0" applyAlignment="0" applyProtection="0"/>
    <xf numFmtId="0" fontId="1" fillId="31" borderId="0" applyNumberFormat="0" applyBorder="0" applyAlignment="0" applyProtection="0"/>
    <xf numFmtId="0" fontId="5" fillId="35" borderId="0" applyNumberFormat="0" applyBorder="0" applyAlignment="0" applyProtection="0"/>
    <xf numFmtId="0" fontId="5" fillId="34" borderId="0" applyNumberFormat="0" applyBorder="0" applyAlignment="0" applyProtection="0"/>
    <xf numFmtId="0" fontId="5" fillId="41" borderId="0" applyNumberFormat="0" applyBorder="0" applyAlignment="0" applyProtection="0"/>
    <xf numFmtId="0" fontId="5" fillId="34" borderId="0" applyNumberFormat="0" applyBorder="0" applyAlignment="0" applyProtection="0"/>
    <xf numFmtId="0" fontId="5" fillId="35" borderId="0" applyNumberFormat="0" applyBorder="0" applyAlignment="0" applyProtection="0"/>
    <xf numFmtId="0" fontId="5" fillId="35" borderId="0" applyNumberFormat="0" applyBorder="0" applyAlignment="0" applyProtection="0"/>
    <xf numFmtId="0" fontId="7" fillId="42" borderId="0" applyNumberFormat="0" applyBorder="0" applyAlignment="0" applyProtection="0"/>
    <xf numFmtId="0" fontId="7" fillId="41" borderId="0" applyNumberFormat="0" applyBorder="0" applyAlignment="0" applyProtection="0"/>
    <xf numFmtId="0" fontId="7" fillId="43" borderId="0" applyNumberFormat="0" applyBorder="0" applyAlignment="0" applyProtection="0"/>
    <xf numFmtId="0" fontId="7" fillId="39" borderId="0" applyNumberFormat="0" applyBorder="0" applyAlignment="0" applyProtection="0"/>
    <xf numFmtId="0" fontId="7" fillId="42" borderId="0" applyNumberFormat="0" applyBorder="0" applyAlignment="0" applyProtection="0"/>
    <xf numFmtId="0" fontId="7" fillId="44" borderId="0" applyNumberFormat="0" applyBorder="0" applyAlignment="0" applyProtection="0"/>
    <xf numFmtId="0" fontId="8" fillId="35" borderId="0" applyNumberFormat="0" applyBorder="0" applyAlignment="0" applyProtection="0"/>
    <xf numFmtId="0" fontId="9" fillId="12" borderId="0" applyNumberFormat="0" applyBorder="0" applyAlignment="0" applyProtection="0"/>
    <xf numFmtId="0" fontId="8" fillId="34" borderId="0" applyNumberFormat="0" applyBorder="0" applyAlignment="0" applyProtection="0"/>
    <xf numFmtId="0" fontId="9" fillId="16" borderId="0" applyNumberFormat="0" applyBorder="0" applyAlignment="0" applyProtection="0"/>
    <xf numFmtId="0" fontId="8" fillId="41" borderId="0" applyNumberFormat="0" applyBorder="0" applyAlignment="0" applyProtection="0"/>
    <xf numFmtId="0" fontId="9" fillId="20" borderId="0" applyNumberFormat="0" applyBorder="0" applyAlignment="0" applyProtection="0"/>
    <xf numFmtId="0" fontId="8" fillId="45" borderId="0" applyNumberFormat="0" applyBorder="0" applyAlignment="0" applyProtection="0"/>
    <xf numFmtId="0" fontId="9" fillId="24" borderId="0" applyNumberFormat="0" applyBorder="0" applyAlignment="0" applyProtection="0"/>
    <xf numFmtId="0" fontId="8" fillId="45" borderId="0" applyNumberFormat="0" applyBorder="0" applyAlignment="0" applyProtection="0"/>
    <xf numFmtId="0" fontId="9" fillId="28" borderId="0" applyNumberFormat="0" applyBorder="0" applyAlignment="0" applyProtection="0"/>
    <xf numFmtId="0" fontId="8" fillId="46" borderId="0" applyNumberFormat="0" applyBorder="0" applyAlignment="0" applyProtection="0"/>
    <xf numFmtId="0" fontId="9" fillId="32" borderId="0" applyNumberFormat="0" applyBorder="0" applyAlignment="0" applyProtection="0"/>
    <xf numFmtId="0" fontId="8" fillId="35" borderId="0" applyNumberFormat="0" applyBorder="0" applyAlignment="0" applyProtection="0"/>
    <xf numFmtId="0" fontId="8" fillId="34" borderId="0" applyNumberFormat="0" applyBorder="0" applyAlignment="0" applyProtection="0"/>
    <xf numFmtId="0" fontId="8" fillId="41"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6" borderId="0" applyNumberFormat="0" applyBorder="0" applyAlignment="0" applyProtection="0"/>
    <xf numFmtId="0" fontId="10" fillId="47" borderId="0" applyNumberFormat="0" applyBorder="0" applyAlignment="0" applyProtection="0"/>
    <xf numFmtId="0" fontId="10" fillId="41" borderId="0" applyNumberFormat="0" applyBorder="0" applyAlignment="0" applyProtection="0"/>
    <xf numFmtId="0" fontId="10" fillId="43"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50" borderId="0" applyNumberFormat="0" applyBorder="0" applyAlignment="0" applyProtection="0"/>
    <xf numFmtId="0" fontId="8" fillId="44" borderId="0" applyNumberFormat="0" applyBorder="0" applyAlignment="0" applyProtection="0"/>
    <xf numFmtId="0" fontId="9" fillId="9" borderId="0" applyNumberFormat="0" applyBorder="0" applyAlignment="0" applyProtection="0"/>
    <xf numFmtId="0" fontId="8" fillId="50" borderId="0" applyNumberFormat="0" applyBorder="0" applyAlignment="0" applyProtection="0"/>
    <xf numFmtId="0" fontId="9" fillId="13" borderId="0" applyNumberFormat="0" applyBorder="0" applyAlignment="0" applyProtection="0"/>
    <xf numFmtId="0" fontId="8" fillId="51" borderId="0" applyNumberFormat="0" applyBorder="0" applyAlignment="0" applyProtection="0"/>
    <xf numFmtId="0" fontId="9" fillId="17" borderId="0" applyNumberFormat="0" applyBorder="0" applyAlignment="0" applyProtection="0"/>
    <xf numFmtId="0" fontId="8" fillId="45" borderId="0" applyNumberFormat="0" applyBorder="0" applyAlignment="0" applyProtection="0"/>
    <xf numFmtId="0" fontId="9" fillId="21" borderId="0" applyNumberFormat="0" applyBorder="0" applyAlignment="0" applyProtection="0"/>
    <xf numFmtId="0" fontId="8" fillId="45" borderId="0" applyNumberFormat="0" applyBorder="0" applyAlignment="0" applyProtection="0"/>
    <xf numFmtId="0" fontId="9" fillId="25" borderId="0" applyNumberFormat="0" applyBorder="0" applyAlignment="0" applyProtection="0"/>
    <xf numFmtId="0" fontId="8" fillId="45" borderId="0" applyNumberFormat="0" applyBorder="0" applyAlignment="0" applyProtection="0"/>
    <xf numFmtId="0" fontId="9" fillId="29" borderId="0" applyNumberFormat="0" applyBorder="0" applyAlignment="0" applyProtection="0"/>
    <xf numFmtId="0" fontId="8" fillId="44" borderId="0" applyNumberFormat="0" applyBorder="0" applyAlignment="0" applyProtection="0"/>
    <xf numFmtId="0" fontId="8" fillId="50" borderId="0" applyNumberFormat="0" applyBorder="0" applyAlignment="0" applyProtection="0"/>
    <xf numFmtId="0" fontId="8" fillId="51"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8" fillId="45" borderId="0" applyNumberFormat="0" applyBorder="0" applyAlignment="0" applyProtection="0"/>
    <xf numFmtId="0" fontId="4" fillId="0" borderId="0" applyNumberFormat="0" applyFill="0" applyBorder="0" applyAlignment="0" applyProtection="0"/>
    <xf numFmtId="0" fontId="11" fillId="52" borderId="11" applyNumberFormat="0" applyAlignment="0" applyProtection="0"/>
    <xf numFmtId="0" fontId="12" fillId="37" borderId="0" applyNumberFormat="0" applyBorder="0" applyAlignment="0" applyProtection="0"/>
    <xf numFmtId="0" fontId="13" fillId="3" borderId="0" applyNumberFormat="0" applyBorder="0" applyAlignment="0" applyProtection="0"/>
    <xf numFmtId="0" fontId="14" fillId="52" borderId="12" applyNumberFormat="0" applyAlignment="0" applyProtection="0"/>
    <xf numFmtId="0" fontId="15" fillId="53" borderId="13"/>
    <xf numFmtId="0" fontId="16" fillId="0" borderId="0" applyNumberFormat="0" applyFill="0" applyBorder="0" applyProtection="0"/>
    <xf numFmtId="0" fontId="17" fillId="38" borderId="0" applyNumberFormat="0" applyBorder="0" applyAlignment="0" applyProtection="0"/>
    <xf numFmtId="0" fontId="14" fillId="52" borderId="12" applyNumberFormat="0" applyAlignment="0" applyProtection="0"/>
    <xf numFmtId="0" fontId="18" fillId="6" borderId="4" applyNumberFormat="0" applyAlignment="0" applyProtection="0"/>
    <xf numFmtId="0" fontId="19" fillId="54" borderId="12" applyNumberFormat="0" applyAlignment="0" applyProtection="0"/>
    <xf numFmtId="0" fontId="20" fillId="55" borderId="14" applyNumberFormat="0" applyAlignment="0" applyProtection="0"/>
    <xf numFmtId="0" fontId="21" fillId="0" borderId="15" applyNumberFormat="0" applyFill="0" applyAlignment="0" applyProtection="0"/>
    <xf numFmtId="0" fontId="15" fillId="0" borderId="16"/>
    <xf numFmtId="0" fontId="22" fillId="55" borderId="14" applyNumberFormat="0" applyAlignment="0" applyProtection="0"/>
    <xf numFmtId="0" fontId="23" fillId="7" borderId="7" applyNumberFormat="0" applyAlignment="0" applyProtection="0"/>
    <xf numFmtId="1" fontId="24" fillId="56" borderId="16">
      <alignment horizontal="right" vertical="center" indent="1"/>
    </xf>
    <xf numFmtId="0" fontId="25" fillId="56" borderId="16">
      <alignment horizontal="right" vertical="center" indent="1"/>
    </xf>
    <xf numFmtId="0" fontId="4" fillId="56" borderId="17"/>
    <xf numFmtId="0" fontId="24" fillId="57" borderId="16">
      <alignment horizontal="center" vertical="center"/>
    </xf>
    <xf numFmtId="1" fontId="24" fillId="56" borderId="16">
      <alignment horizontal="right" vertical="center" indent="1"/>
    </xf>
    <xf numFmtId="0" fontId="4" fillId="56" borderId="0"/>
    <xf numFmtId="0" fontId="26" fillId="56" borderId="16">
      <alignment horizontal="left" vertical="center" indent="1"/>
    </xf>
    <xf numFmtId="0" fontId="26" fillId="56" borderId="18">
      <alignment horizontal="left" vertical="center" indent="1"/>
    </xf>
    <xf numFmtId="0" fontId="27" fillId="56" borderId="19">
      <alignment horizontal="left" vertical="center" indent="1"/>
    </xf>
    <xf numFmtId="0" fontId="26" fillId="56" borderId="16">
      <alignment horizontal="left" indent="1"/>
    </xf>
    <xf numFmtId="0" fontId="25" fillId="56" borderId="16">
      <alignment horizontal="right" vertical="center" indent="1"/>
    </xf>
    <xf numFmtId="0" fontId="28" fillId="58" borderId="16">
      <alignment horizontal="left" vertical="center" indent="1"/>
    </xf>
    <xf numFmtId="0" fontId="28" fillId="58" borderId="16">
      <alignment horizontal="left" vertical="center" indent="1"/>
    </xf>
    <xf numFmtId="0" fontId="29" fillId="56" borderId="16">
      <alignment horizontal="left" vertical="center" indent="1"/>
    </xf>
    <xf numFmtId="0" fontId="30" fillId="56" borderId="17"/>
    <xf numFmtId="0" fontId="24" fillId="59" borderId="16">
      <alignment horizontal="left" vertical="center" indent="1"/>
    </xf>
    <xf numFmtId="0" fontId="31" fillId="57" borderId="0">
      <alignment horizontal="center"/>
    </xf>
    <xf numFmtId="0" fontId="32" fillId="57" borderId="0">
      <alignment horizontal="center" vertical="center"/>
    </xf>
    <xf numFmtId="0" fontId="4" fillId="60" borderId="0">
      <alignment horizontal="center" wrapText="1"/>
    </xf>
    <xf numFmtId="0" fontId="33" fillId="57" borderId="0">
      <alignment horizontal="center"/>
    </xf>
    <xf numFmtId="164" fontId="1" fillId="0" borderId="0" applyFont="0" applyFill="0" applyBorder="0" applyAlignment="0" applyProtection="0"/>
    <xf numFmtId="43" fontId="34" fillId="0" borderId="0" applyFont="0" applyFill="0" applyBorder="0" applyAlignment="0" applyProtection="0"/>
    <xf numFmtId="43" fontId="7" fillId="0" borderId="0" applyFont="0" applyFill="0" applyBorder="0" applyAlignment="0" applyProtection="0"/>
    <xf numFmtId="165" fontId="4" fillId="0" borderId="0" applyFont="0" applyFill="0" applyBorder="0" applyAlignment="0" applyProtection="0"/>
    <xf numFmtId="43" fontId="1" fillId="0" borderId="0" applyFont="0" applyFill="0" applyBorder="0" applyAlignment="0" applyProtection="0"/>
    <xf numFmtId="165" fontId="4"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165" fontId="4" fillId="0" borderId="0" applyFont="0" applyFill="0" applyBorder="0" applyAlignment="0" applyProtection="0"/>
    <xf numFmtId="43" fontId="7" fillId="0" borderId="0" applyFont="0" applyFill="0" applyBorder="0" applyAlignment="0" applyProtection="0"/>
    <xf numFmtId="43" fontId="7" fillId="0" borderId="0" applyFont="0" applyFill="0" applyBorder="0" applyAlignment="0" applyProtection="0"/>
    <xf numFmtId="43" fontId="1" fillId="0" borderId="0" applyFont="0" applyFill="0" applyBorder="0" applyAlignment="0" applyProtection="0"/>
    <xf numFmtId="43" fontId="7" fillId="0" borderId="0" applyFont="0" applyFill="0" applyBorder="0" applyAlignment="0" applyProtection="0"/>
    <xf numFmtId="44" fontId="35" fillId="0" borderId="0" applyFont="0" applyFill="0" applyBorder="0" applyAlignment="0" applyProtection="0"/>
    <xf numFmtId="44" fontId="35" fillId="0" borderId="0" applyFont="0" applyFill="0" applyBorder="0" applyAlignment="0" applyProtection="0"/>
    <xf numFmtId="44" fontId="6" fillId="0" borderId="0" applyFont="0" applyFill="0" applyBorder="0" applyAlignment="0" applyProtection="0"/>
    <xf numFmtId="0" fontId="36" fillId="56" borderId="13" applyBorder="0">
      <protection locked="0"/>
    </xf>
    <xf numFmtId="0" fontId="37" fillId="34" borderId="12" applyNumberFormat="0" applyAlignment="0" applyProtection="0"/>
    <xf numFmtId="0" fontId="38" fillId="0" borderId="0" applyNumberFormat="0" applyFill="0" applyBorder="0" applyAlignment="0" applyProtection="0"/>
    <xf numFmtId="0" fontId="39" fillId="0" borderId="0">
      <alignment horizontal="left"/>
    </xf>
    <xf numFmtId="0" fontId="10" fillId="61" borderId="0" applyNumberFormat="0" applyBorder="0" applyAlignment="0" applyProtection="0"/>
    <xf numFmtId="0" fontId="10" fillId="62" borderId="0" applyNumberFormat="0" applyBorder="0" applyAlignment="0" applyProtection="0"/>
    <xf numFmtId="0" fontId="10" fillId="63" borderId="0" applyNumberFormat="0" applyBorder="0" applyAlignment="0" applyProtection="0"/>
    <xf numFmtId="0" fontId="10" fillId="48" borderId="0" applyNumberFormat="0" applyBorder="0" applyAlignment="0" applyProtection="0"/>
    <xf numFmtId="0" fontId="10" fillId="49" borderId="0" applyNumberFormat="0" applyBorder="0" applyAlignment="0" applyProtection="0"/>
    <xf numFmtId="0" fontId="10" fillId="51" borderId="0" applyNumberFormat="0" applyBorder="0" applyAlignment="0" applyProtection="0"/>
    <xf numFmtId="0" fontId="40" fillId="34" borderId="12" applyNumberFormat="0" applyAlignment="0" applyProtection="0"/>
    <xf numFmtId="0" fontId="41" fillId="0" borderId="20" applyNumberFormat="0" applyFill="0" applyAlignment="0" applyProtection="0"/>
    <xf numFmtId="0" fontId="42" fillId="0" borderId="0" applyNumberFormat="0" applyFill="0" applyBorder="0" applyAlignment="0" applyProtection="0"/>
    <xf numFmtId="0" fontId="43" fillId="0" borderId="0"/>
    <xf numFmtId="0" fontId="42" fillId="0" borderId="0" applyNumberFormat="0" applyFill="0" applyBorder="0" applyAlignment="0" applyProtection="0"/>
    <xf numFmtId="0" fontId="44" fillId="0" borderId="0" applyNumberFormat="0" applyFill="0" applyBorder="0" applyAlignment="0" applyProtection="0"/>
    <xf numFmtId="0" fontId="45" fillId="0" borderId="0" applyNumberFormat="0" applyFill="0" applyBorder="0" applyAlignment="0" applyProtection="0"/>
    <xf numFmtId="0" fontId="46" fillId="57" borderId="16">
      <alignment horizontal="left"/>
    </xf>
    <xf numFmtId="0" fontId="46" fillId="57" borderId="16">
      <alignment horizontal="left"/>
    </xf>
    <xf numFmtId="0" fontId="47" fillId="57" borderId="0">
      <alignment horizontal="left"/>
    </xf>
    <xf numFmtId="0" fontId="48" fillId="38" borderId="0" applyNumberFormat="0" applyBorder="0" applyAlignment="0" applyProtection="0"/>
    <xf numFmtId="0" fontId="49" fillId="2" borderId="0" applyNumberFormat="0" applyBorder="0" applyAlignment="0" applyProtection="0"/>
    <xf numFmtId="0" fontId="50" fillId="64" borderId="0">
      <alignment horizontal="right" vertical="top" textRotation="90" wrapText="1"/>
    </xf>
    <xf numFmtId="0" fontId="48" fillId="38" borderId="0" applyNumberFormat="0" applyBorder="0" applyAlignment="0" applyProtection="0"/>
    <xf numFmtId="0" fontId="51" fillId="0" borderId="0"/>
    <xf numFmtId="0" fontId="52" fillId="0" borderId="21" applyNumberFormat="0" applyFill="0" applyAlignment="0" applyProtection="0"/>
    <xf numFmtId="0" fontId="53" fillId="0" borderId="1" applyNumberFormat="0" applyFill="0" applyAlignment="0" applyProtection="0"/>
    <xf numFmtId="0" fontId="54" fillId="0" borderId="22" applyNumberFormat="0" applyFill="0" applyAlignment="0" applyProtection="0"/>
    <xf numFmtId="0" fontId="55" fillId="0" borderId="2" applyNumberFormat="0" applyFill="0" applyAlignment="0" applyProtection="0"/>
    <xf numFmtId="0" fontId="56" fillId="0" borderId="23" applyNumberFormat="0" applyFill="0" applyAlignment="0" applyProtection="0"/>
    <xf numFmtId="0" fontId="57" fillId="0" borderId="3" applyNumberFormat="0" applyFill="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alignment vertical="top"/>
      <protection locked="0"/>
    </xf>
    <xf numFmtId="0" fontId="58" fillId="0" borderId="0" applyNumberFormat="0" applyFill="0" applyBorder="0" applyAlignment="0" applyProtection="0">
      <alignment vertical="top"/>
      <protection locked="0"/>
    </xf>
    <xf numFmtId="0" fontId="59" fillId="0" borderId="0" applyNumberFormat="0" applyFill="0" applyBorder="0" applyAlignment="0" applyProtection="0"/>
    <xf numFmtId="0" fontId="60" fillId="0" borderId="0" applyNumberFormat="0" applyFill="0" applyBorder="0" applyAlignment="0" applyProtection="0">
      <alignment vertical="top"/>
      <protection locked="0"/>
    </xf>
    <xf numFmtId="0" fontId="58" fillId="0" borderId="0" applyNumberFormat="0" applyFill="0" applyBorder="0" applyAlignment="0" applyProtection="0"/>
    <xf numFmtId="0" fontId="61" fillId="0" borderId="0" applyNumberFormat="0" applyFill="0" applyBorder="0" applyAlignment="0" applyProtection="0">
      <alignment vertical="top"/>
      <protection locked="0"/>
    </xf>
    <xf numFmtId="0" fontId="62" fillId="0" borderId="0" applyNumberFormat="0" applyFill="0" applyBorder="0" applyAlignment="0" applyProtection="0"/>
    <xf numFmtId="0" fontId="63" fillId="0" borderId="0" applyNumberFormat="0" applyFill="0" applyBorder="0" applyAlignment="0" applyProtection="0"/>
    <xf numFmtId="0" fontId="60" fillId="0" borderId="0" applyNumberFormat="0" applyFill="0" applyBorder="0" applyAlignment="0" applyProtection="0">
      <alignment vertical="top"/>
      <protection locked="0"/>
    </xf>
    <xf numFmtId="0" fontId="60" fillId="0" borderId="0" applyNumberFormat="0" applyFill="0" applyBorder="0" applyAlignment="0" applyProtection="0"/>
    <xf numFmtId="0" fontId="61" fillId="0" borderId="0" applyNumberFormat="0" applyFill="0" applyBorder="0" applyAlignment="0" applyProtection="0">
      <alignment vertical="top"/>
      <protection locked="0"/>
    </xf>
    <xf numFmtId="0" fontId="64" fillId="37" borderId="0" applyNumberFormat="0" applyBorder="0" applyAlignment="0" applyProtection="0"/>
    <xf numFmtId="0" fontId="37" fillId="34" borderId="12" applyNumberFormat="0" applyAlignment="0" applyProtection="0"/>
    <xf numFmtId="0" fontId="65" fillId="5" borderId="4" applyNumberFormat="0" applyAlignment="0" applyProtection="0"/>
    <xf numFmtId="0" fontId="16" fillId="60" borderId="0">
      <alignment horizontal="center"/>
    </xf>
    <xf numFmtId="0" fontId="39" fillId="0" borderId="0">
      <alignment horizontal="left"/>
    </xf>
    <xf numFmtId="0" fontId="66" fillId="57" borderId="24">
      <alignment wrapText="1"/>
    </xf>
    <xf numFmtId="0" fontId="66" fillId="57" borderId="25"/>
    <xf numFmtId="0" fontId="66" fillId="57" borderId="10"/>
    <xf numFmtId="0" fontId="15" fillId="57" borderId="26">
      <alignment horizontal="center" wrapText="1"/>
    </xf>
    <xf numFmtId="0" fontId="58" fillId="0" borderId="0" applyNumberFormat="0" applyFill="0" applyBorder="0" applyAlignment="0" applyProtection="0">
      <alignment vertical="top"/>
      <protection locked="0"/>
    </xf>
    <xf numFmtId="0" fontId="67" fillId="0" borderId="15" applyNumberFormat="0" applyFill="0" applyAlignment="0" applyProtection="0"/>
    <xf numFmtId="0" fontId="68" fillId="0" borderId="6" applyNumberFormat="0" applyFill="0" applyAlignment="0" applyProtection="0"/>
    <xf numFmtId="0" fontId="4" fillId="0" borderId="0" applyFont="0" applyFill="0" applyBorder="0" applyAlignment="0" applyProtection="0"/>
    <xf numFmtId="168" fontId="4" fillId="0" borderId="0" applyFont="0" applyFill="0" applyBorder="0" applyAlignment="0" applyProtection="0"/>
    <xf numFmtId="169" fontId="4" fillId="0" borderId="0" applyFont="0" applyFill="0" applyBorder="0" applyAlignment="0" applyProtection="0"/>
    <xf numFmtId="170" fontId="4" fillId="0" borderId="0" applyFont="0" applyFill="0" applyBorder="0" applyAlignment="0" applyProtection="0"/>
    <xf numFmtId="171" fontId="4" fillId="0" borderId="0" applyFont="0" applyFill="0" applyBorder="0" applyAlignment="0" applyProtection="0"/>
    <xf numFmtId="165"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0" fontId="4" fillId="0" borderId="0" applyFont="0" applyFill="0" applyBorder="0" applyAlignment="0" applyProtection="0"/>
    <xf numFmtId="43" fontId="7" fillId="0" borderId="0" applyFont="0" applyFill="0" applyBorder="0" applyAlignment="0" applyProtection="0"/>
    <xf numFmtId="171" fontId="4" fillId="0" borderId="0" applyFont="0" applyFill="0" applyBorder="0" applyAlignment="0" applyProtection="0"/>
    <xf numFmtId="165"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171" fontId="4" fillId="0" borderId="0" applyFont="0" applyFill="0" applyBorder="0" applyAlignment="0" applyProtection="0"/>
    <xf numFmtId="0" fontId="69" fillId="35" borderId="0" applyNumberFormat="0" applyBorder="0" applyAlignment="0" applyProtection="0"/>
    <xf numFmtId="0" fontId="70" fillId="4" borderId="0" applyNumberFormat="0" applyBorder="0" applyAlignment="0" applyProtection="0"/>
    <xf numFmtId="0" fontId="71" fillId="0" borderId="0">
      <alignment vertical="center"/>
    </xf>
    <xf numFmtId="0" fontId="4" fillId="0" borderId="0"/>
    <xf numFmtId="0" fontId="1" fillId="0" borderId="0"/>
    <xf numFmtId="0" fontId="1" fillId="0" borderId="0"/>
    <xf numFmtId="0" fontId="4" fillId="0" borderId="0">
      <alignment wrapText="1"/>
    </xf>
    <xf numFmtId="0" fontId="72" fillId="0" borderId="0"/>
    <xf numFmtId="0" fontId="1" fillId="0" borderId="0"/>
    <xf numFmtId="0" fontId="4" fillId="0" borderId="0" applyNumberFormat="0" applyFont="0" applyFill="0" applyBorder="0" applyAlignment="0" applyProtection="0"/>
    <xf numFmtId="0" fontId="7" fillId="0" borderId="0"/>
    <xf numFmtId="0" fontId="1" fillId="0" borderId="0"/>
    <xf numFmtId="0" fontId="30" fillId="0" borderId="0"/>
    <xf numFmtId="0" fontId="4" fillId="0" borderId="0"/>
    <xf numFmtId="0" fontId="4" fillId="0" borderId="0"/>
    <xf numFmtId="0" fontId="73" fillId="0" borderId="0"/>
    <xf numFmtId="0" fontId="1" fillId="0" borderId="0"/>
    <xf numFmtId="0" fontId="74" fillId="0" borderId="0"/>
    <xf numFmtId="0" fontId="34" fillId="0" borderId="0"/>
    <xf numFmtId="0" fontId="75" fillId="0" borderId="0"/>
    <xf numFmtId="0" fontId="1" fillId="0" borderId="0"/>
    <xf numFmtId="0" fontId="4" fillId="0" borderId="0"/>
    <xf numFmtId="0" fontId="4" fillId="0" borderId="0"/>
    <xf numFmtId="0" fontId="4" fillId="0" borderId="0"/>
    <xf numFmtId="0" fontId="4" fillId="0" borderId="0"/>
    <xf numFmtId="0" fontId="4" fillId="0" borderId="0" applyNumberFormat="0" applyFont="0" applyFill="0" applyBorder="0" applyAlignment="0" applyProtection="0"/>
    <xf numFmtId="0" fontId="76" fillId="0" borderId="0"/>
    <xf numFmtId="0" fontId="4" fillId="0" borderId="0"/>
    <xf numFmtId="0" fontId="4" fillId="0" borderId="0"/>
    <xf numFmtId="0" fontId="4" fillId="0" borderId="0"/>
    <xf numFmtId="0" fontId="4" fillId="0" borderId="0"/>
    <xf numFmtId="0" fontId="4" fillId="0" borderId="0"/>
    <xf numFmtId="0" fontId="4" fillId="0" borderId="0" applyNumberFormat="0" applyFill="0" applyBorder="0" applyAlignment="0" applyProtection="0"/>
    <xf numFmtId="0" fontId="7" fillId="0" borderId="0"/>
    <xf numFmtId="0" fontId="4" fillId="0" borderId="0"/>
    <xf numFmtId="0" fontId="4" fillId="0" borderId="0" applyNumberFormat="0" applyFill="0" applyBorder="0" applyAlignment="0" applyProtection="0"/>
    <xf numFmtId="0" fontId="1" fillId="0" borderId="0"/>
    <xf numFmtId="0" fontId="6" fillId="0" borderId="0"/>
    <xf numFmtId="0" fontId="1" fillId="0" borderId="0"/>
    <xf numFmtId="0" fontId="6" fillId="0" borderId="0"/>
    <xf numFmtId="0" fontId="7" fillId="0" borderId="0"/>
    <xf numFmtId="0" fontId="1" fillId="0" borderId="0"/>
    <xf numFmtId="0" fontId="74" fillId="0" borderId="0"/>
    <xf numFmtId="0" fontId="1" fillId="0" borderId="0"/>
    <xf numFmtId="0" fontId="6" fillId="0" borderId="0"/>
    <xf numFmtId="0" fontId="1" fillId="0" borderId="0"/>
    <xf numFmtId="0" fontId="1" fillId="0" borderId="0"/>
    <xf numFmtId="0" fontId="7" fillId="33" borderId="27"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1" fillId="8" borderId="8" applyNumberFormat="0" applyFont="0" applyAlignment="0" applyProtection="0"/>
    <xf numFmtId="0" fontId="7" fillId="8" borderId="8" applyNumberFormat="0" applyFont="0" applyAlignment="0" applyProtection="0"/>
    <xf numFmtId="0" fontId="4" fillId="33" borderId="27" applyNumberFormat="0" applyFont="0" applyAlignment="0" applyProtection="0"/>
    <xf numFmtId="0" fontId="7" fillId="8" borderId="8" applyNumberFormat="0" applyFont="0" applyAlignment="0" applyProtection="0"/>
    <xf numFmtId="0" fontId="1" fillId="8" borderId="8" applyNumberFormat="0" applyFont="0" applyAlignment="0" applyProtection="0"/>
    <xf numFmtId="0" fontId="35" fillId="8" borderId="8" applyNumberFormat="0" applyFont="0" applyAlignment="0" applyProtection="0"/>
    <xf numFmtId="0" fontId="35" fillId="8" borderId="8" applyNumberFormat="0" applyFont="0" applyAlignment="0" applyProtection="0"/>
    <xf numFmtId="0" fontId="1" fillId="8" borderId="8" applyNumberFormat="0" applyFont="0" applyAlignment="0" applyProtection="0"/>
    <xf numFmtId="0" fontId="7" fillId="8" borderId="8" applyNumberFormat="0" applyFont="0" applyAlignment="0" applyProtection="0"/>
    <xf numFmtId="0" fontId="7" fillId="8" borderId="8" applyNumberFormat="0" applyFont="0" applyAlignment="0" applyProtection="0"/>
    <xf numFmtId="0" fontId="4" fillId="33" borderId="27" applyNumberFormat="0" applyFont="0" applyAlignment="0" applyProtection="0"/>
    <xf numFmtId="0" fontId="11" fillId="52" borderId="11" applyNumberFormat="0" applyAlignment="0" applyProtection="0"/>
    <xf numFmtId="0" fontId="77" fillId="6" borderId="5" applyNumberFormat="0" applyAlignment="0" applyProtection="0"/>
    <xf numFmtId="9" fontId="7"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NumberFormat="0" applyFont="0" applyFill="0" applyBorder="0" applyAlignment="0" applyProtection="0"/>
    <xf numFmtId="0" fontId="15" fillId="57" borderId="16"/>
    <xf numFmtId="0" fontId="32" fillId="57" borderId="0">
      <alignment horizontal="right"/>
    </xf>
    <xf numFmtId="0" fontId="78" fillId="65" borderId="0">
      <alignment horizontal="center"/>
    </xf>
    <xf numFmtId="0" fontId="79" fillId="60" borderId="0"/>
    <xf numFmtId="0" fontId="80" fillId="64" borderId="28">
      <alignment horizontal="left" vertical="top" wrapText="1"/>
    </xf>
    <xf numFmtId="0" fontId="80" fillId="64" borderId="29">
      <alignment horizontal="left" vertical="top"/>
    </xf>
    <xf numFmtId="0" fontId="81" fillId="54" borderId="11" applyNumberFormat="0" applyAlignment="0" applyProtection="0"/>
    <xf numFmtId="0" fontId="12" fillId="37" borderId="0" applyNumberFormat="0" applyBorder="0" applyAlignment="0" applyProtection="0"/>
    <xf numFmtId="0" fontId="1" fillId="0" borderId="0" applyNumberFormat="0" applyFont="0" applyFill="0" applyBorder="0" applyProtection="0">
      <alignment horizontal="left" vertical="center"/>
    </xf>
    <xf numFmtId="0" fontId="4" fillId="0" borderId="30" applyNumberFormat="0" applyFill="0" applyProtection="0">
      <alignment horizontal="left" vertical="center" wrapText="1"/>
    </xf>
    <xf numFmtId="172" fontId="4" fillId="0" borderId="30" applyFill="0" applyProtection="0">
      <alignment horizontal="right" vertical="center" wrapText="1"/>
    </xf>
    <xf numFmtId="0" fontId="4" fillId="0" borderId="0" applyNumberFormat="0" applyFill="0" applyBorder="0" applyProtection="0">
      <alignment horizontal="left" vertical="center" wrapText="1"/>
    </xf>
    <xf numFmtId="0" fontId="4" fillId="0" borderId="0" applyNumberFormat="0" applyFill="0" applyBorder="0" applyProtection="0">
      <alignment horizontal="left" vertical="center" wrapText="1"/>
    </xf>
    <xf numFmtId="172" fontId="4" fillId="0" borderId="0" applyFill="0" applyBorder="0" applyProtection="0">
      <alignment horizontal="right" vertical="center" wrapText="1"/>
    </xf>
    <xf numFmtId="173" fontId="4" fillId="0" borderId="0" applyFill="0" applyBorder="0" applyProtection="0">
      <alignment horizontal="right" vertical="center" wrapText="1"/>
    </xf>
    <xf numFmtId="0" fontId="4" fillId="0" borderId="31" applyNumberFormat="0" applyFill="0" applyProtection="0">
      <alignment horizontal="left" vertical="center" wrapText="1"/>
    </xf>
    <xf numFmtId="0" fontId="4" fillId="0" borderId="31" applyNumberFormat="0" applyFill="0" applyProtection="0">
      <alignment horizontal="left" vertical="center" wrapText="1"/>
    </xf>
    <xf numFmtId="172" fontId="4" fillId="0" borderId="31" applyFill="0" applyProtection="0">
      <alignment horizontal="right" vertical="center" wrapText="1"/>
    </xf>
    <xf numFmtId="0" fontId="4" fillId="0" borderId="0" applyNumberFormat="0" applyFill="0" applyBorder="0" applyProtection="0">
      <alignment vertical="center" wrapText="1"/>
    </xf>
    <xf numFmtId="0" fontId="4" fillId="0" borderId="0" applyNumberFormat="0" applyFill="0" applyBorder="0" applyAlignment="0" applyProtection="0"/>
    <xf numFmtId="0" fontId="4" fillId="0" borderId="0" applyNumberFormat="0" applyFill="0" applyBorder="0" applyProtection="0">
      <alignment horizontal="left" vertical="center" wrapText="1"/>
    </xf>
    <xf numFmtId="0" fontId="4" fillId="0" borderId="0" applyNumberFormat="0" applyFill="0" applyBorder="0" applyProtection="0">
      <alignment vertical="center" wrapText="1"/>
    </xf>
    <xf numFmtId="0" fontId="4" fillId="0" borderId="0" applyNumberFormat="0" applyFill="0" applyBorder="0" applyProtection="0">
      <alignment horizontal="left" vertical="center" wrapText="1"/>
    </xf>
    <xf numFmtId="0" fontId="4" fillId="0" borderId="0" applyNumberFormat="0" applyFill="0" applyBorder="0" applyProtection="0">
      <alignment vertical="center" wrapText="1"/>
    </xf>
    <xf numFmtId="0" fontId="4" fillId="0" borderId="0" applyNumberFormat="0" applyFill="0" applyBorder="0" applyProtection="0">
      <alignment vertical="center" wrapText="1"/>
    </xf>
    <xf numFmtId="0" fontId="1" fillId="0" borderId="0" applyNumberFormat="0" applyFont="0" applyFill="0" applyBorder="0" applyProtection="0">
      <alignment horizontal="left" vertical="center"/>
    </xf>
    <xf numFmtId="0" fontId="51" fillId="0" borderId="0" applyNumberFormat="0" applyFill="0" applyBorder="0" applyProtection="0">
      <alignment horizontal="left" vertical="center" wrapText="1"/>
    </xf>
    <xf numFmtId="0" fontId="51" fillId="0" borderId="0" applyNumberFormat="0" applyFill="0" applyBorder="0" applyProtection="0">
      <alignment horizontal="left" vertical="center" wrapText="1"/>
    </xf>
    <xf numFmtId="0" fontId="82" fillId="0" borderId="0" applyNumberFormat="0" applyFill="0" applyBorder="0" applyProtection="0">
      <alignment vertical="center" wrapText="1"/>
    </xf>
    <xf numFmtId="0" fontId="1" fillId="0" borderId="32" applyNumberFormat="0" applyFont="0" applyFill="0" applyProtection="0">
      <alignment horizontal="center" vertical="center" wrapText="1"/>
    </xf>
    <xf numFmtId="0" fontId="51" fillId="0" borderId="32" applyNumberFormat="0" applyFill="0" applyProtection="0">
      <alignment horizontal="center" vertical="center" wrapText="1"/>
    </xf>
    <xf numFmtId="0" fontId="51" fillId="0" borderId="32" applyNumberFormat="0" applyFill="0" applyProtection="0">
      <alignment horizontal="center" vertical="center" wrapText="1"/>
    </xf>
    <xf numFmtId="0" fontId="4" fillId="0" borderId="30" applyNumberFormat="0" applyFill="0" applyProtection="0">
      <alignment horizontal="left" vertical="center" wrapText="1"/>
    </xf>
    <xf numFmtId="37" fontId="83" fillId="0" borderId="0"/>
    <xf numFmtId="0" fontId="31" fillId="57" borderId="0">
      <alignment horizontal="center"/>
    </xf>
    <xf numFmtId="0" fontId="84" fillId="0" borderId="0" applyNumberFormat="0" applyFill="0" applyBorder="0" applyAlignment="0" applyProtection="0"/>
    <xf numFmtId="0" fontId="85" fillId="0" borderId="0" applyNumberFormat="0" applyFill="0" applyBorder="0" applyAlignment="0" applyProtection="0"/>
    <xf numFmtId="0" fontId="86" fillId="0" borderId="0" applyNumberFormat="0" applyFill="0" applyBorder="0" applyAlignment="0" applyProtection="0"/>
    <xf numFmtId="0" fontId="87" fillId="57" borderId="0"/>
    <xf numFmtId="0" fontId="88" fillId="0" borderId="0" applyNumberFormat="0" applyFill="0" applyBorder="0" applyAlignment="0" applyProtection="0"/>
    <xf numFmtId="0" fontId="89" fillId="0" borderId="33" applyNumberFormat="0" applyFill="0" applyAlignment="0" applyProtection="0"/>
    <xf numFmtId="0" fontId="90" fillId="0" borderId="34" applyNumberFormat="0" applyFill="0" applyAlignment="0" applyProtection="0"/>
    <xf numFmtId="0" fontId="38" fillId="0" borderId="35" applyNumberFormat="0" applyFill="0" applyAlignment="0" applyProtection="0"/>
    <xf numFmtId="0" fontId="41" fillId="0" borderId="20" applyNumberFormat="0" applyFill="0" applyAlignment="0" applyProtection="0"/>
    <xf numFmtId="0" fontId="91" fillId="0" borderId="9" applyNumberFormat="0" applyFill="0" applyAlignment="0" applyProtection="0"/>
    <xf numFmtId="0" fontId="86" fillId="0" borderId="0" applyNumberFormat="0" applyFill="0" applyBorder="0" applyAlignment="0" applyProtection="0"/>
    <xf numFmtId="0" fontId="52" fillId="0" borderId="21" applyNumberFormat="0" applyFill="0" applyAlignment="0" applyProtection="0"/>
    <xf numFmtId="0" fontId="54" fillId="0" borderId="22" applyNumberFormat="0" applyFill="0" applyAlignment="0" applyProtection="0"/>
    <xf numFmtId="0" fontId="56" fillId="0" borderId="23" applyNumberFormat="0" applyFill="0" applyAlignment="0" applyProtection="0"/>
    <xf numFmtId="0" fontId="56" fillId="0" borderId="0" applyNumberFormat="0" applyFill="0" applyBorder="0" applyAlignment="0" applyProtection="0"/>
    <xf numFmtId="0" fontId="67" fillId="0" borderId="15" applyNumberFormat="0" applyFill="0" applyAlignment="0" applyProtection="0"/>
    <xf numFmtId="0" fontId="92" fillId="0" borderId="0" applyNumberFormat="0" applyFill="0" applyBorder="0" applyAlignment="0" applyProtection="0"/>
    <xf numFmtId="0" fontId="92" fillId="0" borderId="0" applyNumberFormat="0" applyFill="0" applyBorder="0" applyAlignment="0" applyProtection="0"/>
    <xf numFmtId="0" fontId="93" fillId="0" borderId="0" applyNumberFormat="0" applyFill="0" applyBorder="0" applyAlignment="0" applyProtection="0"/>
    <xf numFmtId="0" fontId="4" fillId="0" borderId="0" applyNumberFormat="0" applyFont="0" applyFill="0" applyBorder="0" applyProtection="0">
      <alignment wrapText="1"/>
    </xf>
    <xf numFmtId="0" fontId="22" fillId="55" borderId="14" applyNumberFormat="0" applyAlignment="0" applyProtection="0"/>
    <xf numFmtId="0" fontId="6" fillId="0" borderId="0"/>
    <xf numFmtId="43" fontId="1" fillId="0" borderId="0" applyFont="0" applyFill="0" applyBorder="0" applyAlignment="0" applyProtection="0"/>
    <xf numFmtId="166" fontId="1" fillId="0" borderId="0" applyFont="0" applyFill="0" applyBorder="0" applyAlignment="0" applyProtection="0"/>
    <xf numFmtId="0" fontId="62" fillId="0" borderId="0" applyNumberFormat="0" applyFill="0" applyBorder="0" applyAlignment="0" applyProtection="0"/>
    <xf numFmtId="0" fontId="6" fillId="0" borderId="0"/>
    <xf numFmtId="0" fontId="66" fillId="57" borderId="47"/>
    <xf numFmtId="0" fontId="143" fillId="0" borderId="0"/>
    <xf numFmtId="43" fontId="143" fillId="0" borderId="0" applyFont="0" applyFill="0" applyBorder="0" applyAlignment="0" applyProtection="0"/>
    <xf numFmtId="9" fontId="143" fillId="0" borderId="0" applyFont="0" applyFill="0" applyBorder="0" applyAlignment="0" applyProtection="0"/>
    <xf numFmtId="0" fontId="144" fillId="0" borderId="0"/>
    <xf numFmtId="43" fontId="4" fillId="0" borderId="0" applyFont="0" applyFill="0" applyBorder="0" applyAlignment="0" applyProtection="0"/>
    <xf numFmtId="0" fontId="144" fillId="0" borderId="0"/>
    <xf numFmtId="43" fontId="144" fillId="0" borderId="0" applyFont="0" applyFill="0" applyBorder="0" applyAlignment="0" applyProtection="0"/>
    <xf numFmtId="9" fontId="144" fillId="0" borderId="0" applyFont="0" applyFill="0" applyBorder="0" applyAlignment="0" applyProtection="0"/>
    <xf numFmtId="0" fontId="144" fillId="0" borderId="0"/>
    <xf numFmtId="1" fontId="145" fillId="0" borderId="0"/>
  </cellStyleXfs>
  <cellXfs count="1136">
    <xf numFmtId="0" fontId="0" fillId="0" borderId="0" xfId="0"/>
    <xf numFmtId="167" fontId="0" fillId="0" borderId="0" xfId="1" applyNumberFormat="1" applyFont="1" applyBorder="1"/>
    <xf numFmtId="167" fontId="0" fillId="0" borderId="0" xfId="0" applyNumberFormat="1"/>
    <xf numFmtId="9" fontId="0" fillId="0" borderId="0" xfId="1" applyFont="1" applyBorder="1"/>
    <xf numFmtId="0" fontId="95" fillId="66" borderId="0" xfId="0" applyFont="1" applyFill="1" applyAlignment="1">
      <alignment vertical="center"/>
    </xf>
    <xf numFmtId="0" fontId="2" fillId="0" borderId="0" xfId="0" applyFont="1"/>
    <xf numFmtId="0" fontId="3" fillId="0" borderId="0" xfId="0" applyFont="1"/>
    <xf numFmtId="9" fontId="0" fillId="0" borderId="0" xfId="0" applyNumberFormat="1"/>
    <xf numFmtId="0" fontId="97" fillId="0" borderId="0" xfId="0" applyFont="1"/>
    <xf numFmtId="9" fontId="0" fillId="0" borderId="0" xfId="1" applyFont="1"/>
    <xf numFmtId="0" fontId="97" fillId="0" borderId="0" xfId="0" applyFont="1" applyAlignment="1">
      <alignment wrapText="1"/>
    </xf>
    <xf numFmtId="9" fontId="0" fillId="0" borderId="0" xfId="1" applyFont="1" applyFill="1"/>
    <xf numFmtId="9" fontId="0" fillId="0" borderId="0" xfId="1" applyFont="1" applyFill="1" applyBorder="1"/>
    <xf numFmtId="167" fontId="0" fillId="0" borderId="0" xfId="1" applyNumberFormat="1" applyFont="1" applyFill="1"/>
    <xf numFmtId="0" fontId="98" fillId="0" borderId="0" xfId="0" applyFont="1"/>
    <xf numFmtId="0" fontId="3" fillId="0" borderId="24" xfId="0" applyFont="1" applyBorder="1" applyAlignment="1">
      <alignment horizontal="center" vertical="center" wrapText="1"/>
    </xf>
    <xf numFmtId="0" fontId="2" fillId="0" borderId="24" xfId="0" applyFont="1" applyBorder="1"/>
    <xf numFmtId="9" fontId="2" fillId="0" borderId="24" xfId="0" applyNumberFormat="1" applyFont="1" applyBorder="1"/>
    <xf numFmtId="9" fontId="0" fillId="0" borderId="38" xfId="0" applyNumberFormat="1" applyBorder="1"/>
    <xf numFmtId="9" fontId="0" fillId="0" borderId="39" xfId="0" applyNumberFormat="1" applyBorder="1"/>
    <xf numFmtId="9" fontId="2" fillId="0" borderId="28" xfId="0" applyNumberFormat="1" applyFont="1" applyBorder="1"/>
    <xf numFmtId="0" fontId="99" fillId="0" borderId="0" xfId="0" applyFont="1"/>
    <xf numFmtId="0" fontId="0" fillId="0" borderId="0" xfId="0" applyAlignment="1">
      <alignment horizontal="center"/>
    </xf>
    <xf numFmtId="0" fontId="0" fillId="0" borderId="0" xfId="0" applyAlignment="1">
      <alignment vertical="center" wrapText="1"/>
    </xf>
    <xf numFmtId="0" fontId="100" fillId="0" borderId="0" xfId="0" applyFont="1" applyAlignment="1">
      <alignment horizontal="center" vertical="center" wrapText="1"/>
    </xf>
    <xf numFmtId="0" fontId="3" fillId="0" borderId="0" xfId="0" applyFont="1" applyAlignment="1">
      <alignment horizontal="center" vertical="center" wrapText="1"/>
    </xf>
    <xf numFmtId="0" fontId="2" fillId="0" borderId="24" xfId="0" applyFont="1" applyBorder="1" applyAlignment="1">
      <alignment vertical="center"/>
    </xf>
    <xf numFmtId="0" fontId="0" fillId="0" borderId="24" xfId="0" applyBorder="1"/>
    <xf numFmtId="0" fontId="0" fillId="0" borderId="0" xfId="0" applyAlignment="1">
      <alignment horizontal="left"/>
    </xf>
    <xf numFmtId="175" fontId="0" fillId="0" borderId="0" xfId="376" applyNumberFormat="1" applyFont="1"/>
    <xf numFmtId="167" fontId="0" fillId="0" borderId="0" xfId="1" applyNumberFormat="1" applyFont="1"/>
    <xf numFmtId="10" fontId="0" fillId="0" borderId="0" xfId="1" applyNumberFormat="1" applyFont="1"/>
    <xf numFmtId="176" fontId="0" fillId="0" borderId="0" xfId="376" applyNumberFormat="1" applyFont="1"/>
    <xf numFmtId="0" fontId="2" fillId="0" borderId="0" xfId="0" applyFont="1" applyAlignment="1">
      <alignment vertical="center" wrapText="1"/>
    </xf>
    <xf numFmtId="9" fontId="0" fillId="0" borderId="0" xfId="1" applyFont="1" applyBorder="1" applyAlignment="1">
      <alignment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9" fontId="0" fillId="0" borderId="42" xfId="1" applyFont="1" applyBorder="1" applyAlignment="1">
      <alignment vertical="center" wrapText="1"/>
    </xf>
    <xf numFmtId="9" fontId="0" fillId="0" borderId="38" xfId="1" applyFont="1" applyBorder="1" applyAlignment="1">
      <alignment vertical="center" wrapText="1"/>
    </xf>
    <xf numFmtId="9" fontId="0" fillId="0" borderId="43" xfId="1" applyFont="1" applyBorder="1" applyAlignment="1">
      <alignment vertical="center" wrapText="1"/>
    </xf>
    <xf numFmtId="9" fontId="0" fillId="0" borderId="39" xfId="1" applyFont="1" applyBorder="1" applyAlignment="1">
      <alignment vertical="center" wrapText="1"/>
    </xf>
    <xf numFmtId="9" fontId="0" fillId="0" borderId="40" xfId="1" applyFont="1" applyBorder="1" applyAlignment="1">
      <alignment vertical="center" wrapText="1"/>
    </xf>
    <xf numFmtId="9" fontId="0" fillId="0" borderId="41" xfId="1" applyFont="1" applyBorder="1" applyAlignment="1">
      <alignment vertical="center" wrapText="1"/>
    </xf>
    <xf numFmtId="175" fontId="0" fillId="0" borderId="43" xfId="376" applyNumberFormat="1" applyFont="1" applyBorder="1"/>
    <xf numFmtId="175" fontId="0" fillId="0" borderId="0" xfId="376" applyNumberFormat="1" applyFont="1" applyBorder="1"/>
    <xf numFmtId="175" fontId="0" fillId="0" borderId="40" xfId="376" applyNumberFormat="1" applyFont="1" applyBorder="1"/>
    <xf numFmtId="175" fontId="0" fillId="0" borderId="42" xfId="376" applyNumberFormat="1" applyFont="1" applyBorder="1"/>
    <xf numFmtId="10" fontId="0" fillId="0" borderId="0" xfId="1" applyNumberFormat="1" applyFont="1" applyBorder="1"/>
    <xf numFmtId="9" fontId="0" fillId="0" borderId="42" xfId="1" applyFont="1" applyBorder="1"/>
    <xf numFmtId="9" fontId="0" fillId="0" borderId="38" xfId="1" applyFont="1" applyBorder="1"/>
    <xf numFmtId="9" fontId="0" fillId="0" borderId="43" xfId="1" applyFont="1" applyBorder="1"/>
    <xf numFmtId="9" fontId="0" fillId="0" borderId="39" xfId="1" applyFont="1" applyBorder="1"/>
    <xf numFmtId="9" fontId="0" fillId="0" borderId="40" xfId="1" applyFont="1" applyBorder="1"/>
    <xf numFmtId="9" fontId="0" fillId="0" borderId="41" xfId="1" applyFont="1" applyBorder="1"/>
    <xf numFmtId="0" fontId="103" fillId="0" borderId="0" xfId="0" applyFont="1"/>
    <xf numFmtId="0" fontId="3" fillId="0" borderId="28" xfId="0" applyFont="1" applyBorder="1" applyAlignment="1">
      <alignment horizontal="center" vertical="center" wrapText="1"/>
    </xf>
    <xf numFmtId="174" fontId="0" fillId="0" borderId="0" xfId="0" applyNumberFormat="1"/>
    <xf numFmtId="0" fontId="105" fillId="0" borderId="0" xfId="0" applyFont="1" applyAlignment="1">
      <alignment horizontal="left" vertical="center"/>
    </xf>
    <xf numFmtId="0" fontId="104" fillId="0" borderId="0" xfId="0" applyFont="1" applyAlignment="1">
      <alignment horizontal="left" vertical="center"/>
    </xf>
    <xf numFmtId="0" fontId="106" fillId="0" borderId="0" xfId="0" applyFont="1" applyAlignment="1">
      <alignment vertical="center" wrapText="1"/>
    </xf>
    <xf numFmtId="0" fontId="106" fillId="0" borderId="0" xfId="0" applyFont="1"/>
    <xf numFmtId="167" fontId="107" fillId="0" borderId="0" xfId="1" applyNumberFormat="1" applyFont="1" applyBorder="1" applyAlignment="1">
      <alignment vertical="center" wrapText="1"/>
    </xf>
    <xf numFmtId="9" fontId="0" fillId="0" borderId="0" xfId="0" applyNumberFormat="1" applyAlignment="1">
      <alignment vertical="center" wrapText="1"/>
    </xf>
    <xf numFmtId="0" fontId="107" fillId="0" borderId="0" xfId="0" applyFont="1"/>
    <xf numFmtId="10" fontId="0" fillId="0" borderId="0" xfId="0" applyNumberFormat="1"/>
    <xf numFmtId="0" fontId="3" fillId="0" borderId="38" xfId="0" applyFont="1" applyBorder="1" applyAlignment="1">
      <alignment vertical="center" wrapText="1"/>
    </xf>
    <xf numFmtId="0" fontId="3" fillId="0" borderId="39" xfId="0" applyFont="1" applyBorder="1" applyAlignment="1">
      <alignment vertical="center" wrapText="1"/>
    </xf>
    <xf numFmtId="0" fontId="3" fillId="0" borderId="41" xfId="0" applyFont="1" applyBorder="1" applyAlignment="1">
      <alignment vertical="center" wrapText="1"/>
    </xf>
    <xf numFmtId="167" fontId="0" fillId="0" borderId="39" xfId="1" applyNumberFormat="1" applyFont="1" applyBorder="1"/>
    <xf numFmtId="43" fontId="0" fillId="0" borderId="0" xfId="376" applyFont="1" applyBorder="1"/>
    <xf numFmtId="0" fontId="2" fillId="0" borderId="24" xfId="0" applyFont="1" applyBorder="1" applyAlignment="1">
      <alignment vertical="center" wrapText="1"/>
    </xf>
    <xf numFmtId="0" fontId="0" fillId="0" borderId="0" xfId="376" applyNumberFormat="1" applyFont="1" applyBorder="1"/>
    <xf numFmtId="43" fontId="0" fillId="67" borderId="0" xfId="376" applyFont="1" applyFill="1" applyBorder="1"/>
    <xf numFmtId="43" fontId="3" fillId="67" borderId="24" xfId="376" applyFont="1" applyFill="1" applyBorder="1" applyAlignment="1">
      <alignment horizontal="center" vertical="center" wrapText="1"/>
    </xf>
    <xf numFmtId="0" fontId="7" fillId="0" borderId="0" xfId="0" applyFont="1"/>
    <xf numFmtId="0" fontId="109" fillId="68" borderId="0" xfId="0" applyFont="1" applyFill="1" applyAlignment="1">
      <alignment horizontal="center" vertical="center" wrapText="1"/>
    </xf>
    <xf numFmtId="43" fontId="7" fillId="0" borderId="45" xfId="0" applyNumberFormat="1" applyFont="1" applyBorder="1"/>
    <xf numFmtId="0" fontId="7" fillId="0" borderId="45" xfId="0" applyFont="1" applyBorder="1"/>
    <xf numFmtId="0" fontId="7" fillId="0" borderId="45" xfId="0" applyFont="1" applyBorder="1" applyAlignment="1">
      <alignment horizontal="left"/>
    </xf>
    <xf numFmtId="43" fontId="7" fillId="0" borderId="0" xfId="0" applyNumberFormat="1" applyFont="1" applyAlignment="1">
      <alignment horizontal="left"/>
    </xf>
    <xf numFmtId="43" fontId="7" fillId="0" borderId="0" xfId="0" applyNumberFormat="1" applyFont="1"/>
    <xf numFmtId="0" fontId="7" fillId="0" borderId="0" xfId="0" applyFont="1" applyAlignment="1">
      <alignment horizontal="left"/>
    </xf>
    <xf numFmtId="43" fontId="108" fillId="0" borderId="0" xfId="0" applyNumberFormat="1" applyFont="1"/>
    <xf numFmtId="43" fontId="7" fillId="0" borderId="46" xfId="0" applyNumberFormat="1" applyFont="1" applyBorder="1"/>
    <xf numFmtId="43" fontId="7" fillId="0" borderId="47" xfId="0" applyNumberFormat="1" applyFont="1" applyBorder="1"/>
    <xf numFmtId="0" fontId="7" fillId="0" borderId="47" xfId="0" applyFont="1" applyBorder="1"/>
    <xf numFmtId="43" fontId="110" fillId="0" borderId="0" xfId="0" applyNumberFormat="1" applyFont="1"/>
    <xf numFmtId="43" fontId="109" fillId="68" borderId="48" xfId="0" applyNumberFormat="1" applyFont="1" applyFill="1" applyBorder="1" applyAlignment="1">
      <alignment horizontal="center" vertical="center" wrapText="1"/>
    </xf>
    <xf numFmtId="0" fontId="102" fillId="0" borderId="0" xfId="0" applyFont="1" applyAlignment="1">
      <alignment wrapText="1"/>
    </xf>
    <xf numFmtId="0" fontId="104" fillId="0" borderId="0" xfId="0" applyFont="1" applyAlignment="1">
      <alignment vertical="center"/>
    </xf>
    <xf numFmtId="0" fontId="3" fillId="0" borderId="29" xfId="0" applyFont="1" applyBorder="1" applyAlignment="1">
      <alignment horizontal="center" vertical="center" wrapText="1"/>
    </xf>
    <xf numFmtId="9" fontId="0" fillId="0" borderId="45" xfId="1" applyFont="1" applyBorder="1"/>
    <xf numFmtId="9" fontId="0" fillId="0" borderId="47" xfId="1" applyFont="1" applyBorder="1"/>
    <xf numFmtId="9" fontId="0" fillId="0" borderId="40" xfId="1" applyFont="1" applyFill="1" applyBorder="1"/>
    <xf numFmtId="9" fontId="0" fillId="0" borderId="47" xfId="0" applyNumberFormat="1" applyBorder="1"/>
    <xf numFmtId="43" fontId="3" fillId="0" borderId="24" xfId="376" applyFont="1" applyBorder="1" applyAlignment="1">
      <alignment horizontal="center" vertical="center" wrapText="1"/>
    </xf>
    <xf numFmtId="0" fontId="115" fillId="0" borderId="0" xfId="0" applyFont="1"/>
    <xf numFmtId="167" fontId="115" fillId="0" borderId="0" xfId="1" applyNumberFormat="1" applyFont="1"/>
    <xf numFmtId="0" fontId="115" fillId="0" borderId="0" xfId="0" applyFont="1" applyAlignment="1">
      <alignment vertical="center"/>
    </xf>
    <xf numFmtId="0" fontId="114" fillId="0" borderId="0" xfId="0" applyFont="1"/>
    <xf numFmtId="0" fontId="3" fillId="0" borderId="64" xfId="0" applyFont="1" applyBorder="1" applyAlignment="1">
      <alignment horizontal="center" vertical="center" wrapText="1"/>
    </xf>
    <xf numFmtId="167" fontId="0" fillId="0" borderId="45" xfId="0" applyNumberFormat="1" applyBorder="1"/>
    <xf numFmtId="167" fontId="0" fillId="0" borderId="47" xfId="0" applyNumberFormat="1" applyBorder="1"/>
    <xf numFmtId="0" fontId="3" fillId="0" borderId="70"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49" xfId="0" applyFont="1" applyBorder="1" applyAlignment="1">
      <alignment horizontal="center" vertical="center" wrapText="1"/>
    </xf>
    <xf numFmtId="167" fontId="0" fillId="0" borderId="16" xfId="1" applyNumberFormat="1" applyFont="1" applyBorder="1" applyAlignment="1">
      <alignment vertical="center" wrapText="1"/>
    </xf>
    <xf numFmtId="167" fontId="0" fillId="0" borderId="16" xfId="1" applyNumberFormat="1" applyFont="1" applyBorder="1"/>
    <xf numFmtId="166" fontId="0" fillId="0" borderId="16" xfId="377" applyFont="1" applyBorder="1" applyAlignment="1">
      <alignment vertical="center" wrapText="1"/>
    </xf>
    <xf numFmtId="167" fontId="0" fillId="0" borderId="16" xfId="1" applyNumberFormat="1" applyFont="1" applyFill="1" applyBorder="1" applyAlignment="1">
      <alignment vertical="center" wrapText="1"/>
    </xf>
    <xf numFmtId="167" fontId="107" fillId="0" borderId="16" xfId="1" applyNumberFormat="1" applyFont="1" applyBorder="1" applyAlignment="1">
      <alignment vertical="center" wrapText="1"/>
    </xf>
    <xf numFmtId="166" fontId="107" fillId="0" borderId="16" xfId="377" applyFont="1" applyBorder="1" applyAlignment="1">
      <alignment vertical="center" wrapText="1"/>
    </xf>
    <xf numFmtId="167" fontId="0" fillId="0" borderId="52" xfId="1" applyNumberFormat="1" applyFont="1" applyBorder="1" applyAlignment="1">
      <alignment vertical="center" wrapText="1"/>
    </xf>
    <xf numFmtId="167" fontId="0" fillId="0" borderId="52" xfId="1" applyNumberFormat="1" applyFont="1" applyBorder="1"/>
    <xf numFmtId="166" fontId="0" fillId="0" borderId="52" xfId="377" applyFont="1" applyBorder="1" applyAlignment="1">
      <alignment vertical="center" wrapText="1"/>
    </xf>
    <xf numFmtId="167" fontId="0" fillId="0" borderId="54" xfId="1" applyNumberFormat="1" applyFont="1" applyBorder="1"/>
    <xf numFmtId="167" fontId="0" fillId="0" borderId="58" xfId="1" applyNumberFormat="1" applyFont="1" applyBorder="1" applyAlignment="1">
      <alignment vertical="center" wrapText="1"/>
    </xf>
    <xf numFmtId="0" fontId="0" fillId="0" borderId="64" xfId="0" applyBorder="1" applyAlignment="1">
      <alignment vertical="center" wrapText="1"/>
    </xf>
    <xf numFmtId="0" fontId="0" fillId="0" borderId="71" xfId="0" applyBorder="1" applyAlignment="1">
      <alignment vertical="center" wrapText="1"/>
    </xf>
    <xf numFmtId="0" fontId="107" fillId="0" borderId="71" xfId="0" applyFont="1" applyBorder="1" applyAlignment="1">
      <alignment vertical="center" wrapText="1"/>
    </xf>
    <xf numFmtId="0" fontId="0" fillId="0" borderId="72" xfId="0" applyBorder="1" applyAlignment="1">
      <alignment vertical="center" wrapText="1"/>
    </xf>
    <xf numFmtId="167" fontId="0" fillId="0" borderId="53" xfId="1" applyNumberFormat="1" applyFont="1" applyBorder="1" applyAlignment="1">
      <alignment vertical="center" wrapText="1"/>
    </xf>
    <xf numFmtId="167" fontId="0" fillId="0" borderId="54" xfId="1" applyNumberFormat="1" applyFont="1" applyBorder="1" applyAlignment="1">
      <alignment vertical="center" wrapText="1"/>
    </xf>
    <xf numFmtId="167" fontId="0" fillId="0" borderId="56" xfId="1" applyNumberFormat="1" applyFont="1" applyBorder="1" applyAlignment="1">
      <alignment vertical="center" wrapText="1"/>
    </xf>
    <xf numFmtId="167" fontId="0" fillId="0" borderId="57" xfId="1" applyNumberFormat="1" applyFont="1" applyBorder="1" applyAlignment="1">
      <alignment vertical="center" wrapText="1"/>
    </xf>
    <xf numFmtId="167" fontId="0" fillId="0" borderId="57" xfId="1" applyNumberFormat="1" applyFont="1" applyFill="1" applyBorder="1"/>
    <xf numFmtId="167" fontId="0" fillId="0" borderId="56" xfId="1" applyNumberFormat="1" applyFont="1" applyFill="1" applyBorder="1" applyAlignment="1">
      <alignment vertical="center" wrapText="1"/>
    </xf>
    <xf numFmtId="167" fontId="0" fillId="0" borderId="57" xfId="1" applyNumberFormat="1" applyFont="1" applyFill="1" applyBorder="1" applyAlignment="1">
      <alignment vertical="center" wrapText="1"/>
    </xf>
    <xf numFmtId="167" fontId="107" fillId="0" borderId="56" xfId="1" applyNumberFormat="1" applyFont="1" applyBorder="1" applyAlignment="1">
      <alignment vertical="center" wrapText="1"/>
    </xf>
    <xf numFmtId="167" fontId="107" fillId="0" borderId="57" xfId="1" applyNumberFormat="1" applyFont="1" applyBorder="1" applyAlignment="1">
      <alignment vertical="center" wrapText="1"/>
    </xf>
    <xf numFmtId="167" fontId="0" fillId="0" borderId="60" xfId="1" applyNumberFormat="1" applyFont="1" applyBorder="1" applyAlignment="1">
      <alignment vertical="center" wrapText="1"/>
    </xf>
    <xf numFmtId="167" fontId="0" fillId="0" borderId="61" xfId="1" applyNumberFormat="1" applyFont="1" applyBorder="1" applyAlignment="1">
      <alignment vertical="center" wrapText="1"/>
    </xf>
    <xf numFmtId="166" fontId="0" fillId="0" borderId="68" xfId="377" applyFont="1" applyBorder="1"/>
    <xf numFmtId="166" fontId="0" fillId="0" borderId="24" xfId="377" applyFont="1" applyBorder="1"/>
    <xf numFmtId="167" fontId="0" fillId="0" borderId="24" xfId="1" applyNumberFormat="1" applyFont="1" applyBorder="1"/>
    <xf numFmtId="167" fontId="0" fillId="0" borderId="24" xfId="1" applyNumberFormat="1" applyFont="1" applyFill="1" applyBorder="1"/>
    <xf numFmtId="166" fontId="0" fillId="0" borderId="24" xfId="377" applyFont="1" applyFill="1" applyBorder="1"/>
    <xf numFmtId="167" fontId="0" fillId="0" borderId="73" xfId="1" applyNumberFormat="1" applyFont="1" applyFill="1" applyBorder="1"/>
    <xf numFmtId="167" fontId="0" fillId="0" borderId="56" xfId="1" applyNumberFormat="1" applyFont="1" applyFill="1" applyBorder="1"/>
    <xf numFmtId="166" fontId="0" fillId="0" borderId="56" xfId="377" applyFont="1" applyBorder="1" applyAlignment="1">
      <alignment vertical="center" wrapText="1"/>
    </xf>
    <xf numFmtId="166" fontId="0" fillId="0" borderId="57" xfId="377" applyFont="1" applyBorder="1" applyAlignment="1">
      <alignment vertical="center" wrapText="1"/>
    </xf>
    <xf numFmtId="167" fontId="0" fillId="0" borderId="68" xfId="1" applyNumberFormat="1" applyFont="1" applyBorder="1"/>
    <xf numFmtId="167" fontId="0" fillId="0" borderId="73" xfId="1" applyNumberFormat="1" applyFont="1" applyBorder="1"/>
    <xf numFmtId="167" fontId="0" fillId="0" borderId="69" xfId="1" applyNumberFormat="1" applyFont="1" applyBorder="1"/>
    <xf numFmtId="167" fontId="0" fillId="0" borderId="55" xfId="1" applyNumberFormat="1" applyFont="1" applyBorder="1"/>
    <xf numFmtId="166" fontId="0" fillId="0" borderId="55" xfId="377" applyFont="1" applyBorder="1"/>
    <xf numFmtId="167" fontId="0" fillId="0" borderId="59" xfId="1" applyNumberFormat="1" applyFont="1" applyBorder="1"/>
    <xf numFmtId="166" fontId="0" fillId="0" borderId="53" xfId="377" applyFont="1" applyBorder="1" applyAlignment="1">
      <alignment vertical="center" wrapText="1"/>
    </xf>
    <xf numFmtId="0" fontId="114" fillId="0" borderId="16" xfId="0" applyFont="1" applyBorder="1" applyAlignment="1">
      <alignment vertical="center"/>
    </xf>
    <xf numFmtId="0" fontId="114" fillId="0" borderId="16" xfId="0" applyFont="1" applyBorder="1" applyAlignment="1">
      <alignment vertical="center" wrapText="1"/>
    </xf>
    <xf numFmtId="0" fontId="114" fillId="0" borderId="16" xfId="0" applyFont="1" applyBorder="1" applyAlignment="1">
      <alignment wrapText="1"/>
    </xf>
    <xf numFmtId="0" fontId="114" fillId="0" borderId="16" xfId="0" applyFont="1" applyBorder="1"/>
    <xf numFmtId="0" fontId="115" fillId="0" borderId="16" xfId="0" applyFont="1" applyBorder="1"/>
    <xf numFmtId="0" fontId="114" fillId="0" borderId="26" xfId="0" applyFont="1" applyBorder="1" applyAlignment="1">
      <alignment vertical="center"/>
    </xf>
    <xf numFmtId="0" fontId="116" fillId="0" borderId="74" xfId="0" applyFont="1" applyBorder="1" applyAlignment="1">
      <alignment horizontal="center" vertical="center"/>
    </xf>
    <xf numFmtId="0" fontId="116" fillId="0" borderId="75" xfId="0" applyFont="1" applyBorder="1" applyAlignment="1">
      <alignment horizontal="center"/>
    </xf>
    <xf numFmtId="0" fontId="116" fillId="0" borderId="76" xfId="0" applyFont="1" applyBorder="1" applyAlignment="1">
      <alignment horizontal="center"/>
    </xf>
    <xf numFmtId="0" fontId="115" fillId="0" borderId="77" xfId="0" applyFont="1" applyBorder="1" applyAlignment="1">
      <alignment vertical="center"/>
    </xf>
    <xf numFmtId="0" fontId="114" fillId="0" borderId="78" xfId="0" applyFont="1" applyBorder="1" applyAlignment="1">
      <alignment vertical="center" wrapText="1"/>
    </xf>
    <xf numFmtId="0" fontId="115" fillId="0" borderId="56" xfId="0" applyFont="1" applyBorder="1" applyAlignment="1">
      <alignment vertical="center"/>
    </xf>
    <xf numFmtId="0" fontId="114" fillId="0" borderId="57" xfId="0" applyFont="1" applyBorder="1" applyAlignment="1">
      <alignment vertical="center"/>
    </xf>
    <xf numFmtId="0" fontId="114" fillId="0" borderId="57" xfId="0" applyFont="1" applyBorder="1" applyAlignment="1">
      <alignment vertical="center" wrapText="1"/>
    </xf>
    <xf numFmtId="0" fontId="114" fillId="0" borderId="57" xfId="0" applyFont="1" applyBorder="1" applyAlignment="1">
      <alignment wrapText="1"/>
    </xf>
    <xf numFmtId="0" fontId="114" fillId="0" borderId="57" xfId="0" applyFont="1" applyBorder="1"/>
    <xf numFmtId="0" fontId="115" fillId="0" borderId="60" xfId="0" applyFont="1" applyBorder="1" applyAlignment="1">
      <alignment vertical="center"/>
    </xf>
    <xf numFmtId="0" fontId="114" fillId="0" borderId="58" xfId="0" applyFont="1" applyBorder="1" applyAlignment="1">
      <alignment wrapText="1"/>
    </xf>
    <xf numFmtId="0" fontId="114" fillId="0" borderId="61" xfId="0" applyFont="1" applyBorder="1" applyAlignment="1">
      <alignment wrapText="1"/>
    </xf>
    <xf numFmtId="9" fontId="0" fillId="0" borderId="45" xfId="0" applyNumberFormat="1" applyBorder="1"/>
    <xf numFmtId="0" fontId="117" fillId="0" borderId="0" xfId="0" applyFont="1"/>
    <xf numFmtId="43" fontId="0" fillId="0" borderId="0" xfId="376" applyFont="1" applyFill="1" applyBorder="1"/>
    <xf numFmtId="0" fontId="121" fillId="0" borderId="0" xfId="0" applyFont="1"/>
    <xf numFmtId="178" fontId="0" fillId="0" borderId="0" xfId="0" applyNumberFormat="1"/>
    <xf numFmtId="0" fontId="0" fillId="0" borderId="0" xfId="0" applyAlignment="1">
      <alignment wrapText="1"/>
    </xf>
    <xf numFmtId="178" fontId="0" fillId="0" borderId="47" xfId="0" applyNumberFormat="1" applyBorder="1"/>
    <xf numFmtId="43" fontId="109" fillId="68" borderId="0" xfId="0" applyNumberFormat="1" applyFont="1" applyFill="1" applyAlignment="1">
      <alignment horizontal="center" vertical="center" wrapText="1"/>
    </xf>
    <xf numFmtId="0" fontId="0" fillId="0" borderId="47" xfId="0" applyBorder="1"/>
    <xf numFmtId="43" fontId="0" fillId="0" borderId="0" xfId="0" applyNumberFormat="1"/>
    <xf numFmtId="179" fontId="0" fillId="0" borderId="0" xfId="0" applyNumberFormat="1"/>
    <xf numFmtId="43" fontId="3" fillId="70" borderId="24" xfId="376" applyFont="1" applyFill="1" applyBorder="1" applyAlignment="1">
      <alignment horizontal="center" vertical="center" wrapText="1"/>
    </xf>
    <xf numFmtId="39" fontId="0" fillId="67" borderId="0" xfId="376" applyNumberFormat="1" applyFont="1" applyFill="1" applyBorder="1"/>
    <xf numFmtId="39" fontId="0" fillId="70" borderId="0" xfId="376" applyNumberFormat="1" applyFont="1" applyFill="1" applyBorder="1"/>
    <xf numFmtId="0" fontId="100" fillId="0" borderId="16" xfId="0" applyFont="1" applyBorder="1" applyAlignment="1">
      <alignment vertical="center" wrapText="1"/>
    </xf>
    <xf numFmtId="0" fontId="2" fillId="0" borderId="16" xfId="0" applyFont="1" applyBorder="1" applyAlignment="1">
      <alignment vertical="center"/>
    </xf>
    <xf numFmtId="0" fontId="3" fillId="0" borderId="16" xfId="0" applyFont="1" applyBorder="1" applyAlignment="1">
      <alignment horizontal="center" vertical="center" wrapText="1"/>
    </xf>
    <xf numFmtId="0" fontId="0" fillId="0" borderId="16" xfId="0" applyBorder="1" applyAlignment="1">
      <alignment horizontal="right" vertical="center"/>
    </xf>
    <xf numFmtId="49" fontId="0" fillId="0" borderId="16" xfId="0" applyNumberFormat="1" applyBorder="1" applyAlignment="1">
      <alignment horizontal="right" vertical="center"/>
    </xf>
    <xf numFmtId="0" fontId="2" fillId="69" borderId="16" xfId="0" applyFont="1" applyFill="1" applyBorder="1" applyAlignment="1">
      <alignment horizontal="right" vertical="center"/>
    </xf>
    <xf numFmtId="0" fontId="3" fillId="0" borderId="45" xfId="0" applyFont="1" applyBorder="1" applyAlignment="1">
      <alignment horizontal="center" vertical="center" wrapText="1"/>
    </xf>
    <xf numFmtId="167" fontId="0" fillId="0" borderId="0" xfId="0" applyNumberFormat="1" applyAlignment="1">
      <alignment vertical="center" wrapText="1"/>
    </xf>
    <xf numFmtId="43" fontId="0" fillId="67" borderId="45" xfId="376" applyFont="1" applyFill="1" applyBorder="1"/>
    <xf numFmtId="180" fontId="0" fillId="0" borderId="0" xfId="0" applyNumberFormat="1"/>
    <xf numFmtId="0" fontId="3" fillId="0" borderId="0" xfId="0" applyFont="1" applyAlignment="1">
      <alignment horizontal="center"/>
    </xf>
    <xf numFmtId="0" fontId="0" fillId="0" borderId="45" xfId="0" applyBorder="1"/>
    <xf numFmtId="167" fontId="0" fillId="0" borderId="47" xfId="1" applyNumberFormat="1" applyFont="1" applyBorder="1"/>
    <xf numFmtId="0" fontId="3" fillId="0" borderId="39" xfId="0" applyFont="1" applyBorder="1" applyAlignment="1">
      <alignment horizontal="center" vertical="center" wrapText="1"/>
    </xf>
    <xf numFmtId="43" fontId="0" fillId="0" borderId="0" xfId="376" applyFont="1"/>
    <xf numFmtId="9" fontId="0" fillId="0" borderId="45" xfId="1" applyFont="1" applyBorder="1" applyAlignment="1">
      <alignment vertical="center" wrapText="1"/>
    </xf>
    <xf numFmtId="9" fontId="0" fillId="0" borderId="47" xfId="1" applyFont="1" applyBorder="1" applyAlignment="1">
      <alignment vertical="center" wrapText="1"/>
    </xf>
    <xf numFmtId="9" fontId="0" fillId="0" borderId="45" xfId="1" applyFont="1" applyFill="1" applyBorder="1"/>
    <xf numFmtId="9" fontId="0" fillId="0" borderId="47" xfId="1" applyFont="1" applyFill="1" applyBorder="1"/>
    <xf numFmtId="0" fontId="3" fillId="0" borderId="43" xfId="0" applyFont="1" applyBorder="1" applyAlignment="1">
      <alignment horizontal="center" vertical="center" wrapText="1"/>
    </xf>
    <xf numFmtId="43" fontId="122" fillId="0" borderId="0" xfId="376" applyFont="1" applyFill="1" applyBorder="1"/>
    <xf numFmtId="0" fontId="125" fillId="0" borderId="81" xfId="0" applyFont="1" applyBorder="1" applyAlignment="1">
      <alignment horizontal="center" vertical="center" wrapText="1"/>
    </xf>
    <xf numFmtId="0" fontId="123" fillId="0" borderId="50" xfId="0" applyFont="1" applyBorder="1" applyAlignment="1">
      <alignment vertical="center" wrapText="1"/>
    </xf>
    <xf numFmtId="0" fontId="0" fillId="0" borderId="50" xfId="0" applyBorder="1" applyAlignment="1">
      <alignment vertical="center" wrapText="1"/>
    </xf>
    <xf numFmtId="0" fontId="0" fillId="0" borderId="84" xfId="0" applyBorder="1" applyAlignment="1">
      <alignment vertical="center" wrapText="1"/>
    </xf>
    <xf numFmtId="0" fontId="123" fillId="0" borderId="84" xfId="0" applyFont="1" applyBorder="1" applyAlignment="1">
      <alignment vertical="center" wrapText="1"/>
    </xf>
    <xf numFmtId="0" fontId="123" fillId="0" borderId="81" xfId="0" applyFont="1" applyBorder="1" applyAlignment="1">
      <alignment vertical="center" wrapText="1"/>
    </xf>
    <xf numFmtId="0" fontId="123" fillId="0" borderId="82" xfId="0" applyFont="1" applyBorder="1" applyAlignment="1">
      <alignment vertical="center" wrapText="1"/>
    </xf>
    <xf numFmtId="0" fontId="125" fillId="0" borderId="82" xfId="0" applyFont="1" applyBorder="1" applyAlignment="1">
      <alignment horizontal="center" vertical="center" wrapText="1"/>
    </xf>
    <xf numFmtId="0" fontId="123" fillId="0" borderId="79" xfId="0" applyFont="1" applyBorder="1" applyAlignment="1">
      <alignment vertical="center" wrapText="1"/>
    </xf>
    <xf numFmtId="1" fontId="124" fillId="0" borderId="50" xfId="0" applyNumberFormat="1" applyFont="1" applyBorder="1" applyAlignment="1">
      <alignment vertical="center" wrapText="1"/>
    </xf>
    <xf numFmtId="9" fontId="0" fillId="0" borderId="0" xfId="1" applyFont="1" applyAlignment="1">
      <alignment vertical="center" wrapText="1"/>
    </xf>
    <xf numFmtId="175" fontId="114" fillId="71" borderId="0" xfId="376" applyNumberFormat="1" applyFont="1" applyFill="1" applyBorder="1" applyAlignment="1">
      <alignment horizontal="center" vertical="center"/>
    </xf>
    <xf numFmtId="0" fontId="117" fillId="71" borderId="25" xfId="0" applyFont="1" applyFill="1" applyBorder="1" applyAlignment="1">
      <alignment horizontal="center" vertical="center"/>
    </xf>
    <xf numFmtId="175" fontId="113" fillId="71" borderId="0" xfId="376" applyNumberFormat="1" applyFont="1" applyFill="1" applyBorder="1" applyAlignment="1">
      <alignment horizontal="center" vertical="center"/>
    </xf>
    <xf numFmtId="167" fontId="114" fillId="71" borderId="38" xfId="1" applyNumberFormat="1" applyFont="1" applyFill="1" applyBorder="1" applyAlignment="1">
      <alignment horizontal="center" vertical="center"/>
    </xf>
    <xf numFmtId="0" fontId="115" fillId="71" borderId="24" xfId="0" applyFont="1" applyFill="1" applyBorder="1" applyAlignment="1">
      <alignment horizontal="center" vertical="center"/>
    </xf>
    <xf numFmtId="0" fontId="113" fillId="71" borderId="42" xfId="0" applyFont="1" applyFill="1" applyBorder="1" applyAlignment="1">
      <alignment horizontal="center" vertical="center" wrapText="1"/>
    </xf>
    <xf numFmtId="0" fontId="113" fillId="71" borderId="38" xfId="0" applyFont="1" applyFill="1" applyBorder="1" applyAlignment="1">
      <alignment horizontal="center" vertical="center" wrapText="1"/>
    </xf>
    <xf numFmtId="0" fontId="115" fillId="71" borderId="0" xfId="0" applyFont="1" applyFill="1"/>
    <xf numFmtId="10" fontId="114" fillId="71" borderId="0" xfId="0" applyNumberFormat="1" applyFont="1" applyFill="1" applyAlignment="1">
      <alignment horizontal="center" vertical="center" wrapText="1"/>
    </xf>
    <xf numFmtId="10" fontId="114" fillId="71" borderId="39" xfId="0" applyNumberFormat="1" applyFont="1" applyFill="1" applyBorder="1" applyAlignment="1">
      <alignment horizontal="center" vertical="center" wrapText="1"/>
    </xf>
    <xf numFmtId="10" fontId="114" fillId="71" borderId="43" xfId="0" applyNumberFormat="1" applyFont="1" applyFill="1" applyBorder="1" applyAlignment="1">
      <alignment horizontal="center" vertical="center" wrapText="1"/>
    </xf>
    <xf numFmtId="0" fontId="113" fillId="71" borderId="40" xfId="0" applyFont="1" applyFill="1" applyBorder="1" applyAlignment="1">
      <alignment horizontal="center" vertical="center" wrapText="1"/>
    </xf>
    <xf numFmtId="0" fontId="113" fillId="71" borderId="41" xfId="0" applyFont="1" applyFill="1" applyBorder="1" applyAlignment="1">
      <alignment horizontal="center" vertical="center" wrapText="1"/>
    </xf>
    <xf numFmtId="2" fontId="115" fillId="71" borderId="43" xfId="0" applyNumberFormat="1" applyFont="1" applyFill="1" applyBorder="1" applyAlignment="1">
      <alignment horizontal="center" vertical="center"/>
    </xf>
    <xf numFmtId="10" fontId="115" fillId="71" borderId="0" xfId="1" applyNumberFormat="1" applyFont="1" applyFill="1" applyAlignment="1">
      <alignment horizontal="center" vertical="center"/>
    </xf>
    <xf numFmtId="10" fontId="115" fillId="71" borderId="39" xfId="1" applyNumberFormat="1" applyFont="1" applyFill="1" applyBorder="1" applyAlignment="1">
      <alignment horizontal="center" vertical="center"/>
    </xf>
    <xf numFmtId="10" fontId="115" fillId="71" borderId="43" xfId="1" applyNumberFormat="1" applyFont="1" applyFill="1" applyBorder="1" applyAlignment="1">
      <alignment horizontal="center" vertical="center"/>
    </xf>
    <xf numFmtId="10" fontId="115" fillId="71" borderId="0" xfId="1" applyNumberFormat="1" applyFont="1" applyFill="1" applyBorder="1" applyAlignment="1">
      <alignment horizontal="center" vertical="center"/>
    </xf>
    <xf numFmtId="9" fontId="112" fillId="71" borderId="43" xfId="1" applyFont="1" applyFill="1" applyBorder="1" applyAlignment="1">
      <alignment horizontal="right" vertical="center"/>
    </xf>
    <xf numFmtId="9" fontId="112" fillId="71" borderId="0" xfId="1" applyFont="1" applyFill="1" applyBorder="1" applyAlignment="1">
      <alignment horizontal="right" vertical="center"/>
    </xf>
    <xf numFmtId="10" fontId="112" fillId="71" borderId="42" xfId="1" applyNumberFormat="1" applyFont="1" applyFill="1" applyBorder="1" applyAlignment="1">
      <alignment horizontal="center" vertical="center"/>
    </xf>
    <xf numFmtId="10" fontId="112" fillId="71" borderId="38" xfId="1" applyNumberFormat="1" applyFont="1" applyFill="1" applyBorder="1" applyAlignment="1">
      <alignment horizontal="center" vertical="center"/>
    </xf>
    <xf numFmtId="167" fontId="112" fillId="71" borderId="43" xfId="1" applyNumberFormat="1" applyFont="1" applyFill="1" applyBorder="1" applyAlignment="1">
      <alignment horizontal="center" vertical="center"/>
    </xf>
    <xf numFmtId="9" fontId="112" fillId="71" borderId="39" xfId="1" applyFont="1" applyFill="1" applyBorder="1" applyAlignment="1">
      <alignment horizontal="center" vertical="center"/>
    </xf>
    <xf numFmtId="2" fontId="126" fillId="71" borderId="43" xfId="0" applyNumberFormat="1" applyFont="1" applyFill="1" applyBorder="1" applyAlignment="1">
      <alignment horizontal="center" vertical="center"/>
    </xf>
    <xf numFmtId="10" fontId="126" fillId="71" borderId="0" xfId="1" applyNumberFormat="1" applyFont="1" applyFill="1" applyAlignment="1">
      <alignment horizontal="center" vertical="center"/>
    </xf>
    <xf numFmtId="0" fontId="112" fillId="71" borderId="43" xfId="0" applyFont="1" applyFill="1" applyBorder="1" applyAlignment="1">
      <alignment horizontal="center" vertical="center"/>
    </xf>
    <xf numFmtId="0" fontId="112" fillId="71" borderId="39" xfId="0" applyFont="1" applyFill="1" applyBorder="1" applyAlignment="1">
      <alignment horizontal="center" vertical="center"/>
    </xf>
    <xf numFmtId="9" fontId="112" fillId="71" borderId="43" xfId="1" applyFont="1" applyFill="1" applyBorder="1" applyAlignment="1">
      <alignment horizontal="center" vertical="center"/>
    </xf>
    <xf numFmtId="167" fontId="128" fillId="71" borderId="39" xfId="1" applyNumberFormat="1" applyFont="1" applyFill="1" applyBorder="1" applyAlignment="1">
      <alignment horizontal="center" vertical="center"/>
    </xf>
    <xf numFmtId="167" fontId="112" fillId="71" borderId="39" xfId="1" applyNumberFormat="1" applyFont="1" applyFill="1" applyBorder="1" applyAlignment="1">
      <alignment horizontal="center" vertical="center"/>
    </xf>
    <xf numFmtId="10" fontId="112" fillId="71" borderId="43" xfId="1" applyNumberFormat="1" applyFont="1" applyFill="1" applyBorder="1" applyAlignment="1">
      <alignment horizontal="center" vertical="center"/>
    </xf>
    <xf numFmtId="2" fontId="115" fillId="71" borderId="40" xfId="0" applyNumberFormat="1" applyFont="1" applyFill="1" applyBorder="1" applyAlignment="1">
      <alignment horizontal="center" vertical="center"/>
    </xf>
    <xf numFmtId="10" fontId="115" fillId="71" borderId="47" xfId="1" applyNumberFormat="1" applyFont="1" applyFill="1" applyBorder="1" applyAlignment="1">
      <alignment horizontal="center" vertical="center"/>
    </xf>
    <xf numFmtId="10" fontId="115" fillId="71" borderId="41" xfId="1" applyNumberFormat="1" applyFont="1" applyFill="1" applyBorder="1" applyAlignment="1">
      <alignment horizontal="center" vertical="center"/>
    </xf>
    <xf numFmtId="10" fontId="115" fillId="71" borderId="40" xfId="1" applyNumberFormat="1" applyFont="1" applyFill="1" applyBorder="1" applyAlignment="1">
      <alignment horizontal="center" vertical="center"/>
    </xf>
    <xf numFmtId="9" fontId="112" fillId="71" borderId="40" xfId="1" applyFont="1" applyFill="1" applyBorder="1" applyAlignment="1">
      <alignment horizontal="center" vertical="center"/>
    </xf>
    <xf numFmtId="9" fontId="112" fillId="71" borderId="41" xfId="1" applyFont="1" applyFill="1" applyBorder="1" applyAlignment="1">
      <alignment horizontal="center" vertical="center"/>
    </xf>
    <xf numFmtId="0" fontId="115" fillId="71" borderId="0" xfId="0" applyFont="1" applyFill="1" applyAlignment="1">
      <alignment horizontal="center" vertical="center"/>
    </xf>
    <xf numFmtId="0" fontId="115" fillId="71" borderId="45" xfId="0" applyFont="1" applyFill="1" applyBorder="1" applyAlignment="1">
      <alignment horizontal="center" vertical="center"/>
    </xf>
    <xf numFmtId="9" fontId="112" fillId="71" borderId="45" xfId="1" applyFont="1" applyFill="1" applyBorder="1" applyAlignment="1">
      <alignment horizontal="right" vertical="center"/>
    </xf>
    <xf numFmtId="0" fontId="113" fillId="71" borderId="45" xfId="0" applyFont="1" applyFill="1" applyBorder="1" applyAlignment="1">
      <alignment horizontal="center" vertical="center" wrapText="1"/>
    </xf>
    <xf numFmtId="0" fontId="113" fillId="71" borderId="0" xfId="0" applyFont="1" applyFill="1" applyAlignment="1">
      <alignment horizontal="center" vertical="center" wrapText="1"/>
    </xf>
    <xf numFmtId="1" fontId="115" fillId="71" borderId="0" xfId="0" applyNumberFormat="1" applyFont="1" applyFill="1" applyAlignment="1">
      <alignment horizontal="center" vertical="center"/>
    </xf>
    <xf numFmtId="0" fontId="113" fillId="71" borderId="47" xfId="0" applyFont="1" applyFill="1" applyBorder="1" applyAlignment="1">
      <alignment horizontal="center" vertical="center" wrapText="1"/>
    </xf>
    <xf numFmtId="175" fontId="115" fillId="71" borderId="0" xfId="376" applyNumberFormat="1" applyFont="1" applyFill="1" applyBorder="1" applyAlignment="1">
      <alignment horizontal="center" vertical="center"/>
    </xf>
    <xf numFmtId="175" fontId="113" fillId="71" borderId="47" xfId="0" applyNumberFormat="1" applyFont="1" applyFill="1" applyBorder="1" applyAlignment="1">
      <alignment horizontal="center" vertical="center" wrapText="1"/>
    </xf>
    <xf numFmtId="0" fontId="114" fillId="71" borderId="0" xfId="0" applyFont="1" applyFill="1" applyAlignment="1">
      <alignment horizontal="center" vertical="center" wrapText="1"/>
    </xf>
    <xf numFmtId="0" fontId="113" fillId="71" borderId="45" xfId="0" applyFont="1" applyFill="1" applyBorder="1" applyAlignment="1">
      <alignment horizontal="center" vertical="center"/>
    </xf>
    <xf numFmtId="0" fontId="113" fillId="71" borderId="28" xfId="0" applyFont="1" applyFill="1" applyBorder="1" applyAlignment="1">
      <alignment horizontal="center" vertical="center" wrapText="1"/>
    </xf>
    <xf numFmtId="0" fontId="114" fillId="71" borderId="0" xfId="0" applyFont="1" applyFill="1" applyAlignment="1">
      <alignment horizontal="center" vertical="center"/>
    </xf>
    <xf numFmtId="175" fontId="115" fillId="71" borderId="45" xfId="376" applyNumberFormat="1" applyFont="1" applyFill="1" applyBorder="1" applyAlignment="1">
      <alignment horizontal="center" vertical="center"/>
    </xf>
    <xf numFmtId="0" fontId="117" fillId="71" borderId="44" xfId="0" applyFont="1" applyFill="1" applyBorder="1" applyAlignment="1">
      <alignment horizontal="center" vertical="center"/>
    </xf>
    <xf numFmtId="175" fontId="113" fillId="71" borderId="45" xfId="376" applyNumberFormat="1" applyFont="1" applyFill="1" applyBorder="1" applyAlignment="1">
      <alignment horizontal="center" vertical="center"/>
    </xf>
    <xf numFmtId="43" fontId="114" fillId="71" borderId="45" xfId="376" applyFont="1" applyFill="1" applyBorder="1" applyAlignment="1">
      <alignment horizontal="center" vertical="center"/>
    </xf>
    <xf numFmtId="175" fontId="114" fillId="71" borderId="45" xfId="376" applyNumberFormat="1" applyFont="1" applyFill="1" applyBorder="1" applyAlignment="1">
      <alignment horizontal="center" vertical="center"/>
    </xf>
    <xf numFmtId="175" fontId="114" fillId="71" borderId="42" xfId="376" applyNumberFormat="1" applyFont="1" applyFill="1" applyBorder="1" applyAlignment="1">
      <alignment horizontal="center" vertical="center"/>
    </xf>
    <xf numFmtId="175" fontId="127" fillId="71" borderId="0" xfId="376" applyNumberFormat="1" applyFont="1" applyFill="1" applyBorder="1" applyAlignment="1">
      <alignment horizontal="center" vertical="center" wrapText="1"/>
    </xf>
    <xf numFmtId="175" fontId="114" fillId="71" borderId="43" xfId="376" applyNumberFormat="1" applyFont="1" applyFill="1" applyBorder="1" applyAlignment="1">
      <alignment horizontal="center" vertical="center"/>
    </xf>
    <xf numFmtId="43" fontId="114" fillId="71" borderId="0" xfId="376" applyFont="1" applyFill="1" applyBorder="1" applyAlignment="1">
      <alignment horizontal="center" vertical="center"/>
    </xf>
    <xf numFmtId="175" fontId="115" fillId="71" borderId="0" xfId="376" applyNumberFormat="1" applyFont="1" applyFill="1" applyBorder="1" applyAlignment="1">
      <alignment horizontal="center" vertical="center" wrapText="1"/>
    </xf>
    <xf numFmtId="43" fontId="115" fillId="71" borderId="0" xfId="376" applyFont="1" applyFill="1" applyBorder="1" applyAlignment="1">
      <alignment horizontal="center" vertical="center" wrapText="1"/>
    </xf>
    <xf numFmtId="175" fontId="115" fillId="71" borderId="43" xfId="0" applyNumberFormat="1" applyFont="1" applyFill="1" applyBorder="1" applyAlignment="1">
      <alignment horizontal="center" vertical="center"/>
    </xf>
    <xf numFmtId="175" fontId="113" fillId="71" borderId="43" xfId="376" applyNumberFormat="1" applyFont="1" applyFill="1" applyBorder="1" applyAlignment="1">
      <alignment horizontal="center" vertical="center"/>
    </xf>
    <xf numFmtId="0" fontId="115" fillId="71" borderId="47" xfId="0" applyFont="1" applyFill="1" applyBorder="1" applyAlignment="1">
      <alignment horizontal="center" vertical="center"/>
    </xf>
    <xf numFmtId="175" fontId="115" fillId="71" borderId="47" xfId="376" applyNumberFormat="1" applyFont="1" applyFill="1" applyBorder="1" applyAlignment="1">
      <alignment horizontal="center" vertical="center"/>
    </xf>
    <xf numFmtId="0" fontId="117" fillId="71" borderId="26" xfId="0" applyFont="1" applyFill="1" applyBorder="1" applyAlignment="1">
      <alignment horizontal="center" vertical="center" wrapText="1"/>
    </xf>
    <xf numFmtId="175" fontId="113" fillId="71" borderId="47" xfId="376" applyNumberFormat="1" applyFont="1" applyFill="1" applyBorder="1" applyAlignment="1">
      <alignment horizontal="center" vertical="center"/>
    </xf>
    <xf numFmtId="43" fontId="114" fillId="71" borderId="47" xfId="376" applyFont="1" applyFill="1" applyBorder="1" applyAlignment="1">
      <alignment horizontal="center" vertical="center"/>
    </xf>
    <xf numFmtId="175" fontId="114" fillId="71" borderId="47" xfId="376" applyNumberFormat="1" applyFont="1" applyFill="1" applyBorder="1" applyAlignment="1">
      <alignment horizontal="center" vertical="center"/>
    </xf>
    <xf numFmtId="175" fontId="114" fillId="71" borderId="40" xfId="376" applyNumberFormat="1" applyFont="1" applyFill="1" applyBorder="1" applyAlignment="1">
      <alignment horizontal="center" vertical="center"/>
    </xf>
    <xf numFmtId="0" fontId="114" fillId="71" borderId="45" xfId="0" applyFont="1" applyFill="1" applyBorder="1" applyAlignment="1">
      <alignment horizontal="center" vertical="center"/>
    </xf>
    <xf numFmtId="0" fontId="114" fillId="71" borderId="47" xfId="0" applyFont="1" applyFill="1" applyBorder="1" applyAlignment="1">
      <alignment horizontal="center" vertical="center" wrapText="1"/>
    </xf>
    <xf numFmtId="167" fontId="114" fillId="71" borderId="45" xfId="1" applyNumberFormat="1" applyFont="1" applyFill="1" applyBorder="1" applyAlignment="1">
      <alignment horizontal="center" vertical="center"/>
    </xf>
    <xf numFmtId="167" fontId="114" fillId="71" borderId="42" xfId="1" applyNumberFormat="1" applyFont="1" applyFill="1" applyBorder="1" applyAlignment="1">
      <alignment horizontal="center" vertical="center"/>
    </xf>
    <xf numFmtId="167" fontId="114" fillId="71" borderId="39" xfId="1" applyNumberFormat="1" applyFont="1" applyFill="1" applyBorder="1" applyAlignment="1">
      <alignment horizontal="center" vertical="center"/>
    </xf>
    <xf numFmtId="167" fontId="114" fillId="71" borderId="0" xfId="1" applyNumberFormat="1" applyFont="1" applyFill="1" applyBorder="1" applyAlignment="1">
      <alignment horizontal="center" vertical="center"/>
    </xf>
    <xf numFmtId="167" fontId="114" fillId="71" borderId="43" xfId="1" applyNumberFormat="1" applyFont="1" applyFill="1" applyBorder="1" applyAlignment="1">
      <alignment horizontal="center" vertical="center"/>
    </xf>
    <xf numFmtId="167" fontId="114" fillId="71" borderId="41" xfId="1" applyNumberFormat="1" applyFont="1" applyFill="1" applyBorder="1" applyAlignment="1">
      <alignment horizontal="center" vertical="center"/>
    </xf>
    <xf numFmtId="167" fontId="114" fillId="71" borderId="47" xfId="1" applyNumberFormat="1" applyFont="1" applyFill="1" applyBorder="1" applyAlignment="1">
      <alignment horizontal="center" vertical="center"/>
    </xf>
    <xf numFmtId="167" fontId="114" fillId="71" borderId="40" xfId="1" applyNumberFormat="1" applyFont="1" applyFill="1" applyBorder="1" applyAlignment="1">
      <alignment horizontal="center" vertical="center"/>
    </xf>
    <xf numFmtId="175" fontId="115" fillId="71" borderId="44" xfId="376" applyNumberFormat="1" applyFont="1" applyFill="1" applyBorder="1" applyAlignment="1">
      <alignment horizontal="center" vertical="center"/>
    </xf>
    <xf numFmtId="0" fontId="117" fillId="71" borderId="45" xfId="0" applyFont="1" applyFill="1" applyBorder="1" applyAlignment="1">
      <alignment horizontal="center" vertical="center"/>
    </xf>
    <xf numFmtId="167" fontId="115" fillId="71" borderId="45" xfId="1" applyNumberFormat="1" applyFont="1" applyFill="1" applyBorder="1" applyAlignment="1">
      <alignment horizontal="center" vertical="center"/>
    </xf>
    <xf numFmtId="167" fontId="115" fillId="71" borderId="45" xfId="0" applyNumberFormat="1" applyFont="1" applyFill="1" applyBorder="1" applyAlignment="1">
      <alignment horizontal="center" vertical="center"/>
    </xf>
    <xf numFmtId="167" fontId="113" fillId="71" borderId="45" xfId="0" applyNumberFormat="1" applyFont="1" applyFill="1" applyBorder="1" applyAlignment="1">
      <alignment horizontal="center" vertical="center" wrapText="1"/>
    </xf>
    <xf numFmtId="167" fontId="115" fillId="71" borderId="0" xfId="1" applyNumberFormat="1" applyFont="1" applyFill="1" applyAlignment="1">
      <alignment horizontal="center" vertical="center"/>
    </xf>
    <xf numFmtId="167" fontId="115" fillId="71" borderId="0" xfId="1" applyNumberFormat="1" applyFont="1" applyFill="1" applyBorder="1" applyAlignment="1">
      <alignment horizontal="center" vertical="center"/>
    </xf>
    <xf numFmtId="167" fontId="115" fillId="71" borderId="39" xfId="1" applyNumberFormat="1" applyFont="1" applyFill="1" applyBorder="1" applyAlignment="1">
      <alignment horizontal="center" vertical="center"/>
    </xf>
    <xf numFmtId="175" fontId="115" fillId="71" borderId="25" xfId="376" applyNumberFormat="1" applyFont="1" applyFill="1" applyBorder="1" applyAlignment="1">
      <alignment horizontal="center" vertical="center"/>
    </xf>
    <xf numFmtId="0" fontId="117" fillId="71" borderId="0" xfId="0" applyFont="1" applyFill="1" applyAlignment="1">
      <alignment horizontal="center" vertical="center"/>
    </xf>
    <xf numFmtId="167" fontId="115" fillId="71" borderId="0" xfId="0" applyNumberFormat="1" applyFont="1" applyFill="1" applyAlignment="1">
      <alignment horizontal="center" vertical="center"/>
    </xf>
    <xf numFmtId="167" fontId="113" fillId="71" borderId="0" xfId="0" applyNumberFormat="1" applyFont="1" applyFill="1" applyAlignment="1">
      <alignment horizontal="center" vertical="center" wrapText="1"/>
    </xf>
    <xf numFmtId="0" fontId="115" fillId="71" borderId="41" xfId="0" applyFont="1" applyFill="1" applyBorder="1" applyAlignment="1">
      <alignment horizontal="center" vertical="center"/>
    </xf>
    <xf numFmtId="175" fontId="115" fillId="71" borderId="26" xfId="376" applyNumberFormat="1" applyFont="1" applyFill="1" applyBorder="1" applyAlignment="1">
      <alignment horizontal="center" vertical="center"/>
    </xf>
    <xf numFmtId="0" fontId="117" fillId="71" borderId="47" xfId="0" applyFont="1" applyFill="1" applyBorder="1" applyAlignment="1">
      <alignment horizontal="center" vertical="center" wrapText="1"/>
    </xf>
    <xf numFmtId="167" fontId="115" fillId="71" borderId="47" xfId="1" applyNumberFormat="1" applyFont="1" applyFill="1" applyBorder="1" applyAlignment="1">
      <alignment horizontal="center" vertical="center"/>
    </xf>
    <xf numFmtId="167" fontId="115" fillId="71" borderId="47" xfId="0" applyNumberFormat="1" applyFont="1" applyFill="1" applyBorder="1" applyAlignment="1">
      <alignment horizontal="center" vertical="center"/>
    </xf>
    <xf numFmtId="167" fontId="113" fillId="71" borderId="47" xfId="0" applyNumberFormat="1" applyFont="1" applyFill="1" applyBorder="1" applyAlignment="1">
      <alignment horizontal="center" vertical="center" wrapText="1"/>
    </xf>
    <xf numFmtId="0" fontId="117" fillId="71" borderId="24" xfId="0" applyFont="1" applyFill="1" applyBorder="1" applyAlignment="1">
      <alignment horizontal="center" vertical="center"/>
    </xf>
    <xf numFmtId="175" fontId="114" fillId="71" borderId="16" xfId="376" applyNumberFormat="1" applyFont="1" applyFill="1" applyBorder="1" applyAlignment="1">
      <alignment horizontal="center" vertical="center"/>
    </xf>
    <xf numFmtId="167" fontId="115" fillId="71" borderId="24" xfId="0" applyNumberFormat="1" applyFont="1" applyFill="1" applyBorder="1" applyAlignment="1">
      <alignment horizontal="center" vertical="center"/>
    </xf>
    <xf numFmtId="167" fontId="115" fillId="71" borderId="28" xfId="0" applyNumberFormat="1" applyFont="1" applyFill="1" applyBorder="1" applyAlignment="1">
      <alignment horizontal="center" vertical="center"/>
    </xf>
    <xf numFmtId="0" fontId="114" fillId="71" borderId="24" xfId="0" applyFont="1" applyFill="1" applyBorder="1" applyAlignment="1">
      <alignment horizontal="center" vertical="center" wrapText="1"/>
    </xf>
    <xf numFmtId="0" fontId="114" fillId="71" borderId="45" xfId="0" applyFont="1" applyFill="1" applyBorder="1" applyAlignment="1">
      <alignment horizontal="center" vertical="center" wrapText="1"/>
    </xf>
    <xf numFmtId="175" fontId="115" fillId="71" borderId="0" xfId="376" applyNumberFormat="1" applyFont="1" applyFill="1" applyAlignment="1">
      <alignment horizontal="center" vertical="center"/>
    </xf>
    <xf numFmtId="0" fontId="117" fillId="71" borderId="16" xfId="0" applyFont="1" applyFill="1" applyBorder="1" applyAlignment="1">
      <alignment horizontal="center" vertical="center"/>
    </xf>
    <xf numFmtId="0" fontId="111" fillId="71" borderId="24" xfId="0" applyFont="1" applyFill="1" applyBorder="1" applyAlignment="1">
      <alignment horizontal="center" vertical="center" wrapText="1"/>
    </xf>
    <xf numFmtId="0" fontId="111" fillId="71" borderId="45" xfId="0" applyFont="1" applyFill="1" applyBorder="1" applyAlignment="1">
      <alignment horizontal="center" vertical="center" wrapText="1"/>
    </xf>
    <xf numFmtId="0" fontId="111" fillId="71" borderId="28" xfId="0" applyFont="1" applyFill="1" applyBorder="1" applyAlignment="1">
      <alignment horizontal="center" vertical="center" wrapText="1"/>
    </xf>
    <xf numFmtId="0" fontId="111" fillId="71" borderId="29" xfId="0" applyFont="1" applyFill="1" applyBorder="1" applyAlignment="1">
      <alignment horizontal="center" vertical="center" wrapText="1"/>
    </xf>
    <xf numFmtId="9" fontId="115" fillId="71" borderId="45" xfId="1" applyFont="1" applyFill="1" applyBorder="1" applyAlignment="1">
      <alignment horizontal="center" vertical="center"/>
    </xf>
    <xf numFmtId="167" fontId="115" fillId="71" borderId="38" xfId="1" applyNumberFormat="1" applyFont="1" applyFill="1" applyBorder="1" applyAlignment="1">
      <alignment horizontal="center" vertical="center"/>
    </xf>
    <xf numFmtId="9" fontId="115" fillId="71" borderId="0" xfId="1" applyFont="1" applyFill="1" applyBorder="1" applyAlignment="1">
      <alignment horizontal="center" vertical="center"/>
    </xf>
    <xf numFmtId="0" fontId="117" fillId="71" borderId="43" xfId="0" applyFont="1" applyFill="1" applyBorder="1" applyAlignment="1">
      <alignment horizontal="center" vertical="center"/>
    </xf>
    <xf numFmtId="9" fontId="115" fillId="71" borderId="43" xfId="1" applyFont="1" applyFill="1" applyBorder="1" applyAlignment="1">
      <alignment horizontal="center" vertical="center"/>
    </xf>
    <xf numFmtId="9" fontId="115" fillId="71" borderId="47" xfId="1" applyFont="1" applyFill="1" applyBorder="1" applyAlignment="1">
      <alignment horizontal="center" vertical="center"/>
    </xf>
    <xf numFmtId="167" fontId="115" fillId="71" borderId="41" xfId="1" applyNumberFormat="1" applyFont="1" applyFill="1" applyBorder="1" applyAlignment="1">
      <alignment horizontal="center" vertical="center"/>
    </xf>
    <xf numFmtId="9" fontId="115" fillId="71" borderId="24" xfId="1" applyFont="1" applyFill="1" applyBorder="1" applyAlignment="1">
      <alignment horizontal="center" vertical="center"/>
    </xf>
    <xf numFmtId="0" fontId="115" fillId="71" borderId="0" xfId="0" applyFont="1" applyFill="1" applyAlignment="1">
      <alignment horizontal="left" vertical="center" indent="1"/>
    </xf>
    <xf numFmtId="167" fontId="0" fillId="0" borderId="0" xfId="1" applyNumberFormat="1" applyFont="1" applyFill="1" applyBorder="1"/>
    <xf numFmtId="0" fontId="3" fillId="0" borderId="0" xfId="0" applyFont="1" applyAlignment="1">
      <alignment vertical="center" wrapText="1"/>
    </xf>
    <xf numFmtId="0" fontId="105" fillId="71" borderId="0" xfId="0" applyFont="1" applyFill="1" applyAlignment="1">
      <alignment horizontal="left" vertical="center" indent="1"/>
    </xf>
    <xf numFmtId="0" fontId="113" fillId="71" borderId="47" xfId="0" applyFont="1" applyFill="1" applyBorder="1" applyAlignment="1">
      <alignment horizontal="left" vertical="center" indent="1"/>
    </xf>
    <xf numFmtId="0" fontId="117" fillId="71" borderId="0" xfId="0" applyFont="1" applyFill="1" applyAlignment="1">
      <alignment horizontal="left" vertical="center" indent="1"/>
    </xf>
    <xf numFmtId="175" fontId="0" fillId="0" borderId="47" xfId="376" applyNumberFormat="1" applyFont="1" applyBorder="1"/>
    <xf numFmtId="175" fontId="0" fillId="0" borderId="45" xfId="376" applyNumberFormat="1" applyFont="1" applyBorder="1"/>
    <xf numFmtId="167" fontId="0" fillId="0" borderId="38" xfId="1" applyNumberFormat="1" applyFont="1" applyBorder="1"/>
    <xf numFmtId="167" fontId="0" fillId="0" borderId="45" xfId="1" applyNumberFormat="1" applyFont="1" applyBorder="1"/>
    <xf numFmtId="167" fontId="0" fillId="0" borderId="41" xfId="1" applyNumberFormat="1" applyFont="1" applyBorder="1"/>
    <xf numFmtId="167" fontId="0" fillId="0" borderId="42" xfId="1" applyNumberFormat="1" applyFont="1" applyBorder="1"/>
    <xf numFmtId="167" fontId="0" fillId="0" borderId="43" xfId="1" applyNumberFormat="1" applyFont="1" applyBorder="1"/>
    <xf numFmtId="167" fontId="0" fillId="0" borderId="40" xfId="1" applyNumberFormat="1" applyFont="1" applyBorder="1"/>
    <xf numFmtId="0" fontId="101" fillId="0" borderId="0" xfId="0" applyFont="1" applyAlignment="1">
      <alignment horizontal="center" vertical="center" wrapText="1"/>
    </xf>
    <xf numFmtId="9" fontId="0" fillId="0" borderId="42" xfId="1" applyFont="1" applyFill="1" applyBorder="1"/>
    <xf numFmtId="9" fontId="0" fillId="0" borderId="43" xfId="1" applyFont="1" applyFill="1" applyBorder="1"/>
    <xf numFmtId="167" fontId="0" fillId="71" borderId="45" xfId="1" applyNumberFormat="1" applyFont="1" applyFill="1" applyBorder="1"/>
    <xf numFmtId="167" fontId="0" fillId="71" borderId="42" xfId="1" applyNumberFormat="1" applyFont="1" applyFill="1" applyBorder="1"/>
    <xf numFmtId="9" fontId="101" fillId="71" borderId="43" xfId="0" applyNumberFormat="1" applyFont="1" applyFill="1" applyBorder="1" applyAlignment="1">
      <alignment horizontal="center" vertical="center" wrapText="1"/>
    </xf>
    <xf numFmtId="9" fontId="3" fillId="71" borderId="0" xfId="0" applyNumberFormat="1" applyFont="1" applyFill="1" applyAlignment="1">
      <alignment horizontal="center" vertical="center" wrapText="1"/>
    </xf>
    <xf numFmtId="9" fontId="0" fillId="71" borderId="42" xfId="1" applyFont="1" applyFill="1" applyBorder="1"/>
    <xf numFmtId="9" fontId="0" fillId="71" borderId="45" xfId="1" applyFont="1" applyFill="1" applyBorder="1"/>
    <xf numFmtId="9" fontId="0" fillId="71" borderId="0" xfId="1" applyFont="1" applyFill="1" applyBorder="1"/>
    <xf numFmtId="9" fontId="0" fillId="71" borderId="43" xfId="1" applyFont="1" applyFill="1" applyBorder="1"/>
    <xf numFmtId="9" fontId="0" fillId="71" borderId="40" xfId="1" applyFont="1" applyFill="1" applyBorder="1"/>
    <xf numFmtId="9" fontId="0" fillId="71" borderId="47" xfId="1" applyFont="1" applyFill="1" applyBorder="1"/>
    <xf numFmtId="167" fontId="0" fillId="71" borderId="0" xfId="1" applyNumberFormat="1" applyFont="1" applyFill="1" applyBorder="1"/>
    <xf numFmtId="167" fontId="0" fillId="71" borderId="43" xfId="1" applyNumberFormat="1" applyFont="1" applyFill="1" applyBorder="1"/>
    <xf numFmtId="167" fontId="0" fillId="71" borderId="40" xfId="1" applyNumberFormat="1" applyFont="1" applyFill="1" applyBorder="1"/>
    <xf numFmtId="167" fontId="0" fillId="71" borderId="47" xfId="1" applyNumberFormat="1" applyFont="1" applyFill="1" applyBorder="1"/>
    <xf numFmtId="0" fontId="3" fillId="71" borderId="29" xfId="0" applyFont="1" applyFill="1" applyBorder="1" applyAlignment="1">
      <alignment horizontal="center" vertical="center" wrapText="1"/>
    </xf>
    <xf numFmtId="0" fontId="3" fillId="71" borderId="28" xfId="0" applyFont="1" applyFill="1" applyBorder="1" applyAlignment="1">
      <alignment horizontal="center" vertical="center" wrapText="1"/>
    </xf>
    <xf numFmtId="0" fontId="114" fillId="71" borderId="40" xfId="0" applyFont="1" applyFill="1" applyBorder="1" applyAlignment="1">
      <alignment horizontal="center" vertical="center" wrapText="1"/>
    </xf>
    <xf numFmtId="0" fontId="113" fillId="71" borderId="39" xfId="0" applyFont="1" applyFill="1" applyBorder="1" applyAlignment="1">
      <alignment horizontal="center" vertical="center" wrapText="1"/>
    </xf>
    <xf numFmtId="0" fontId="117" fillId="71" borderId="0" xfId="0" applyFont="1" applyFill="1" applyAlignment="1">
      <alignment horizontal="center" vertical="center" wrapText="1"/>
    </xf>
    <xf numFmtId="0" fontId="115" fillId="71" borderId="42" xfId="0" applyFont="1" applyFill="1" applyBorder="1" applyAlignment="1">
      <alignment horizontal="center" vertical="center"/>
    </xf>
    <xf numFmtId="0" fontId="115" fillId="71" borderId="43" xfId="0" applyFont="1" applyFill="1" applyBorder="1" applyAlignment="1">
      <alignment horizontal="center" vertical="center"/>
    </xf>
    <xf numFmtId="0" fontId="115" fillId="71" borderId="40" xfId="0" applyFont="1" applyFill="1" applyBorder="1" applyAlignment="1">
      <alignment horizontal="center" vertical="center"/>
    </xf>
    <xf numFmtId="10" fontId="117" fillId="71" borderId="0" xfId="1" applyNumberFormat="1" applyFont="1" applyFill="1" applyAlignment="1">
      <alignment horizontal="center" vertical="center"/>
    </xf>
    <xf numFmtId="10" fontId="117" fillId="71" borderId="39" xfId="1" applyNumberFormat="1" applyFont="1" applyFill="1" applyBorder="1" applyAlignment="1">
      <alignment horizontal="center" vertical="center"/>
    </xf>
    <xf numFmtId="10" fontId="117" fillId="71" borderId="47" xfId="1" applyNumberFormat="1" applyFont="1" applyFill="1" applyBorder="1" applyAlignment="1">
      <alignment horizontal="center" vertical="center"/>
    </xf>
    <xf numFmtId="10" fontId="117" fillId="71" borderId="41" xfId="1" applyNumberFormat="1" applyFont="1" applyFill="1" applyBorder="1" applyAlignment="1">
      <alignment horizontal="center" vertical="center"/>
    </xf>
    <xf numFmtId="175" fontId="114" fillId="71" borderId="38" xfId="376" applyNumberFormat="1" applyFont="1" applyFill="1" applyBorder="1" applyAlignment="1">
      <alignment horizontal="center" vertical="center"/>
    </xf>
    <xf numFmtId="2" fontId="126" fillId="71" borderId="0" xfId="0" applyNumberFormat="1" applyFont="1" applyFill="1" applyAlignment="1">
      <alignment horizontal="center" vertical="center"/>
    </xf>
    <xf numFmtId="1" fontId="126" fillId="71" borderId="0" xfId="0" applyNumberFormat="1" applyFont="1" applyFill="1" applyAlignment="1">
      <alignment horizontal="center" vertical="center"/>
    </xf>
    <xf numFmtId="2" fontId="127" fillId="71" borderId="0" xfId="0" applyNumberFormat="1" applyFont="1" applyFill="1" applyAlignment="1">
      <alignment horizontal="center" vertical="center" wrapText="1"/>
    </xf>
    <xf numFmtId="175" fontId="115" fillId="71" borderId="39" xfId="376" applyNumberFormat="1" applyFont="1" applyFill="1" applyBorder="1" applyAlignment="1">
      <alignment horizontal="center" vertical="center" wrapText="1"/>
    </xf>
    <xf numFmtId="175" fontId="114" fillId="71" borderId="39" xfId="376" applyNumberFormat="1" applyFont="1" applyFill="1" applyBorder="1" applyAlignment="1">
      <alignment horizontal="center" vertical="center"/>
    </xf>
    <xf numFmtId="43" fontId="113" fillId="71" borderId="0" xfId="376" applyFont="1" applyFill="1" applyBorder="1" applyAlignment="1">
      <alignment horizontal="center" vertical="center"/>
    </xf>
    <xf numFmtId="178" fontId="126" fillId="71" borderId="0" xfId="0" applyNumberFormat="1" applyFont="1" applyFill="1" applyAlignment="1">
      <alignment horizontal="center" vertical="center"/>
    </xf>
    <xf numFmtId="0" fontId="126" fillId="71" borderId="0" xfId="0" applyFont="1" applyFill="1" applyAlignment="1">
      <alignment horizontal="center" vertical="center"/>
    </xf>
    <xf numFmtId="175" fontId="117" fillId="71" borderId="0" xfId="376" applyNumberFormat="1" applyFont="1" applyFill="1" applyBorder="1" applyAlignment="1">
      <alignment horizontal="center" vertical="center" wrapText="1"/>
    </xf>
    <xf numFmtId="175" fontId="114" fillId="71" borderId="41" xfId="376" applyNumberFormat="1" applyFont="1" applyFill="1" applyBorder="1" applyAlignment="1">
      <alignment horizontal="center" vertical="center"/>
    </xf>
    <xf numFmtId="175" fontId="115" fillId="71" borderId="38" xfId="376" applyNumberFormat="1" applyFont="1" applyFill="1" applyBorder="1" applyAlignment="1">
      <alignment horizontal="center" vertical="center"/>
    </xf>
    <xf numFmtId="167" fontId="114" fillId="71" borderId="44" xfId="1" applyNumberFormat="1" applyFont="1" applyFill="1" applyBorder="1" applyAlignment="1">
      <alignment horizontal="center" vertical="center"/>
    </xf>
    <xf numFmtId="175" fontId="115" fillId="71" borderId="39" xfId="376" applyNumberFormat="1" applyFont="1" applyFill="1" applyBorder="1" applyAlignment="1">
      <alignment horizontal="center" vertical="center"/>
    </xf>
    <xf numFmtId="167" fontId="114" fillId="71" borderId="25" xfId="1" applyNumberFormat="1" applyFont="1" applyFill="1" applyBorder="1" applyAlignment="1">
      <alignment horizontal="center" vertical="center"/>
    </xf>
    <xf numFmtId="175" fontId="115" fillId="71" borderId="41" xfId="376" applyNumberFormat="1" applyFont="1" applyFill="1" applyBorder="1" applyAlignment="1">
      <alignment horizontal="center" vertical="center"/>
    </xf>
    <xf numFmtId="0" fontId="117" fillId="71" borderId="26" xfId="0" applyFont="1" applyFill="1" applyBorder="1" applyAlignment="1">
      <alignment horizontal="center" vertical="center"/>
    </xf>
    <xf numFmtId="167" fontId="114" fillId="71" borderId="26" xfId="1" applyNumberFormat="1" applyFont="1" applyFill="1" applyBorder="1" applyAlignment="1">
      <alignment horizontal="center" vertical="center"/>
    </xf>
    <xf numFmtId="0" fontId="114" fillId="71" borderId="42" xfId="0" applyFont="1" applyFill="1" applyBorder="1" applyAlignment="1">
      <alignment horizontal="center" vertical="center"/>
    </xf>
    <xf numFmtId="0" fontId="96" fillId="73" borderId="105" xfId="0" applyFont="1" applyFill="1" applyBorder="1" applyAlignment="1">
      <alignment horizontal="center" vertical="center" wrapText="1"/>
    </xf>
    <xf numFmtId="0" fontId="96" fillId="73" borderId="104" xfId="0" applyFont="1" applyFill="1" applyBorder="1" applyAlignment="1">
      <alignment horizontal="center" vertical="center" wrapText="1"/>
    </xf>
    <xf numFmtId="0" fontId="96" fillId="73" borderId="106" xfId="0" applyFont="1" applyFill="1" applyBorder="1" applyAlignment="1">
      <alignment horizontal="center" vertical="center" wrapText="1"/>
    </xf>
    <xf numFmtId="0" fontId="0" fillId="74" borderId="105" xfId="0" applyFill="1" applyBorder="1" applyAlignment="1">
      <alignment vertical="center" wrapText="1"/>
    </xf>
    <xf numFmtId="167" fontId="0" fillId="74" borderId="104" xfId="1" applyNumberFormat="1" applyFont="1" applyFill="1" applyBorder="1" applyAlignment="1">
      <alignment vertical="center" wrapText="1"/>
    </xf>
    <xf numFmtId="0" fontId="0" fillId="0" borderId="105" xfId="0" applyBorder="1" applyAlignment="1">
      <alignment vertical="center" wrapText="1"/>
    </xf>
    <xf numFmtId="167" fontId="0" fillId="0" borderId="104" xfId="1" applyNumberFormat="1" applyFont="1" applyBorder="1" applyAlignment="1">
      <alignment vertical="center" wrapText="1"/>
    </xf>
    <xf numFmtId="0" fontId="107" fillId="0" borderId="105" xfId="0" applyFont="1" applyBorder="1" applyAlignment="1">
      <alignment vertical="center" wrapText="1"/>
    </xf>
    <xf numFmtId="0" fontId="0" fillId="0" borderId="98" xfId="0" applyBorder="1" applyAlignment="1">
      <alignment vertical="center" wrapText="1"/>
    </xf>
    <xf numFmtId="167" fontId="0" fillId="0" borderId="99" xfId="1" applyNumberFormat="1" applyFont="1" applyBorder="1" applyAlignment="1">
      <alignment vertical="center" wrapText="1"/>
    </xf>
    <xf numFmtId="0" fontId="96" fillId="73" borderId="104" xfId="0" applyFont="1" applyFill="1" applyBorder="1" applyAlignment="1">
      <alignment vertical="center" wrapText="1"/>
    </xf>
    <xf numFmtId="0" fontId="130" fillId="73" borderId="104" xfId="0" applyFont="1" applyFill="1" applyBorder="1" applyAlignment="1">
      <alignment horizontal="center" vertical="center" wrapText="1"/>
    </xf>
    <xf numFmtId="0" fontId="96" fillId="73" borderId="107" xfId="0" applyFont="1" applyFill="1" applyBorder="1" applyAlignment="1">
      <alignment horizontal="center" vertical="center" wrapText="1"/>
    </xf>
    <xf numFmtId="0" fontId="0" fillId="74" borderId="105" xfId="0" applyFill="1" applyBorder="1"/>
    <xf numFmtId="165" fontId="0" fillId="74" borderId="104" xfId="376" applyNumberFormat="1" applyFont="1" applyFill="1" applyBorder="1"/>
    <xf numFmtId="175" fontId="0" fillId="74" borderId="104" xfId="376" applyNumberFormat="1" applyFont="1" applyFill="1" applyBorder="1"/>
    <xf numFmtId="167" fontId="0" fillId="74" borderId="104" xfId="1" applyNumberFormat="1" applyFont="1" applyFill="1" applyBorder="1"/>
    <xf numFmtId="167" fontId="0" fillId="74" borderId="107" xfId="1" applyNumberFormat="1" applyFont="1" applyFill="1" applyBorder="1"/>
    <xf numFmtId="0" fontId="0" fillId="0" borderId="105" xfId="0" applyBorder="1"/>
    <xf numFmtId="165" fontId="0" fillId="0" borderId="104" xfId="376" applyNumberFormat="1" applyFont="1" applyBorder="1"/>
    <xf numFmtId="175" fontId="0" fillId="0" borderId="104" xfId="376" applyNumberFormat="1" applyFont="1" applyBorder="1"/>
    <xf numFmtId="167" fontId="0" fillId="0" borderId="104" xfId="1" applyNumberFormat="1" applyFont="1" applyBorder="1"/>
    <xf numFmtId="167" fontId="0" fillId="0" borderId="107" xfId="1" applyNumberFormat="1" applyFont="1" applyBorder="1"/>
    <xf numFmtId="0" fontId="0" fillId="0" borderId="101" xfId="0" applyBorder="1"/>
    <xf numFmtId="165" fontId="0" fillId="0" borderId="102" xfId="376" applyNumberFormat="1" applyFont="1" applyBorder="1"/>
    <xf numFmtId="175" fontId="0" fillId="0" borderId="102" xfId="376" applyNumberFormat="1" applyFont="1" applyBorder="1"/>
    <xf numFmtId="167" fontId="0" fillId="0" borderId="102" xfId="1" applyNumberFormat="1" applyFont="1" applyBorder="1"/>
    <xf numFmtId="167" fontId="0" fillId="0" borderId="103" xfId="1" applyNumberFormat="1" applyFont="1" applyBorder="1"/>
    <xf numFmtId="177" fontId="0" fillId="0" borderId="0" xfId="376" applyNumberFormat="1" applyFont="1" applyBorder="1" applyAlignment="1">
      <alignment horizontal="center"/>
    </xf>
    <xf numFmtId="9" fontId="0" fillId="0" borderId="0" xfId="1" applyFont="1" applyBorder="1" applyAlignment="1">
      <alignment horizontal="center" vertical="center"/>
    </xf>
    <xf numFmtId="167" fontId="0" fillId="0" borderId="0" xfId="1" applyNumberFormat="1" applyFont="1" applyBorder="1" applyAlignment="1">
      <alignment horizontal="center" vertical="center"/>
    </xf>
    <xf numFmtId="0" fontId="0" fillId="0" borderId="0" xfId="0" applyAlignment="1">
      <alignment horizontal="center" vertical="center"/>
    </xf>
    <xf numFmtId="9" fontId="0" fillId="0" borderId="0" xfId="0" applyNumberFormat="1" applyAlignment="1">
      <alignment horizontal="center" vertical="center"/>
    </xf>
    <xf numFmtId="167" fontId="0" fillId="0" borderId="0" xfId="0" applyNumberFormat="1" applyAlignment="1">
      <alignment horizontal="center" vertical="center"/>
    </xf>
    <xf numFmtId="9" fontId="2" fillId="0" borderId="0" xfId="0" applyNumberFormat="1" applyFont="1" applyAlignment="1">
      <alignment horizontal="center" vertical="center"/>
    </xf>
    <xf numFmtId="9" fontId="0" fillId="0" borderId="16" xfId="0" applyNumberFormat="1" applyBorder="1"/>
    <xf numFmtId="167" fontId="0" fillId="71" borderId="16" xfId="1" applyNumberFormat="1" applyFont="1" applyFill="1" applyBorder="1" applyAlignment="1">
      <alignment horizontal="center" vertical="center"/>
    </xf>
    <xf numFmtId="9" fontId="0" fillId="71" borderId="16" xfId="1" applyFont="1" applyFill="1" applyBorder="1" applyAlignment="1">
      <alignment horizontal="center" vertical="center"/>
    </xf>
    <xf numFmtId="0" fontId="0" fillId="71" borderId="16" xfId="0" applyFill="1" applyBorder="1" applyAlignment="1">
      <alignment horizontal="center" vertical="center"/>
    </xf>
    <xf numFmtId="9" fontId="0" fillId="71" borderId="16" xfId="1" applyFont="1" applyFill="1" applyBorder="1" applyAlignment="1">
      <alignment horizontal="center"/>
    </xf>
    <xf numFmtId="9" fontId="0" fillId="71" borderId="0" xfId="1" applyFont="1" applyFill="1" applyBorder="1" applyAlignment="1">
      <alignment horizontal="center"/>
    </xf>
    <xf numFmtId="167" fontId="0" fillId="71" borderId="16" xfId="1" applyNumberFormat="1" applyFont="1" applyFill="1" applyBorder="1" applyAlignment="1">
      <alignment horizontal="center"/>
    </xf>
    <xf numFmtId="167" fontId="0" fillId="75" borderId="16" xfId="1" applyNumberFormat="1" applyFont="1" applyFill="1" applyBorder="1" applyAlignment="1">
      <alignment horizontal="center"/>
    </xf>
    <xf numFmtId="0" fontId="0" fillId="71" borderId="41" xfId="0" applyFill="1" applyBorder="1" applyAlignment="1">
      <alignment horizontal="center"/>
    </xf>
    <xf numFmtId="0" fontId="0" fillId="71" borderId="47" xfId="0" applyFill="1" applyBorder="1" applyAlignment="1">
      <alignment horizontal="center"/>
    </xf>
    <xf numFmtId="0" fontId="0" fillId="71" borderId="0" xfId="0" applyFill="1" applyAlignment="1">
      <alignment horizontal="center"/>
    </xf>
    <xf numFmtId="167" fontId="0" fillId="71" borderId="0" xfId="1" applyNumberFormat="1" applyFont="1" applyFill="1" applyBorder="1" applyAlignment="1">
      <alignment horizontal="center"/>
    </xf>
    <xf numFmtId="167" fontId="0" fillId="75" borderId="0" xfId="1" applyNumberFormat="1" applyFont="1" applyFill="1" applyBorder="1" applyAlignment="1">
      <alignment horizontal="center"/>
    </xf>
    <xf numFmtId="167" fontId="0" fillId="71" borderId="0" xfId="1" applyNumberFormat="1" applyFont="1" applyFill="1" applyBorder="1" applyAlignment="1">
      <alignment horizontal="center" vertical="center"/>
    </xf>
    <xf numFmtId="9" fontId="0" fillId="71" borderId="0" xfId="1" applyFont="1" applyFill="1" applyBorder="1" applyAlignment="1">
      <alignment horizontal="center" vertical="center"/>
    </xf>
    <xf numFmtId="0" fontId="0" fillId="0" borderId="42" xfId="0" applyBorder="1"/>
    <xf numFmtId="0" fontId="0" fillId="0" borderId="43" xfId="0" applyBorder="1"/>
    <xf numFmtId="0" fontId="0" fillId="0" borderId="40" xfId="0" applyBorder="1"/>
    <xf numFmtId="0" fontId="0" fillId="0" borderId="16" xfId="0" applyBorder="1" applyAlignment="1">
      <alignment horizontal="center" vertical="center"/>
    </xf>
    <xf numFmtId="0" fontId="0" fillId="71" borderId="16" xfId="0" applyFill="1" applyBorder="1" applyAlignment="1">
      <alignment horizontal="center" vertical="center" wrapText="1"/>
    </xf>
    <xf numFmtId="167" fontId="0" fillId="75" borderId="99" xfId="1" applyNumberFormat="1" applyFont="1" applyFill="1" applyBorder="1" applyAlignment="1">
      <alignment horizontal="center"/>
    </xf>
    <xf numFmtId="167" fontId="0" fillId="71" borderId="99" xfId="1" applyNumberFormat="1" applyFont="1" applyFill="1" applyBorder="1" applyAlignment="1">
      <alignment horizontal="center"/>
    </xf>
    <xf numFmtId="167" fontId="0" fillId="75" borderId="102" xfId="1" applyNumberFormat="1" applyFont="1" applyFill="1" applyBorder="1" applyAlignment="1">
      <alignment horizontal="center"/>
    </xf>
    <xf numFmtId="9" fontId="0" fillId="0" borderId="0" xfId="1" applyFont="1" applyFill="1" applyBorder="1" applyAlignment="1">
      <alignment horizontal="center" vertical="center"/>
    </xf>
    <xf numFmtId="167" fontId="1" fillId="71" borderId="16" xfId="1" applyNumberFormat="1" applyFont="1" applyFill="1" applyBorder="1" applyAlignment="1">
      <alignment horizontal="center"/>
    </xf>
    <xf numFmtId="0" fontId="0" fillId="0" borderId="44" xfId="0" applyBorder="1" applyAlignment="1">
      <alignment horizontal="center" vertical="center"/>
    </xf>
    <xf numFmtId="0" fontId="0" fillId="71" borderId="44" xfId="0" applyFill="1" applyBorder="1" applyAlignment="1">
      <alignment horizontal="center" vertical="center"/>
    </xf>
    <xf numFmtId="0" fontId="0" fillId="0" borderId="44" xfId="0" applyBorder="1" applyAlignment="1">
      <alignment horizontal="center"/>
    </xf>
    <xf numFmtId="0" fontId="3" fillId="0" borderId="47" xfId="0" applyFont="1" applyBorder="1" applyAlignment="1">
      <alignment horizontal="center" vertical="center" wrapText="1"/>
    </xf>
    <xf numFmtId="0" fontId="95" fillId="66" borderId="47" xfId="0" applyFont="1" applyFill="1" applyBorder="1" applyAlignment="1">
      <alignment vertical="center"/>
    </xf>
    <xf numFmtId="0" fontId="2" fillId="0" borderId="47" xfId="0" applyFont="1" applyBorder="1" applyAlignment="1">
      <alignment vertical="center"/>
    </xf>
    <xf numFmtId="0" fontId="3" fillId="0" borderId="47" xfId="0" applyFont="1" applyBorder="1" applyAlignment="1">
      <alignment vertical="center" wrapText="1"/>
    </xf>
    <xf numFmtId="0" fontId="0" fillId="0" borderId="45" xfId="0" applyBorder="1" applyAlignment="1">
      <alignment horizontal="left"/>
    </xf>
    <xf numFmtId="0" fontId="0" fillId="0" borderId="45" xfId="0" applyBorder="1" applyAlignment="1">
      <alignment vertical="center" wrapText="1"/>
    </xf>
    <xf numFmtId="167" fontId="0" fillId="0" borderId="45" xfId="1" applyNumberFormat="1" applyFont="1" applyBorder="1" applyAlignment="1">
      <alignment vertical="center" wrapText="1"/>
    </xf>
    <xf numFmtId="167" fontId="107" fillId="0" borderId="45" xfId="1" applyNumberFormat="1" applyFont="1" applyBorder="1" applyAlignment="1">
      <alignment vertical="center" wrapText="1"/>
    </xf>
    <xf numFmtId="0" fontId="0" fillId="0" borderId="47" xfId="0" applyBorder="1" applyAlignment="1">
      <alignment vertical="center" wrapText="1"/>
    </xf>
    <xf numFmtId="167" fontId="107" fillId="0" borderId="47" xfId="1" applyNumberFormat="1" applyFont="1" applyBorder="1" applyAlignment="1">
      <alignment vertical="center" wrapText="1"/>
    </xf>
    <xf numFmtId="0" fontId="3" fillId="70" borderId="47" xfId="0" applyFont="1" applyFill="1" applyBorder="1" applyAlignment="1">
      <alignment horizontal="center" vertical="center" wrapText="1"/>
    </xf>
    <xf numFmtId="43" fontId="0" fillId="0" borderId="45" xfId="376" applyFont="1" applyBorder="1"/>
    <xf numFmtId="0" fontId="0" fillId="0" borderId="45" xfId="376" applyNumberFormat="1" applyFont="1" applyBorder="1"/>
    <xf numFmtId="39" fontId="0" fillId="67" borderId="45" xfId="376" applyNumberFormat="1" applyFont="1" applyFill="1" applyBorder="1"/>
    <xf numFmtId="39" fontId="0" fillId="70" borderId="45" xfId="376" applyNumberFormat="1" applyFont="1" applyFill="1" applyBorder="1"/>
    <xf numFmtId="43" fontId="0" fillId="0" borderId="47" xfId="376" applyFont="1" applyBorder="1"/>
    <xf numFmtId="0" fontId="0" fillId="0" borderId="47" xfId="376" applyNumberFormat="1" applyFont="1" applyBorder="1"/>
    <xf numFmtId="43" fontId="0" fillId="67" borderId="47" xfId="376" applyFont="1" applyFill="1" applyBorder="1"/>
    <xf numFmtId="39" fontId="0" fillId="67" borderId="47" xfId="376" applyNumberFormat="1" applyFont="1" applyFill="1" applyBorder="1"/>
    <xf numFmtId="39" fontId="0" fillId="70" borderId="47" xfId="376" applyNumberFormat="1" applyFont="1" applyFill="1" applyBorder="1"/>
    <xf numFmtId="0" fontId="0" fillId="71" borderId="44" xfId="0" applyFill="1" applyBorder="1" applyAlignment="1">
      <alignment vertical="center"/>
    </xf>
    <xf numFmtId="0" fontId="0" fillId="71" borderId="16" xfId="0" applyFill="1" applyBorder="1" applyAlignment="1">
      <alignment vertical="center"/>
    </xf>
    <xf numFmtId="0" fontId="122" fillId="71" borderId="16" xfId="0" applyFont="1" applyFill="1" applyBorder="1" applyAlignment="1">
      <alignment horizontal="center"/>
    </xf>
    <xf numFmtId="176" fontId="0" fillId="71" borderId="0" xfId="376" applyNumberFormat="1" applyFont="1" applyFill="1" applyBorder="1"/>
    <xf numFmtId="0" fontId="0" fillId="71" borderId="0" xfId="0" applyFill="1"/>
    <xf numFmtId="0" fontId="131" fillId="77" borderId="0" xfId="0" applyFont="1" applyFill="1"/>
    <xf numFmtId="0" fontId="96" fillId="77" borderId="0" xfId="0" applyFont="1" applyFill="1" applyAlignment="1">
      <alignment vertical="center" wrapText="1"/>
    </xf>
    <xf numFmtId="0" fontId="96" fillId="77" borderId="0" xfId="0" applyFont="1" applyFill="1" applyAlignment="1">
      <alignment horizontal="center" vertical="center" wrapText="1"/>
    </xf>
    <xf numFmtId="9" fontId="0" fillId="75" borderId="0" xfId="1" applyFont="1" applyFill="1" applyBorder="1"/>
    <xf numFmtId="10" fontId="0" fillId="75" borderId="0" xfId="1" applyNumberFormat="1" applyFont="1" applyFill="1" applyBorder="1"/>
    <xf numFmtId="10" fontId="0" fillId="71" borderId="0" xfId="1" applyNumberFormat="1" applyFont="1" applyFill="1" applyBorder="1"/>
    <xf numFmtId="9" fontId="0" fillId="71" borderId="0" xfId="0" applyNumberFormat="1" applyFill="1"/>
    <xf numFmtId="0" fontId="0" fillId="75" borderId="0" xfId="0" applyFill="1"/>
    <xf numFmtId="0" fontId="132" fillId="77" borderId="47" xfId="0" applyFont="1" applyFill="1" applyBorder="1" applyAlignment="1">
      <alignment vertical="center"/>
    </xf>
    <xf numFmtId="0" fontId="132" fillId="77" borderId="47" xfId="0" applyFont="1" applyFill="1" applyBorder="1" applyAlignment="1">
      <alignment horizontal="center" vertical="center"/>
    </xf>
    <xf numFmtId="0" fontId="131" fillId="73" borderId="105" xfId="0" applyFont="1" applyFill="1" applyBorder="1" applyAlignment="1">
      <alignment horizontal="center"/>
    </xf>
    <xf numFmtId="9" fontId="0" fillId="74" borderId="105" xfId="1" applyFont="1" applyFill="1" applyBorder="1"/>
    <xf numFmtId="167" fontId="0" fillId="74" borderId="106" xfId="1" applyNumberFormat="1" applyFont="1" applyFill="1" applyBorder="1"/>
    <xf numFmtId="9" fontId="0" fillId="0" borderId="105" xfId="1" applyFont="1" applyBorder="1"/>
    <xf numFmtId="167" fontId="0" fillId="0" borderId="106" xfId="1" applyNumberFormat="1" applyFont="1" applyBorder="1"/>
    <xf numFmtId="9" fontId="0" fillId="74" borderId="98" xfId="1" applyFont="1" applyFill="1" applyBorder="1"/>
    <xf numFmtId="167" fontId="0" fillId="74" borderId="99" xfId="1" applyNumberFormat="1" applyFont="1" applyFill="1" applyBorder="1"/>
    <xf numFmtId="167" fontId="0" fillId="74" borderId="100" xfId="1" applyNumberFormat="1" applyFont="1" applyFill="1" applyBorder="1"/>
    <xf numFmtId="167" fontId="0" fillId="0" borderId="43" xfId="1" applyNumberFormat="1" applyFont="1" applyFill="1" applyBorder="1"/>
    <xf numFmtId="167" fontId="107" fillId="0" borderId="0" xfId="0" applyNumberFormat="1" applyFont="1"/>
    <xf numFmtId="167" fontId="107" fillId="75" borderId="0" xfId="1" applyNumberFormat="1" applyFont="1" applyFill="1" applyBorder="1"/>
    <xf numFmtId="167" fontId="107" fillId="75" borderId="0" xfId="0" applyNumberFormat="1" applyFont="1" applyFill="1"/>
    <xf numFmtId="0" fontId="133" fillId="71" borderId="0" xfId="0" applyFont="1" applyFill="1" applyAlignment="1">
      <alignment horizontal="left"/>
    </xf>
    <xf numFmtId="0" fontId="107" fillId="71" borderId="0" xfId="0" applyFont="1" applyFill="1" applyAlignment="1">
      <alignment horizontal="left"/>
    </xf>
    <xf numFmtId="0" fontId="72" fillId="78" borderId="81" xfId="0" applyFont="1" applyFill="1" applyBorder="1" applyAlignment="1">
      <alignment horizontal="center" vertical="center"/>
    </xf>
    <xf numFmtId="167" fontId="72" fillId="78" borderId="81" xfId="0" applyNumberFormat="1" applyFont="1" applyFill="1" applyBorder="1" applyAlignment="1">
      <alignment horizontal="center" vertical="center"/>
    </xf>
    <xf numFmtId="0" fontId="72" fillId="78" borderId="79" xfId="0" applyFont="1" applyFill="1" applyBorder="1" applyAlignment="1">
      <alignment horizontal="center" vertical="center"/>
    </xf>
    <xf numFmtId="167" fontId="72" fillId="76" borderId="81" xfId="0" applyNumberFormat="1" applyFont="1" applyFill="1" applyBorder="1" applyAlignment="1">
      <alignment horizontal="center" vertical="center"/>
    </xf>
    <xf numFmtId="0" fontId="72" fillId="76" borderId="79" xfId="0" applyFont="1" applyFill="1" applyBorder="1" applyAlignment="1">
      <alignment horizontal="center" vertical="center"/>
    </xf>
    <xf numFmtId="0" fontId="72" fillId="78" borderId="49" xfId="0" applyFont="1" applyFill="1" applyBorder="1" applyAlignment="1">
      <alignment vertical="center"/>
    </xf>
    <xf numFmtId="167" fontId="72" fillId="78" borderId="0" xfId="0" applyNumberFormat="1" applyFont="1" applyFill="1" applyAlignment="1">
      <alignment horizontal="center" vertical="center"/>
    </xf>
    <xf numFmtId="9" fontId="2" fillId="0" borderId="0" xfId="1" applyFont="1"/>
    <xf numFmtId="9" fontId="136" fillId="0" borderId="0" xfId="1" applyFont="1"/>
    <xf numFmtId="167" fontId="0" fillId="0" borderId="16" xfId="1" applyNumberFormat="1" applyFont="1" applyFill="1" applyBorder="1" applyAlignment="1">
      <alignment horizontal="center"/>
    </xf>
    <xf numFmtId="167" fontId="0" fillId="0" borderId="102" xfId="1" applyNumberFormat="1" applyFont="1" applyFill="1" applyBorder="1" applyAlignment="1">
      <alignment horizontal="center"/>
    </xf>
    <xf numFmtId="167" fontId="0" fillId="0" borderId="0" xfId="1" applyNumberFormat="1" applyFont="1" applyBorder="1" applyAlignment="1">
      <alignment vertical="center" wrapText="1"/>
    </xf>
    <xf numFmtId="167" fontId="0" fillId="0" borderId="47" xfId="1" applyNumberFormat="1" applyFont="1" applyBorder="1" applyAlignment="1">
      <alignment vertical="center" wrapText="1"/>
    </xf>
    <xf numFmtId="167" fontId="0" fillId="0" borderId="38" xfId="1" applyNumberFormat="1" applyFont="1" applyBorder="1" applyAlignment="1">
      <alignment vertical="center" wrapText="1"/>
    </xf>
    <xf numFmtId="167" fontId="0" fillId="0" borderId="42" xfId="1" applyNumberFormat="1" applyFont="1" applyBorder="1" applyAlignment="1">
      <alignment vertical="center" wrapText="1"/>
    </xf>
    <xf numFmtId="167" fontId="0" fillId="0" borderId="43" xfId="1" applyNumberFormat="1" applyFont="1" applyBorder="1" applyAlignment="1">
      <alignment vertical="center" wrapText="1"/>
    </xf>
    <xf numFmtId="167" fontId="0" fillId="0" borderId="39" xfId="1" applyNumberFormat="1" applyFont="1" applyBorder="1" applyAlignment="1">
      <alignment vertical="center" wrapText="1"/>
    </xf>
    <xf numFmtId="167" fontId="0" fillId="0" borderId="40" xfId="1" applyNumberFormat="1" applyFont="1" applyBorder="1" applyAlignment="1">
      <alignment vertical="center" wrapText="1"/>
    </xf>
    <xf numFmtId="167" fontId="0" fillId="0" borderId="41" xfId="1" applyNumberFormat="1" applyFont="1" applyBorder="1" applyAlignment="1">
      <alignment vertical="center" wrapText="1"/>
    </xf>
    <xf numFmtId="167" fontId="136" fillId="0" borderId="0" xfId="0" applyNumberFormat="1" applyFont="1"/>
    <xf numFmtId="0" fontId="122" fillId="71" borderId="0" xfId="0" applyFont="1" applyFill="1" applyAlignment="1">
      <alignment horizontal="center"/>
    </xf>
    <xf numFmtId="167" fontId="72" fillId="76" borderId="0" xfId="0" applyNumberFormat="1" applyFont="1" applyFill="1" applyAlignment="1">
      <alignment horizontal="center" vertical="center"/>
    </xf>
    <xf numFmtId="167" fontId="0" fillId="71" borderId="0" xfId="1" applyNumberFormat="1" applyFont="1" applyFill="1" applyAlignment="1">
      <alignment horizontal="center"/>
    </xf>
    <xf numFmtId="9" fontId="0" fillId="74" borderId="108" xfId="1" applyFont="1" applyFill="1" applyBorder="1"/>
    <xf numFmtId="167" fontId="0" fillId="75" borderId="0" xfId="1" applyNumberFormat="1" applyFont="1" applyFill="1" applyBorder="1"/>
    <xf numFmtId="167" fontId="0" fillId="71" borderId="0" xfId="0" applyNumberFormat="1" applyFill="1"/>
    <xf numFmtId="167" fontId="0" fillId="75" borderId="0" xfId="0" applyNumberFormat="1" applyFill="1"/>
    <xf numFmtId="0" fontId="107" fillId="71" borderId="0" xfId="0" applyFont="1" applyFill="1"/>
    <xf numFmtId="175" fontId="0" fillId="74" borderId="107" xfId="376" applyNumberFormat="1" applyFont="1" applyFill="1" applyBorder="1"/>
    <xf numFmtId="175" fontId="0" fillId="0" borderId="107" xfId="376" applyNumberFormat="1" applyFont="1" applyBorder="1"/>
    <xf numFmtId="175" fontId="0" fillId="0" borderId="103" xfId="376" applyNumberFormat="1" applyFont="1" applyBorder="1"/>
    <xf numFmtId="0" fontId="105" fillId="71" borderId="0" xfId="0" applyFont="1" applyFill="1" applyAlignment="1">
      <alignment vertical="center"/>
    </xf>
    <xf numFmtId="167" fontId="107" fillId="0" borderId="0" xfId="1" applyNumberFormat="1" applyFont="1"/>
    <xf numFmtId="1" fontId="0" fillId="0" borderId="0" xfId="1" applyNumberFormat="1" applyFont="1"/>
    <xf numFmtId="0" fontId="0" fillId="79" borderId="0" xfId="0" applyFill="1"/>
    <xf numFmtId="9" fontId="0" fillId="79" borderId="0" xfId="0" applyNumberFormat="1" applyFill="1"/>
    <xf numFmtId="0" fontId="0" fillId="79" borderId="16" xfId="0" applyFill="1" applyBorder="1" applyAlignment="1">
      <alignment horizontal="center" vertical="center"/>
    </xf>
    <xf numFmtId="9" fontId="0" fillId="79" borderId="16" xfId="1" applyFont="1" applyFill="1" applyBorder="1" applyAlignment="1">
      <alignment horizontal="center"/>
    </xf>
    <xf numFmtId="178" fontId="0" fillId="0" borderId="0" xfId="0" applyNumberFormat="1" applyAlignment="1">
      <alignment horizontal="center"/>
    </xf>
    <xf numFmtId="0" fontId="0" fillId="80" borderId="16" xfId="0" applyFill="1" applyBorder="1" applyAlignment="1">
      <alignment horizontal="right" vertical="center"/>
    </xf>
    <xf numFmtId="0" fontId="2" fillId="80" borderId="16" xfId="0" applyFont="1" applyFill="1" applyBorder="1" applyAlignment="1">
      <alignment horizontal="right" vertical="center"/>
    </xf>
    <xf numFmtId="0" fontId="0" fillId="0" borderId="0" xfId="376" applyNumberFormat="1" applyFont="1" applyFill="1" applyBorder="1"/>
    <xf numFmtId="43" fontId="0" fillId="0" borderId="45" xfId="376" applyFont="1" applyFill="1" applyBorder="1"/>
    <xf numFmtId="39" fontId="0" fillId="0" borderId="0" xfId="376" applyNumberFormat="1" applyFont="1" applyFill="1" applyBorder="1"/>
    <xf numFmtId="1" fontId="0" fillId="0" borderId="0" xfId="376" applyNumberFormat="1" applyFont="1" applyFill="1" applyBorder="1"/>
    <xf numFmtId="9" fontId="0" fillId="0" borderId="16" xfId="1" applyFont="1" applyFill="1" applyBorder="1" applyAlignment="1">
      <alignment horizontal="center" vertical="center"/>
    </xf>
    <xf numFmtId="43" fontId="72" fillId="0" borderId="0" xfId="376" applyFont="1" applyFill="1" applyBorder="1"/>
    <xf numFmtId="0" fontId="72" fillId="0" borderId="0" xfId="376" applyNumberFormat="1" applyFont="1" applyFill="1" applyBorder="1"/>
    <xf numFmtId="0" fontId="72" fillId="0" borderId="0" xfId="0" applyFont="1"/>
    <xf numFmtId="43" fontId="72" fillId="0" borderId="45" xfId="376" applyFont="1" applyFill="1" applyBorder="1"/>
    <xf numFmtId="39" fontId="72" fillId="0" borderId="0" xfId="376" applyNumberFormat="1" applyFont="1" applyFill="1" applyBorder="1"/>
    <xf numFmtId="9" fontId="72" fillId="0" borderId="45" xfId="1" applyFont="1" applyFill="1" applyBorder="1"/>
    <xf numFmtId="9" fontId="72" fillId="0" borderId="0" xfId="0" applyNumberFormat="1" applyFont="1"/>
    <xf numFmtId="9" fontId="72" fillId="0" borderId="0" xfId="1" applyFont="1" applyFill="1" applyBorder="1"/>
    <xf numFmtId="177" fontId="0" fillId="71" borderId="0" xfId="376" applyNumberFormat="1" applyFont="1" applyFill="1" applyBorder="1" applyAlignment="1">
      <alignment horizontal="center"/>
    </xf>
    <xf numFmtId="175" fontId="0" fillId="71" borderId="0" xfId="376" applyNumberFormat="1" applyFont="1" applyFill="1"/>
    <xf numFmtId="9" fontId="0" fillId="71" borderId="0" xfId="1" applyFont="1" applyFill="1"/>
    <xf numFmtId="10" fontId="0" fillId="71" borderId="0" xfId="1" applyNumberFormat="1" applyFont="1" applyFill="1"/>
    <xf numFmtId="0" fontId="3" fillId="71" borderId="0" xfId="0" applyFont="1" applyFill="1" applyAlignment="1">
      <alignment horizontal="center" vertical="center" wrapText="1"/>
    </xf>
    <xf numFmtId="0" fontId="3" fillId="71" borderId="39" xfId="0" applyFont="1" applyFill="1" applyBorder="1" applyAlignment="1">
      <alignment horizontal="center" vertical="center" wrapText="1"/>
    </xf>
    <xf numFmtId="0" fontId="140" fillId="0" borderId="81" xfId="0" applyFont="1" applyBorder="1" applyAlignment="1">
      <alignment horizontal="center" vertical="center"/>
    </xf>
    <xf numFmtId="0" fontId="140" fillId="0" borderId="81" xfId="0" applyFont="1" applyBorder="1" applyAlignment="1">
      <alignment horizontal="center" vertical="center" wrapText="1"/>
    </xf>
    <xf numFmtId="0" fontId="140" fillId="0" borderId="51" xfId="0" applyFont="1" applyBorder="1" applyAlignment="1">
      <alignment horizontal="center" vertical="center" wrapText="1"/>
    </xf>
    <xf numFmtId="0" fontId="140" fillId="0" borderId="0" xfId="0" applyFont="1" applyAlignment="1">
      <alignment horizontal="center" vertical="center"/>
    </xf>
    <xf numFmtId="0" fontId="140" fillId="0" borderId="0" xfId="0" applyFont="1" applyAlignment="1">
      <alignment horizontal="center" vertical="center" wrapText="1"/>
    </xf>
    <xf numFmtId="9" fontId="107" fillId="0" borderId="0" xfId="0" applyNumberFormat="1" applyFont="1"/>
    <xf numFmtId="0" fontId="115" fillId="0" borderId="0" xfId="0" applyFont="1" applyAlignment="1">
      <alignment horizontal="center" vertical="center"/>
    </xf>
    <xf numFmtId="0" fontId="122" fillId="71" borderId="0" xfId="0" applyFont="1" applyFill="1" applyAlignment="1">
      <alignment horizontal="center" vertical="center"/>
    </xf>
    <xf numFmtId="167" fontId="0" fillId="0" borderId="0" xfId="1" applyNumberFormat="1" applyFont="1" applyFill="1" applyAlignment="1">
      <alignment horizontal="center"/>
    </xf>
    <xf numFmtId="167" fontId="107" fillId="0" borderId="16" xfId="1" applyNumberFormat="1" applyFont="1" applyFill="1" applyBorder="1" applyAlignment="1">
      <alignment horizontal="center"/>
    </xf>
    <xf numFmtId="9" fontId="0" fillId="0" borderId="0" xfId="1" applyFont="1" applyAlignment="1">
      <alignment wrapText="1"/>
    </xf>
    <xf numFmtId="167" fontId="2" fillId="76" borderId="39" xfId="0" applyNumberFormat="1" applyFont="1" applyFill="1" applyBorder="1" applyAlignment="1">
      <alignment horizontal="center"/>
    </xf>
    <xf numFmtId="1" fontId="0" fillId="0" borderId="0" xfId="0" applyNumberFormat="1"/>
    <xf numFmtId="167" fontId="128" fillId="0" borderId="16" xfId="0" applyNumberFormat="1" applyFont="1" applyBorder="1" applyAlignment="1">
      <alignment horizontal="center" vertical="center"/>
    </xf>
    <xf numFmtId="167" fontId="128" fillId="71" borderId="16" xfId="0" applyNumberFormat="1" applyFont="1" applyFill="1" applyBorder="1" applyAlignment="1">
      <alignment horizontal="center" vertical="center"/>
    </xf>
    <xf numFmtId="167" fontId="128" fillId="0" borderId="44" xfId="0" applyNumberFormat="1" applyFont="1" applyBorder="1" applyAlignment="1">
      <alignment horizontal="center" vertical="center"/>
    </xf>
    <xf numFmtId="0" fontId="128" fillId="0" borderId="16" xfId="0" applyFont="1" applyBorder="1" applyAlignment="1">
      <alignment horizontal="center" vertical="center"/>
    </xf>
    <xf numFmtId="0" fontId="140" fillId="0" borderId="16" xfId="0" applyFont="1" applyBorder="1" applyAlignment="1">
      <alignment horizontal="center" vertical="center"/>
    </xf>
    <xf numFmtId="167" fontId="128" fillId="0" borderId="71" xfId="0" applyNumberFormat="1" applyFont="1" applyBorder="1" applyAlignment="1">
      <alignment horizontal="center" vertical="center"/>
    </xf>
    <xf numFmtId="167" fontId="128" fillId="0" borderId="28" xfId="0" applyNumberFormat="1" applyFont="1" applyBorder="1" applyAlignment="1">
      <alignment horizontal="center" vertical="center"/>
    </xf>
    <xf numFmtId="167" fontId="128" fillId="0" borderId="55" xfId="0" applyNumberFormat="1" applyFont="1" applyBorder="1" applyAlignment="1">
      <alignment horizontal="center" vertical="center"/>
    </xf>
    <xf numFmtId="9" fontId="112" fillId="0" borderId="71" xfId="1" applyFont="1" applyBorder="1" applyAlignment="1"/>
    <xf numFmtId="9" fontId="112" fillId="0" borderId="24" xfId="1" applyFont="1" applyBorder="1" applyAlignment="1"/>
    <xf numFmtId="9" fontId="112" fillId="0" borderId="28" xfId="1" applyFont="1" applyBorder="1" applyAlignment="1"/>
    <xf numFmtId="167" fontId="128" fillId="0" borderId="71" xfId="0" applyNumberFormat="1" applyFont="1" applyBorder="1" applyAlignment="1">
      <alignment vertical="center"/>
    </xf>
    <xf numFmtId="167" fontId="128" fillId="0" borderId="24" xfId="0" applyNumberFormat="1" applyFont="1" applyBorder="1" applyAlignment="1">
      <alignment vertical="center"/>
    </xf>
    <xf numFmtId="167" fontId="128" fillId="0" borderId="29" xfId="0" applyNumberFormat="1" applyFont="1" applyBorder="1" applyAlignment="1">
      <alignment vertical="center"/>
    </xf>
    <xf numFmtId="167" fontId="128" fillId="0" borderId="28" xfId="0" applyNumberFormat="1" applyFont="1" applyBorder="1" applyAlignment="1">
      <alignment vertical="center"/>
    </xf>
    <xf numFmtId="178" fontId="128" fillId="0" borderId="16" xfId="0" applyNumberFormat="1" applyFont="1" applyBorder="1" applyAlignment="1">
      <alignment horizontal="center"/>
    </xf>
    <xf numFmtId="167" fontId="112" fillId="0" borderId="0" xfId="0" applyNumberFormat="1" applyFont="1" applyAlignment="1">
      <alignment horizontal="center"/>
    </xf>
    <xf numFmtId="167" fontId="0" fillId="0" borderId="0" xfId="0" applyNumberFormat="1" applyAlignment="1">
      <alignment horizontal="center"/>
    </xf>
    <xf numFmtId="167" fontId="128" fillId="0" borderId="16" xfId="0" applyNumberFormat="1" applyFont="1" applyBorder="1" applyAlignment="1">
      <alignment vertical="center"/>
    </xf>
    <xf numFmtId="9" fontId="112" fillId="0" borderId="16" xfId="1" applyFont="1" applyBorder="1" applyAlignment="1"/>
    <xf numFmtId="9" fontId="0" fillId="0" borderId="0" xfId="1" applyFont="1" applyAlignment="1">
      <alignment horizontal="center"/>
    </xf>
    <xf numFmtId="167" fontId="0" fillId="0" borderId="38" xfId="0" applyNumberFormat="1" applyBorder="1" applyAlignment="1">
      <alignment vertical="center" wrapText="1"/>
    </xf>
    <xf numFmtId="167" fontId="0" fillId="0" borderId="39" xfId="0" applyNumberFormat="1" applyBorder="1" applyAlignment="1">
      <alignment vertical="center" wrapText="1"/>
    </xf>
    <xf numFmtId="167" fontId="0" fillId="0" borderId="41" xfId="0" applyNumberFormat="1" applyBorder="1" applyAlignment="1">
      <alignment vertical="center" wrapText="1"/>
    </xf>
    <xf numFmtId="10" fontId="107" fillId="0" borderId="0" xfId="1" applyNumberFormat="1" applyFont="1"/>
    <xf numFmtId="167" fontId="107" fillId="0" borderId="0" xfId="1" applyNumberFormat="1" applyFont="1" applyAlignment="1">
      <alignment horizontal="center"/>
    </xf>
    <xf numFmtId="167" fontId="0" fillId="0" borderId="0" xfId="1" applyNumberFormat="1" applyFont="1" applyAlignment="1">
      <alignment horizontal="center"/>
    </xf>
    <xf numFmtId="0" fontId="140" fillId="0" borderId="49" xfId="0" applyFont="1" applyBorder="1" applyAlignment="1">
      <alignment horizontal="center" vertical="center"/>
    </xf>
    <xf numFmtId="0" fontId="140" fillId="0" borderId="16" xfId="0" applyFont="1" applyBorder="1" applyAlignment="1">
      <alignment horizontal="center" vertical="center" wrapText="1"/>
    </xf>
    <xf numFmtId="0" fontId="135" fillId="0" borderId="45" xfId="0" applyFont="1" applyBorder="1" applyAlignment="1">
      <alignment wrapText="1"/>
    </xf>
    <xf numFmtId="0" fontId="135" fillId="0" borderId="0" xfId="0" applyFont="1" applyAlignment="1">
      <alignment wrapText="1"/>
    </xf>
    <xf numFmtId="178" fontId="128" fillId="0" borderId="16" xfId="0" applyNumberFormat="1" applyFont="1" applyBorder="1"/>
    <xf numFmtId="167" fontId="112" fillId="0" borderId="0" xfId="0" applyNumberFormat="1" applyFont="1"/>
    <xf numFmtId="0" fontId="0" fillId="0" borderId="81" xfId="0" applyBorder="1"/>
    <xf numFmtId="0" fontId="128" fillId="0" borderId="16" xfId="0" applyFont="1" applyBorder="1" applyAlignment="1">
      <alignment horizontal="left" vertical="center"/>
    </xf>
    <xf numFmtId="0" fontId="140" fillId="0" borderId="0" xfId="0" applyFont="1" applyAlignment="1">
      <alignment vertical="center"/>
    </xf>
    <xf numFmtId="178" fontId="128" fillId="0" borderId="0" xfId="0" applyNumberFormat="1" applyFont="1"/>
    <xf numFmtId="167" fontId="128" fillId="0" borderId="81" xfId="0" applyNumberFormat="1" applyFont="1" applyBorder="1" applyAlignment="1">
      <alignment vertical="center"/>
    </xf>
    <xf numFmtId="9" fontId="112" fillId="0" borderId="16" xfId="1" applyFont="1" applyBorder="1" applyAlignment="1">
      <alignment horizontal="center"/>
    </xf>
    <xf numFmtId="167" fontId="128" fillId="0" borderId="0" xfId="0" applyNumberFormat="1" applyFont="1" applyAlignment="1">
      <alignment vertical="center"/>
    </xf>
    <xf numFmtId="167" fontId="128" fillId="0" borderId="0" xfId="0" applyNumberFormat="1" applyFont="1" applyAlignment="1">
      <alignment horizontal="center" vertical="center"/>
    </xf>
    <xf numFmtId="0" fontId="112" fillId="0" borderId="0" xfId="0" applyFont="1"/>
    <xf numFmtId="2" fontId="128" fillId="0" borderId="0" xfId="0" applyNumberFormat="1" applyFont="1"/>
    <xf numFmtId="0" fontId="0" fillId="0" borderId="16" xfId="0" applyBorder="1"/>
    <xf numFmtId="0" fontId="62" fillId="0" borderId="0" xfId="378"/>
    <xf numFmtId="0" fontId="140" fillId="0" borderId="16" xfId="0" applyFont="1" applyBorder="1" applyAlignment="1">
      <alignment horizontal="left" vertical="center"/>
    </xf>
    <xf numFmtId="10" fontId="128" fillId="0" borderId="16" xfId="0" applyNumberFormat="1" applyFont="1" applyBorder="1" applyAlignment="1">
      <alignment horizontal="center" vertical="center"/>
    </xf>
    <xf numFmtId="0" fontId="112" fillId="0" borderId="28" xfId="0" applyFont="1" applyBorder="1" applyAlignment="1">
      <alignment horizontal="center" vertical="center"/>
    </xf>
    <xf numFmtId="0" fontId="140" fillId="0" borderId="67" xfId="0" applyFont="1" applyBorder="1" applyAlignment="1">
      <alignment horizontal="center" vertical="center"/>
    </xf>
    <xf numFmtId="0" fontId="142" fillId="0" borderId="0" xfId="379" applyFont="1" applyAlignment="1">
      <alignment horizontal="left"/>
    </xf>
    <xf numFmtId="0" fontId="128" fillId="0" borderId="0" xfId="0" applyFont="1" applyAlignment="1">
      <alignment vertical="center"/>
    </xf>
    <xf numFmtId="9" fontId="112" fillId="0" borderId="0" xfId="0" applyNumberFormat="1" applyFont="1"/>
    <xf numFmtId="0" fontId="62" fillId="0" borderId="0" xfId="378" applyBorder="1"/>
    <xf numFmtId="9" fontId="112" fillId="0" borderId="0" xfId="1" applyFont="1" applyBorder="1"/>
    <xf numFmtId="0" fontId="0" fillId="0" borderId="0" xfId="0" applyAlignment="1">
      <alignment horizontal="center" wrapText="1"/>
    </xf>
    <xf numFmtId="0" fontId="2" fillId="0" borderId="0" xfId="0" applyFont="1" applyAlignment="1">
      <alignment horizontal="center" wrapText="1"/>
    </xf>
    <xf numFmtId="0" fontId="0" fillId="83" borderId="0" xfId="0" applyFill="1"/>
    <xf numFmtId="167" fontId="0" fillId="83" borderId="0" xfId="0" applyNumberFormat="1" applyFill="1"/>
    <xf numFmtId="0" fontId="2" fillId="0" borderId="0" xfId="0" applyFont="1" applyAlignment="1">
      <alignment horizontal="center" vertical="center" wrapText="1"/>
    </xf>
    <xf numFmtId="0" fontId="139" fillId="0" borderId="16" xfId="0" applyFont="1" applyBorder="1" applyAlignment="1">
      <alignment horizontal="center" vertical="center" wrapText="1"/>
    </xf>
    <xf numFmtId="0" fontId="112" fillId="0" borderId="16" xfId="0" applyFont="1" applyBorder="1" applyAlignment="1">
      <alignment horizontal="center" vertical="center"/>
    </xf>
    <xf numFmtId="0" fontId="96" fillId="72" borderId="0" xfId="0" applyFont="1" applyFill="1" applyAlignment="1">
      <alignment horizontal="center" vertical="center" wrapText="1"/>
    </xf>
    <xf numFmtId="0" fontId="131" fillId="72" borderId="0" xfId="0" applyFont="1" applyFill="1" applyAlignment="1">
      <alignment horizontal="center" vertical="center" wrapText="1"/>
    </xf>
    <xf numFmtId="0" fontId="96" fillId="73" borderId="0" xfId="0" applyFont="1" applyFill="1" applyAlignment="1">
      <alignment horizontal="center" vertical="center" wrapText="1"/>
    </xf>
    <xf numFmtId="167" fontId="0" fillId="74" borderId="0" xfId="1" applyNumberFormat="1" applyFont="1" applyFill="1" applyBorder="1" applyAlignment="1">
      <alignment vertical="center" wrapText="1"/>
    </xf>
    <xf numFmtId="0" fontId="138" fillId="0" borderId="0" xfId="0" applyFont="1" applyAlignment="1">
      <alignment horizontal="left" vertical="center" readingOrder="1"/>
    </xf>
    <xf numFmtId="0" fontId="0" fillId="0" borderId="47" xfId="0" applyBorder="1" applyAlignment="1">
      <alignment horizontal="center"/>
    </xf>
    <xf numFmtId="0" fontId="107" fillId="0" borderId="45" xfId="0" applyFont="1" applyBorder="1" applyAlignment="1">
      <alignment horizontal="center"/>
    </xf>
    <xf numFmtId="0" fontId="107" fillId="0" borderId="47" xfId="0" applyFont="1" applyBorder="1" applyAlignment="1">
      <alignment horizontal="center"/>
    </xf>
    <xf numFmtId="0" fontId="0" fillId="0" borderId="45" xfId="0" applyBorder="1" applyAlignment="1">
      <alignment horizontal="center"/>
    </xf>
    <xf numFmtId="0" fontId="0" fillId="76" borderId="47" xfId="0" applyFill="1" applyBorder="1" applyAlignment="1">
      <alignment horizontal="center"/>
    </xf>
    <xf numFmtId="10" fontId="0" fillId="0" borderId="38" xfId="0" applyNumberFormat="1" applyBorder="1" applyAlignment="1">
      <alignment horizontal="center"/>
    </xf>
    <xf numFmtId="10" fontId="0" fillId="0" borderId="47" xfId="0" applyNumberFormat="1" applyBorder="1" applyAlignment="1">
      <alignment horizontal="center"/>
    </xf>
    <xf numFmtId="10" fontId="0" fillId="0" borderId="41" xfId="1" applyNumberFormat="1" applyFont="1" applyBorder="1" applyAlignment="1">
      <alignment horizontal="center"/>
    </xf>
    <xf numFmtId="10" fontId="0" fillId="0" borderId="39" xfId="0" applyNumberFormat="1" applyBorder="1" applyAlignment="1">
      <alignment horizontal="center"/>
    </xf>
    <xf numFmtId="10" fontId="0" fillId="0" borderId="41" xfId="0" applyNumberFormat="1" applyBorder="1" applyAlignment="1">
      <alignment horizontal="center"/>
    </xf>
    <xf numFmtId="0" fontId="107" fillId="0" borderId="0" xfId="0" applyFont="1" applyAlignment="1">
      <alignment horizontal="center"/>
    </xf>
    <xf numFmtId="10" fontId="107" fillId="76" borderId="39" xfId="0" applyNumberFormat="1" applyFont="1" applyFill="1" applyBorder="1" applyAlignment="1">
      <alignment horizontal="center"/>
    </xf>
    <xf numFmtId="10" fontId="107" fillId="76" borderId="47" xfId="0" applyNumberFormat="1" applyFont="1" applyFill="1" applyBorder="1" applyAlignment="1">
      <alignment horizontal="center"/>
    </xf>
    <xf numFmtId="10" fontId="107" fillId="76" borderId="41" xfId="0" applyNumberFormat="1" applyFont="1" applyFill="1" applyBorder="1" applyAlignment="1">
      <alignment horizontal="center"/>
    </xf>
    <xf numFmtId="167" fontId="107" fillId="0" borderId="41" xfId="0" applyNumberFormat="1" applyFont="1" applyBorder="1" applyAlignment="1">
      <alignment horizontal="center"/>
    </xf>
    <xf numFmtId="10" fontId="107" fillId="0" borderId="39" xfId="0" applyNumberFormat="1" applyFont="1" applyBorder="1" applyAlignment="1">
      <alignment horizontal="center"/>
    </xf>
    <xf numFmtId="10" fontId="107" fillId="0" borderId="41" xfId="0" applyNumberFormat="1" applyFont="1" applyBorder="1" applyAlignment="1">
      <alignment horizontal="center"/>
    </xf>
    <xf numFmtId="10" fontId="107" fillId="0" borderId="47" xfId="0" applyNumberFormat="1" applyFont="1" applyBorder="1" applyAlignment="1">
      <alignment horizontal="center"/>
    </xf>
    <xf numFmtId="10" fontId="107" fillId="0" borderId="38" xfId="0" applyNumberFormat="1" applyFont="1" applyBorder="1" applyAlignment="1">
      <alignment horizontal="center"/>
    </xf>
    <xf numFmtId="0" fontId="0" fillId="76" borderId="0" xfId="0" applyFill="1" applyAlignment="1">
      <alignment horizontal="center"/>
    </xf>
    <xf numFmtId="10" fontId="0" fillId="76" borderId="39" xfId="0" applyNumberFormat="1" applyFill="1" applyBorder="1" applyAlignment="1">
      <alignment horizontal="center"/>
    </xf>
    <xf numFmtId="10" fontId="0" fillId="76" borderId="47" xfId="0" applyNumberFormat="1" applyFill="1" applyBorder="1" applyAlignment="1">
      <alignment horizontal="center"/>
    </xf>
    <xf numFmtId="10" fontId="0" fillId="76" borderId="41" xfId="0" applyNumberFormat="1" applyFill="1" applyBorder="1" applyAlignment="1">
      <alignment horizontal="center"/>
    </xf>
    <xf numFmtId="167" fontId="0" fillId="0" borderId="41" xfId="0" applyNumberFormat="1" applyBorder="1" applyAlignment="1">
      <alignment horizontal="center"/>
    </xf>
    <xf numFmtId="167" fontId="107" fillId="76" borderId="39" xfId="0" applyNumberFormat="1" applyFont="1" applyFill="1" applyBorder="1" applyAlignment="1">
      <alignment horizontal="center"/>
    </xf>
    <xf numFmtId="10" fontId="107" fillId="0" borderId="0" xfId="1" applyNumberFormat="1" applyFont="1" applyAlignment="1">
      <alignment horizontal="center"/>
    </xf>
    <xf numFmtId="10" fontId="107" fillId="0" borderId="0" xfId="0" applyNumberFormat="1" applyFont="1"/>
    <xf numFmtId="2" fontId="0" fillId="0" borderId="0" xfId="1" applyNumberFormat="1" applyFont="1" applyFill="1" applyAlignment="1">
      <alignment horizontal="center"/>
    </xf>
    <xf numFmtId="2" fontId="0" fillId="0" borderId="0" xfId="0" applyNumberFormat="1"/>
    <xf numFmtId="0" fontId="135" fillId="0" borderId="16" xfId="0" applyFont="1" applyBorder="1" applyAlignment="1">
      <alignment horizontal="center" wrapText="1"/>
    </xf>
    <xf numFmtId="167" fontId="140" fillId="0" borderId="16" xfId="1" applyNumberFormat="1" applyFont="1" applyBorder="1" applyAlignment="1">
      <alignment horizontal="center" vertical="center" wrapText="1"/>
    </xf>
    <xf numFmtId="0" fontId="140" fillId="0" borderId="16" xfId="0" applyFont="1" applyBorder="1" applyAlignment="1">
      <alignment horizontal="left" vertical="center" wrapText="1"/>
    </xf>
    <xf numFmtId="10" fontId="112" fillId="0" borderId="16" xfId="1" applyNumberFormat="1" applyFont="1" applyBorder="1" applyAlignment="1">
      <alignment horizontal="center"/>
    </xf>
    <xf numFmtId="167" fontId="0" fillId="76" borderId="0" xfId="1" applyNumberFormat="1" applyFont="1" applyFill="1"/>
    <xf numFmtId="49" fontId="0" fillId="0" borderId="0" xfId="0" applyNumberFormat="1"/>
    <xf numFmtId="0" fontId="107" fillId="76" borderId="0" xfId="0" applyFont="1" applyFill="1" applyAlignment="1">
      <alignment horizontal="center"/>
    </xf>
    <xf numFmtId="167" fontId="94" fillId="0" borderId="0" xfId="1" applyNumberFormat="1" applyFont="1"/>
    <xf numFmtId="9" fontId="94" fillId="0" borderId="0" xfId="0" applyNumberFormat="1" applyFont="1"/>
    <xf numFmtId="0" fontId="146" fillId="0" borderId="0" xfId="0" applyFont="1" applyAlignment="1">
      <alignment vertical="center" wrapText="1"/>
    </xf>
    <xf numFmtId="0" fontId="119" fillId="0" borderId="0" xfId="0" applyFont="1" applyAlignment="1">
      <alignment vertical="center" wrapText="1"/>
    </xf>
    <xf numFmtId="0" fontId="0" fillId="0" borderId="81" xfId="0" applyBorder="1" applyAlignment="1">
      <alignment vertical="center"/>
    </xf>
    <xf numFmtId="0" fontId="127" fillId="0" borderId="0" xfId="0" applyFont="1" applyAlignment="1">
      <alignment horizontal="center" vertical="center"/>
    </xf>
    <xf numFmtId="0" fontId="150" fillId="0" borderId="0" xfId="0" applyFont="1" applyAlignment="1">
      <alignment horizontal="center" vertical="center"/>
    </xf>
    <xf numFmtId="0" fontId="127" fillId="0" borderId="0" xfId="0" applyFont="1" applyAlignment="1">
      <alignment horizontal="center" vertical="center" wrapText="1"/>
    </xf>
    <xf numFmtId="0" fontId="127" fillId="0" borderId="0" xfId="0" applyFont="1" applyAlignment="1">
      <alignment vertical="center"/>
    </xf>
    <xf numFmtId="0" fontId="115" fillId="0" borderId="45" xfId="0" applyFont="1" applyBorder="1" applyAlignment="1">
      <alignment vertical="center"/>
    </xf>
    <xf numFmtId="0" fontId="113" fillId="0" borderId="47" xfId="0" applyFont="1" applyBorder="1" applyAlignment="1">
      <alignment horizontal="center" vertical="center" wrapText="1"/>
    </xf>
    <xf numFmtId="0" fontId="113" fillId="0" borderId="24" xfId="0" applyFont="1" applyBorder="1" applyAlignment="1">
      <alignment horizontal="center" vertical="center" wrapText="1"/>
    </xf>
    <xf numFmtId="0" fontId="113" fillId="0" borderId="45" xfId="0" applyFont="1" applyBorder="1" applyAlignment="1">
      <alignment vertical="center"/>
    </xf>
    <xf numFmtId="0" fontId="114" fillId="0" borderId="45" xfId="0" applyFont="1" applyBorder="1" applyAlignment="1">
      <alignment vertical="center"/>
    </xf>
    <xf numFmtId="0" fontId="114" fillId="0" borderId="0" xfId="0" applyFont="1" applyAlignment="1">
      <alignment vertical="center"/>
    </xf>
    <xf numFmtId="175" fontId="115" fillId="0" borderId="0" xfId="0" applyNumberFormat="1" applyFont="1" applyAlignment="1">
      <alignment vertical="center"/>
    </xf>
    <xf numFmtId="0" fontId="114" fillId="0" borderId="45" xfId="0" applyFont="1" applyBorder="1" applyAlignment="1">
      <alignment vertical="center" wrapText="1"/>
    </xf>
    <xf numFmtId="0" fontId="113" fillId="0" borderId="0" xfId="0" applyFont="1" applyAlignment="1">
      <alignment vertical="center"/>
    </xf>
    <xf numFmtId="0" fontId="114" fillId="0" borderId="0" xfId="0" applyFont="1" applyAlignment="1">
      <alignment vertical="center" wrapText="1"/>
    </xf>
    <xf numFmtId="0" fontId="113" fillId="0" borderId="47" xfId="0" applyFont="1" applyBorder="1" applyAlignment="1">
      <alignment vertical="center"/>
    </xf>
    <xf numFmtId="0" fontId="114" fillId="0" borderId="47" xfId="0" applyFont="1" applyBorder="1" applyAlignment="1">
      <alignment vertical="center"/>
    </xf>
    <xf numFmtId="0" fontId="114" fillId="0" borderId="47" xfId="0" applyFont="1" applyBorder="1" applyAlignment="1">
      <alignment vertical="center" wrapText="1"/>
    </xf>
    <xf numFmtId="178" fontId="0" fillId="0" borderId="0" xfId="376" applyNumberFormat="1" applyFont="1" applyFill="1" applyBorder="1" applyAlignment="1">
      <alignment horizontal="center"/>
    </xf>
    <xf numFmtId="178" fontId="1" fillId="0" borderId="0" xfId="376" applyNumberFormat="1" applyFont="1" applyFill="1" applyBorder="1" applyAlignment="1">
      <alignment horizontal="center"/>
    </xf>
    <xf numFmtId="167" fontId="134" fillId="0" borderId="0" xfId="1" applyNumberFormat="1" applyFont="1"/>
    <xf numFmtId="167" fontId="134" fillId="0" borderId="0" xfId="0" applyNumberFormat="1" applyFont="1"/>
    <xf numFmtId="9" fontId="0" fillId="0" borderId="16" xfId="1" applyFont="1" applyFill="1" applyBorder="1"/>
    <xf numFmtId="0" fontId="2" fillId="0" borderId="24" xfId="0" applyFont="1" applyBorder="1" applyAlignment="1">
      <alignment horizontal="center"/>
    </xf>
    <xf numFmtId="0" fontId="134" fillId="0" borderId="24" xfId="0" applyFont="1" applyBorder="1"/>
    <xf numFmtId="0" fontId="139" fillId="0" borderId="50" xfId="0" applyFont="1" applyBorder="1" applyAlignment="1">
      <alignment vertical="center"/>
    </xf>
    <xf numFmtId="0" fontId="148" fillId="0" borderId="43" xfId="0" applyFont="1" applyBorder="1" applyAlignment="1">
      <alignment vertical="center"/>
    </xf>
    <xf numFmtId="0" fontId="119" fillId="0" borderId="43" xfId="0" applyFont="1" applyBorder="1" applyAlignment="1">
      <alignment vertical="center"/>
    </xf>
    <xf numFmtId="178" fontId="119" fillId="0" borderId="39" xfId="0" applyNumberFormat="1" applyFont="1" applyBorder="1" applyAlignment="1">
      <alignment horizontal="center" vertical="center"/>
    </xf>
    <xf numFmtId="178" fontId="149" fillId="0" borderId="0" xfId="0" applyNumberFormat="1" applyFont="1" applyAlignment="1">
      <alignment horizontal="center" vertical="center" wrapText="1"/>
    </xf>
    <xf numFmtId="178" fontId="149" fillId="0" borderId="39" xfId="0" applyNumberFormat="1" applyFont="1" applyBorder="1" applyAlignment="1">
      <alignment horizontal="center" vertical="center"/>
    </xf>
    <xf numFmtId="178" fontId="119" fillId="0" borderId="0" xfId="0" applyNumberFormat="1" applyFont="1" applyAlignment="1">
      <alignment horizontal="center" vertical="center" wrapText="1"/>
    </xf>
    <xf numFmtId="167" fontId="148" fillId="84" borderId="43" xfId="0" applyNumberFormat="1" applyFont="1" applyFill="1" applyBorder="1" applyAlignment="1">
      <alignment horizontal="center" vertical="center" wrapText="1"/>
    </xf>
    <xf numFmtId="167" fontId="148" fillId="84" borderId="0" xfId="0" applyNumberFormat="1" applyFont="1" applyFill="1" applyAlignment="1">
      <alignment horizontal="center" vertical="center" wrapText="1"/>
    </xf>
    <xf numFmtId="167" fontId="148" fillId="84" borderId="39" xfId="0" applyNumberFormat="1" applyFont="1" applyFill="1" applyBorder="1" applyAlignment="1">
      <alignment horizontal="center" vertical="center" wrapText="1"/>
    </xf>
    <xf numFmtId="167" fontId="119" fillId="0" borderId="43" xfId="0" applyNumberFormat="1" applyFont="1" applyBorder="1" applyAlignment="1">
      <alignment horizontal="center" vertical="center"/>
    </xf>
    <xf numFmtId="167" fontId="119" fillId="0" borderId="0" xfId="0" applyNumberFormat="1" applyFont="1" applyAlignment="1">
      <alignment horizontal="center" vertical="center"/>
    </xf>
    <xf numFmtId="167" fontId="119" fillId="0" borderId="39" xfId="0" applyNumberFormat="1" applyFont="1" applyBorder="1" applyAlignment="1">
      <alignment horizontal="center" vertical="center"/>
    </xf>
    <xf numFmtId="167" fontId="148" fillId="0" borderId="43" xfId="0" applyNumberFormat="1" applyFont="1" applyBorder="1" applyAlignment="1">
      <alignment horizontal="center" vertical="center"/>
    </xf>
    <xf numFmtId="0" fontId="151" fillId="0" borderId="0" xfId="0" applyFont="1" applyAlignment="1">
      <alignment horizontal="left" vertical="center"/>
    </xf>
    <xf numFmtId="0" fontId="139" fillId="0" borderId="81" xfId="0" applyFont="1" applyBorder="1" applyAlignment="1">
      <alignment horizontal="center" vertical="center" wrapText="1"/>
    </xf>
    <xf numFmtId="0" fontId="0" fillId="0" borderId="44" xfId="0" applyBorder="1" applyAlignment="1">
      <alignment vertical="center" wrapText="1"/>
    </xf>
    <xf numFmtId="0" fontId="0" fillId="0" borderId="25" xfId="0" applyBorder="1" applyAlignment="1">
      <alignment vertical="center" wrapText="1"/>
    </xf>
    <xf numFmtId="0" fontId="0" fillId="0" borderId="26" xfId="0" applyBorder="1" applyAlignment="1">
      <alignment vertical="center" wrapText="1"/>
    </xf>
    <xf numFmtId="0" fontId="0" fillId="0" borderId="39" xfId="0" applyBorder="1" applyAlignment="1">
      <alignment vertical="center" wrapText="1"/>
    </xf>
    <xf numFmtId="0" fontId="0" fillId="0" borderId="41" xfId="0" applyBorder="1" applyAlignment="1">
      <alignment vertical="center" wrapText="1"/>
    </xf>
    <xf numFmtId="167" fontId="0" fillId="0" borderId="47" xfId="0" applyNumberFormat="1" applyBorder="1" applyAlignment="1">
      <alignment vertical="center" wrapText="1"/>
    </xf>
    <xf numFmtId="0" fontId="0" fillId="0" borderId="16" xfId="0" applyBorder="1" applyAlignment="1">
      <alignment horizontal="center"/>
    </xf>
    <xf numFmtId="10" fontId="0" fillId="0" borderId="16" xfId="0" applyNumberFormat="1" applyBorder="1" applyAlignment="1">
      <alignment horizontal="center"/>
    </xf>
    <xf numFmtId="10" fontId="0" fillId="0" borderId="16" xfId="1" applyNumberFormat="1" applyFont="1" applyFill="1" applyBorder="1" applyAlignment="1">
      <alignment horizontal="center"/>
    </xf>
    <xf numFmtId="0" fontId="107" fillId="0" borderId="16" xfId="0" applyFont="1" applyBorder="1" applyAlignment="1">
      <alignment horizontal="center"/>
    </xf>
    <xf numFmtId="10" fontId="107" fillId="0" borderId="16" xfId="0" applyNumberFormat="1" applyFont="1" applyBorder="1" applyAlignment="1">
      <alignment horizontal="center"/>
    </xf>
    <xf numFmtId="167" fontId="107" fillId="0" borderId="16" xfId="0" applyNumberFormat="1" applyFont="1" applyBorder="1" applyAlignment="1">
      <alignment horizontal="center"/>
    </xf>
    <xf numFmtId="167" fontId="2" fillId="0" borderId="16" xfId="0" applyNumberFormat="1" applyFont="1" applyBorder="1" applyAlignment="1">
      <alignment horizontal="center"/>
    </xf>
    <xf numFmtId="167" fontId="0" fillId="0" borderId="16" xfId="0" applyNumberFormat="1" applyBorder="1" applyAlignment="1">
      <alignment horizontal="center"/>
    </xf>
    <xf numFmtId="178" fontId="0" fillId="0" borderId="0" xfId="1" applyNumberFormat="1" applyFont="1" applyAlignment="1">
      <alignment horizontal="center"/>
    </xf>
    <xf numFmtId="0" fontId="94" fillId="0" borderId="0" xfId="0" applyFont="1"/>
    <xf numFmtId="0" fontId="3" fillId="0" borderId="16" xfId="0" applyFont="1" applyBorder="1" applyAlignment="1">
      <alignment vertical="center" wrapText="1"/>
    </xf>
    <xf numFmtId="165" fontId="0" fillId="0" borderId="16" xfId="376" applyNumberFormat="1" applyFont="1" applyFill="1" applyBorder="1"/>
    <xf numFmtId="175" fontId="0" fillId="0" borderId="16" xfId="376" applyNumberFormat="1" applyFont="1" applyFill="1" applyBorder="1"/>
    <xf numFmtId="167" fontId="0" fillId="0" borderId="16" xfId="1" applyNumberFormat="1" applyFont="1" applyFill="1" applyBorder="1"/>
    <xf numFmtId="0" fontId="101" fillId="0" borderId="16" xfId="0" applyFont="1" applyBorder="1" applyAlignment="1">
      <alignment horizontal="center" vertical="center" wrapText="1"/>
    </xf>
    <xf numFmtId="0" fontId="2" fillId="0" borderId="16" xfId="0" applyFont="1" applyBorder="1" applyAlignment="1">
      <alignment horizontal="center"/>
    </xf>
    <xf numFmtId="167" fontId="0" fillId="0" borderId="16" xfId="0" applyNumberFormat="1" applyBorder="1"/>
    <xf numFmtId="10" fontId="0" fillId="0" borderId="16" xfId="0" applyNumberFormat="1" applyBorder="1"/>
    <xf numFmtId="10" fontId="0" fillId="0" borderId="0" xfId="1" applyNumberFormat="1" applyFont="1" applyFill="1"/>
    <xf numFmtId="0" fontId="122" fillId="0" borderId="16" xfId="0" applyFont="1" applyBorder="1" applyAlignment="1">
      <alignment horizontal="center"/>
    </xf>
    <xf numFmtId="167" fontId="0" fillId="0" borderId="16" xfId="1" applyNumberFormat="1" applyFont="1" applyFill="1" applyBorder="1" applyAlignment="1">
      <alignment horizontal="center" vertical="center"/>
    </xf>
    <xf numFmtId="176" fontId="0" fillId="0" borderId="0" xfId="376" applyNumberFormat="1" applyFont="1" applyFill="1"/>
    <xf numFmtId="176" fontId="0" fillId="0" borderId="0" xfId="376" applyNumberFormat="1" applyFont="1" applyFill="1" applyBorder="1"/>
    <xf numFmtId="10" fontId="0" fillId="0" borderId="0" xfId="1" applyNumberFormat="1" applyFont="1" applyFill="1" applyBorder="1"/>
    <xf numFmtId="0" fontId="2" fillId="0" borderId="16" xfId="0" applyFont="1" applyBorder="1" applyAlignment="1">
      <alignment horizontal="center" vertical="center"/>
    </xf>
    <xf numFmtId="167" fontId="2" fillId="0" borderId="16" xfId="1" applyNumberFormat="1" applyFont="1" applyFill="1" applyBorder="1" applyAlignment="1">
      <alignment horizontal="center"/>
    </xf>
    <xf numFmtId="9" fontId="0" fillId="0" borderId="16" xfId="1" applyFont="1" applyFill="1" applyBorder="1" applyAlignment="1">
      <alignment horizontal="center"/>
    </xf>
    <xf numFmtId="0" fontId="0" fillId="0" borderId="26" xfId="0" applyBorder="1" applyAlignment="1">
      <alignment horizontal="center" vertical="center"/>
    </xf>
    <xf numFmtId="0" fontId="2" fillId="0" borderId="0" xfId="0" applyFont="1" applyAlignment="1">
      <alignment horizontal="left"/>
    </xf>
    <xf numFmtId="177" fontId="0" fillId="0" borderId="0" xfId="376" applyNumberFormat="1" applyFont="1" applyFill="1" applyBorder="1" applyAlignment="1">
      <alignment horizontal="center"/>
    </xf>
    <xf numFmtId="0" fontId="107" fillId="0" borderId="0" xfId="0" applyFont="1" applyAlignment="1">
      <alignment horizontal="left"/>
    </xf>
    <xf numFmtId="0" fontId="0" fillId="0" borderId="47" xfId="0" applyBorder="1" applyAlignment="1">
      <alignment horizontal="center" vertical="center"/>
    </xf>
    <xf numFmtId="0" fontId="0" fillId="0" borderId="47" xfId="0" applyBorder="1" applyAlignment="1">
      <alignment horizontal="center" wrapText="1"/>
    </xf>
    <xf numFmtId="10" fontId="0" fillId="0" borderId="16" xfId="1" applyNumberFormat="1" applyFont="1" applyFill="1" applyBorder="1" applyAlignment="1">
      <alignment horizontal="center" vertical="center"/>
    </xf>
    <xf numFmtId="9" fontId="0" fillId="0" borderId="16" xfId="0" applyNumberFormat="1" applyBorder="1" applyAlignment="1">
      <alignment horizontal="center"/>
    </xf>
    <xf numFmtId="9" fontId="0" fillId="0" borderId="0" xfId="1" applyFont="1" applyBorder="1" applyAlignment="1">
      <alignment horizontal="center"/>
    </xf>
    <xf numFmtId="0" fontId="0" fillId="0" borderId="29" xfId="0" applyBorder="1" applyAlignment="1">
      <alignment horizontal="center"/>
    </xf>
    <xf numFmtId="9" fontId="0" fillId="0" borderId="16" xfId="1" applyFont="1" applyBorder="1" applyAlignment="1">
      <alignment horizontal="center"/>
    </xf>
    <xf numFmtId="0" fontId="0" fillId="0" borderId="26" xfId="0" applyBorder="1" applyAlignment="1">
      <alignment horizontal="center"/>
    </xf>
    <xf numFmtId="0" fontId="0" fillId="0" borderId="41" xfId="0" applyBorder="1" applyAlignment="1">
      <alignment horizontal="center"/>
    </xf>
    <xf numFmtId="0" fontId="134" fillId="71" borderId="0" xfId="0" applyFont="1" applyFill="1" applyAlignment="1">
      <alignment horizontal="center" vertical="center" wrapText="1"/>
    </xf>
    <xf numFmtId="0" fontId="107" fillId="71" borderId="0" xfId="0" applyFont="1" applyFill="1" applyAlignment="1">
      <alignment horizontal="left" vertical="center"/>
    </xf>
    <xf numFmtId="0" fontId="107" fillId="71" borderId="0" xfId="0" applyFont="1" applyFill="1" applyAlignment="1">
      <alignment horizontal="center" vertical="center"/>
    </xf>
    <xf numFmtId="0" fontId="141" fillId="0" borderId="0" xfId="0" applyFont="1"/>
    <xf numFmtId="10" fontId="107" fillId="81" borderId="0" xfId="0" applyNumberFormat="1" applyFont="1" applyFill="1" applyAlignment="1">
      <alignment horizontal="center"/>
    </xf>
    <xf numFmtId="0" fontId="0" fillId="71" borderId="0" xfId="0" applyFill="1" applyAlignment="1">
      <alignment horizontal="center" vertical="center"/>
    </xf>
    <xf numFmtId="0" fontId="107" fillId="0" borderId="16" xfId="0" applyFont="1" applyBorder="1" applyAlignment="1">
      <alignment horizontal="center" vertical="center"/>
    </xf>
    <xf numFmtId="167" fontId="107" fillId="0" borderId="16" xfId="1" applyNumberFormat="1" applyFont="1" applyFill="1" applyBorder="1" applyAlignment="1">
      <alignment horizontal="center" vertical="center"/>
    </xf>
    <xf numFmtId="10" fontId="107" fillId="0" borderId="16" xfId="1" applyNumberFormat="1" applyFont="1" applyFill="1" applyBorder="1" applyAlignment="1">
      <alignment horizontal="center"/>
    </xf>
    <xf numFmtId="0" fontId="107" fillId="0" borderId="41" xfId="0" applyFont="1" applyBorder="1" applyAlignment="1">
      <alignment horizontal="center"/>
    </xf>
    <xf numFmtId="0" fontId="107" fillId="0" borderId="16" xfId="0" applyFont="1" applyBorder="1" applyAlignment="1">
      <alignment horizontal="center" vertical="center" wrapText="1"/>
    </xf>
    <xf numFmtId="0" fontId="122" fillId="0" borderId="0" xfId="0" applyFont="1" applyAlignment="1">
      <alignment horizontal="center" vertical="center"/>
    </xf>
    <xf numFmtId="0" fontId="107" fillId="0" borderId="44" xfId="0" applyFont="1" applyBorder="1" applyAlignment="1">
      <alignment horizontal="center" vertical="center"/>
    </xf>
    <xf numFmtId="0" fontId="107" fillId="0" borderId="26" xfId="0" applyFont="1" applyBorder="1" applyAlignment="1">
      <alignment horizontal="center" vertical="center"/>
    </xf>
    <xf numFmtId="0" fontId="132" fillId="0" borderId="16" xfId="0" applyFont="1" applyBorder="1" applyAlignment="1">
      <alignment horizontal="center" vertical="center" wrapText="1"/>
    </xf>
    <xf numFmtId="0" fontId="122" fillId="0" borderId="29" xfId="0" applyFont="1" applyBorder="1" applyAlignment="1">
      <alignment horizontal="center"/>
    </xf>
    <xf numFmtId="167" fontId="0" fillId="0" borderId="29" xfId="1" applyNumberFormat="1" applyFont="1" applyFill="1" applyBorder="1" applyAlignment="1">
      <alignment horizontal="center"/>
    </xf>
    <xf numFmtId="0" fontId="122" fillId="0" borderId="0" xfId="0" applyFont="1" applyAlignment="1">
      <alignment horizontal="center"/>
    </xf>
    <xf numFmtId="167" fontId="0" fillId="0" borderId="0" xfId="1" applyNumberFormat="1" applyFont="1" applyFill="1" applyBorder="1" applyAlignment="1">
      <alignment horizontal="center"/>
    </xf>
    <xf numFmtId="9" fontId="136" fillId="0" borderId="0" xfId="1" applyFont="1" applyFill="1"/>
    <xf numFmtId="1" fontId="0" fillId="0" borderId="0" xfId="1" applyNumberFormat="1" applyFont="1" applyFill="1"/>
    <xf numFmtId="167" fontId="1" fillId="0" borderId="16" xfId="1" applyNumberFormat="1" applyFont="1" applyFill="1" applyBorder="1" applyAlignment="1">
      <alignment horizontal="center"/>
    </xf>
    <xf numFmtId="167" fontId="1" fillId="0" borderId="29" xfId="1" applyNumberFormat="1" applyFont="1" applyFill="1" applyBorder="1" applyAlignment="1">
      <alignment horizontal="center"/>
    </xf>
    <xf numFmtId="167" fontId="1" fillId="0" borderId="0" xfId="1" applyNumberFormat="1" applyFont="1" applyFill="1" applyBorder="1" applyAlignment="1">
      <alignment horizontal="center"/>
    </xf>
    <xf numFmtId="0" fontId="139" fillId="0" borderId="80" xfId="0" applyFont="1" applyBorder="1" applyAlignment="1">
      <alignment horizontal="center" vertical="center" wrapText="1"/>
    </xf>
    <xf numFmtId="0" fontId="113" fillId="0" borderId="109" xfId="0" applyFont="1" applyBorder="1" applyAlignment="1">
      <alignment horizontal="justify" vertical="center" wrapText="1"/>
    </xf>
    <xf numFmtId="0" fontId="113" fillId="0" borderId="80" xfId="0" applyFont="1" applyBorder="1" applyAlignment="1">
      <alignment horizontal="justify" vertical="center" wrapText="1"/>
    </xf>
    <xf numFmtId="0" fontId="127" fillId="78" borderId="79" xfId="0" applyFont="1" applyFill="1" applyBorder="1" applyAlignment="1">
      <alignment horizontal="justify" vertical="center" wrapText="1"/>
    </xf>
    <xf numFmtId="0" fontId="127" fillId="78" borderId="81" xfId="0" applyFont="1" applyFill="1" applyBorder="1" applyAlignment="1">
      <alignment horizontal="justify" vertical="center" wrapText="1"/>
    </xf>
    <xf numFmtId="0" fontId="127" fillId="78" borderId="81" xfId="0" applyFont="1" applyFill="1" applyBorder="1" applyAlignment="1">
      <alignment vertical="center" wrapText="1"/>
    </xf>
    <xf numFmtId="0" fontId="127" fillId="78" borderId="81" xfId="0" applyFont="1" applyFill="1" applyBorder="1" applyAlignment="1">
      <alignment horizontal="left" vertical="center" wrapText="1"/>
    </xf>
    <xf numFmtId="175" fontId="114" fillId="0" borderId="0" xfId="376" applyNumberFormat="1" applyFont="1" applyFill="1" applyBorder="1" applyAlignment="1">
      <alignment vertical="center"/>
    </xf>
    <xf numFmtId="0" fontId="115" fillId="0" borderId="47" xfId="0" applyFont="1" applyBorder="1"/>
    <xf numFmtId="175" fontId="115" fillId="0" borderId="47" xfId="0" applyNumberFormat="1" applyFont="1" applyBorder="1" applyAlignment="1">
      <alignment vertical="center"/>
    </xf>
    <xf numFmtId="175" fontId="114" fillId="0" borderId="47" xfId="376" applyNumberFormat="1" applyFont="1" applyFill="1" applyBorder="1" applyAlignment="1">
      <alignment vertical="center"/>
    </xf>
    <xf numFmtId="0" fontId="117" fillId="0" borderId="109" xfId="0" applyFont="1" applyBorder="1" applyAlignment="1">
      <alignment horizontal="justify" vertical="center"/>
    </xf>
    <xf numFmtId="0" fontId="117" fillId="0" borderId="80" xfId="0" applyFont="1" applyBorder="1" applyAlignment="1">
      <alignment horizontal="justify" vertical="center"/>
    </xf>
    <xf numFmtId="0" fontId="127" fillId="0" borderId="51" xfId="0" applyFont="1" applyBorder="1" applyAlignment="1">
      <alignment horizontal="justify" vertical="center"/>
    </xf>
    <xf numFmtId="0" fontId="137" fillId="0" borderId="79" xfId="0" applyFont="1" applyBorder="1" applyAlignment="1">
      <alignment horizontal="justify" vertical="center"/>
    </xf>
    <xf numFmtId="0" fontId="127" fillId="0" borderId="81" xfId="0" applyFont="1" applyBorder="1" applyAlignment="1">
      <alignment horizontal="justify" vertical="center"/>
    </xf>
    <xf numFmtId="0" fontId="127" fillId="0" borderId="81" xfId="0" applyFont="1" applyBorder="1" applyAlignment="1">
      <alignment vertical="center"/>
    </xf>
    <xf numFmtId="0" fontId="127" fillId="0" borderId="51" xfId="0" applyFont="1" applyBorder="1" applyAlignment="1">
      <alignment vertical="center"/>
    </xf>
    <xf numFmtId="0" fontId="112" fillId="0" borderId="81" xfId="0" applyFont="1" applyBorder="1" applyAlignment="1">
      <alignment vertical="center"/>
    </xf>
    <xf numFmtId="0" fontId="155" fillId="0" borderId="0" xfId="0" applyFont="1" applyAlignment="1">
      <alignment horizontal="justify" vertical="center"/>
    </xf>
    <xf numFmtId="0" fontId="62" fillId="0" borderId="0" xfId="378" applyAlignment="1">
      <alignment horizontal="justify" vertical="center"/>
    </xf>
    <xf numFmtId="0" fontId="114" fillId="0" borderId="0" xfId="0" applyFont="1" applyAlignment="1">
      <alignment horizontal="justify" vertical="center"/>
    </xf>
    <xf numFmtId="0" fontId="154" fillId="0" borderId="51" xfId="0" applyFont="1" applyBorder="1" applyAlignment="1">
      <alignment vertical="center"/>
    </xf>
    <xf numFmtId="0" fontId="62" fillId="0" borderId="81" xfId="378" applyBorder="1" applyAlignment="1">
      <alignment vertical="center"/>
    </xf>
    <xf numFmtId="9" fontId="0" fillId="0" borderId="39" xfId="0" applyNumberFormat="1" applyBorder="1" applyAlignment="1">
      <alignment vertical="center" wrapText="1"/>
    </xf>
    <xf numFmtId="9" fontId="2" fillId="0" borderId="0" xfId="1" applyFont="1" applyFill="1"/>
    <xf numFmtId="167" fontId="0" fillId="0" borderId="0" xfId="1" applyNumberFormat="1" applyFont="1" applyFill="1" applyBorder="1" applyAlignment="1">
      <alignment horizontal="center" vertical="center"/>
    </xf>
    <xf numFmtId="1" fontId="0" fillId="0" borderId="0" xfId="1" applyNumberFormat="1" applyFont="1" applyFill="1" applyBorder="1"/>
    <xf numFmtId="0" fontId="107" fillId="0" borderId="16" xfId="0" applyFont="1" applyBorder="1"/>
    <xf numFmtId="0" fontId="134" fillId="0" borderId="16" xfId="0" applyFont="1" applyBorder="1" applyAlignment="1">
      <alignment horizontal="center"/>
    </xf>
    <xf numFmtId="9" fontId="107" fillId="0" borderId="16" xfId="1" applyFont="1" applyFill="1" applyBorder="1"/>
    <xf numFmtId="167" fontId="107" fillId="0" borderId="16" xfId="1" applyNumberFormat="1" applyFont="1" applyFill="1" applyBorder="1"/>
    <xf numFmtId="167" fontId="107" fillId="0" borderId="16" xfId="0" applyNumberFormat="1" applyFont="1" applyBorder="1"/>
    <xf numFmtId="0" fontId="132" fillId="0" borderId="16" xfId="0" applyFont="1" applyBorder="1" applyAlignment="1">
      <alignment vertical="center" wrapText="1"/>
    </xf>
    <xf numFmtId="0" fontId="156" fillId="0" borderId="16" xfId="0" applyFont="1" applyBorder="1" applyAlignment="1">
      <alignment horizontal="center" vertical="center" wrapText="1"/>
    </xf>
    <xf numFmtId="165" fontId="107" fillId="0" borderId="16" xfId="376" applyNumberFormat="1" applyFont="1" applyFill="1" applyBorder="1"/>
    <xf numFmtId="175" fontId="107" fillId="0" borderId="16" xfId="376" applyNumberFormat="1" applyFont="1" applyFill="1" applyBorder="1"/>
    <xf numFmtId="0" fontId="0" fillId="0" borderId="0" xfId="0" applyAlignment="1">
      <alignment horizontal="center" vertical="center" wrapText="1"/>
    </xf>
    <xf numFmtId="9" fontId="0" fillId="0" borderId="0" xfId="1" applyFont="1" applyFill="1" applyBorder="1" applyAlignment="1">
      <alignment horizontal="center"/>
    </xf>
    <xf numFmtId="0" fontId="100" fillId="0" borderId="0" xfId="0" applyFont="1" applyAlignment="1">
      <alignment horizontal="center"/>
    </xf>
    <xf numFmtId="0" fontId="117" fillId="0" borderId="0" xfId="0" applyFont="1" applyAlignment="1">
      <alignment horizontal="center" vertical="center" wrapText="1"/>
    </xf>
    <xf numFmtId="0" fontId="131" fillId="0" borderId="0" xfId="0" applyFont="1"/>
    <xf numFmtId="9" fontId="94" fillId="0" borderId="0" xfId="0" applyNumberFormat="1" applyFont="1" applyAlignment="1">
      <alignment wrapText="1"/>
    </xf>
    <xf numFmtId="9" fontId="0" fillId="0" borderId="29" xfId="1" applyFont="1" applyFill="1" applyBorder="1" applyAlignment="1">
      <alignment horizontal="center"/>
    </xf>
    <xf numFmtId="9" fontId="134" fillId="0" borderId="0" xfId="0" applyNumberFormat="1" applyFont="1"/>
    <xf numFmtId="9" fontId="134" fillId="0" borderId="0" xfId="1" applyFont="1"/>
    <xf numFmtId="1" fontId="3" fillId="0" borderId="24" xfId="376" applyNumberFormat="1" applyFont="1" applyFill="1" applyBorder="1" applyAlignment="1">
      <alignment horizontal="center" vertical="center" wrapText="1"/>
    </xf>
    <xf numFmtId="0" fontId="157" fillId="0" borderId="0" xfId="0" applyFont="1"/>
    <xf numFmtId="0" fontId="157" fillId="0" borderId="0" xfId="0" applyFont="1" applyAlignment="1">
      <alignment vertical="center" wrapText="1"/>
    </xf>
    <xf numFmtId="0" fontId="0" fillId="0" borderId="16" xfId="0" applyBorder="1" applyAlignment="1">
      <alignment horizontal="center" vertical="center" wrapText="1"/>
    </xf>
    <xf numFmtId="9" fontId="1" fillId="0" borderId="16" xfId="1" applyFont="1" applyFill="1" applyBorder="1" applyAlignment="1">
      <alignment horizontal="center"/>
    </xf>
    <xf numFmtId="0" fontId="2" fillId="0" borderId="0" xfId="0" applyFont="1" applyAlignment="1">
      <alignment horizontal="center"/>
    </xf>
    <xf numFmtId="0" fontId="107" fillId="0" borderId="42" xfId="0" applyFont="1" applyBorder="1" applyAlignment="1">
      <alignment horizontal="center" vertical="center"/>
    </xf>
    <xf numFmtId="9" fontId="107" fillId="0" borderId="16" xfId="1" applyFont="1" applyFill="1" applyBorder="1" applyAlignment="1">
      <alignment horizontal="center"/>
    </xf>
    <xf numFmtId="0" fontId="107" fillId="0" borderId="40" xfId="0" applyFont="1" applyBorder="1" applyAlignment="1">
      <alignment horizontal="center" vertical="center"/>
    </xf>
    <xf numFmtId="9" fontId="107" fillId="0" borderId="16" xfId="1" applyFont="1" applyFill="1" applyBorder="1" applyAlignment="1">
      <alignment horizontal="center" vertical="center"/>
    </xf>
    <xf numFmtId="0" fontId="107" fillId="0" borderId="29" xfId="0" applyFont="1" applyBorder="1" applyAlignment="1">
      <alignment horizontal="center" vertical="center"/>
    </xf>
    <xf numFmtId="0" fontId="148" fillId="0" borderId="40" xfId="0" applyFont="1" applyBorder="1" applyAlignment="1">
      <alignment vertical="center"/>
    </xf>
    <xf numFmtId="167" fontId="148" fillId="84" borderId="40" xfId="0" applyNumberFormat="1" applyFont="1" applyFill="1" applyBorder="1" applyAlignment="1">
      <alignment horizontal="center" vertical="center" wrapText="1"/>
    </xf>
    <xf numFmtId="167" fontId="148" fillId="84" borderId="47" xfId="0" applyNumberFormat="1" applyFont="1" applyFill="1" applyBorder="1" applyAlignment="1">
      <alignment horizontal="center" vertical="center" wrapText="1"/>
    </xf>
    <xf numFmtId="167" fontId="148" fillId="84" borderId="41" xfId="0" applyNumberFormat="1" applyFont="1" applyFill="1" applyBorder="1" applyAlignment="1">
      <alignment horizontal="center" vertical="center" wrapText="1"/>
    </xf>
    <xf numFmtId="167" fontId="119" fillId="0" borderId="40" xfId="0" applyNumberFormat="1" applyFont="1" applyBorder="1" applyAlignment="1">
      <alignment horizontal="center" vertical="center"/>
    </xf>
    <xf numFmtId="167" fontId="119" fillId="0" borderId="47" xfId="0" applyNumberFormat="1" applyFont="1" applyBorder="1" applyAlignment="1">
      <alignment horizontal="center" vertical="center"/>
    </xf>
    <xf numFmtId="167" fontId="119" fillId="0" borderId="41" xfId="0" applyNumberFormat="1" applyFont="1" applyBorder="1" applyAlignment="1">
      <alignment horizontal="center" vertical="center"/>
    </xf>
    <xf numFmtId="178" fontId="149" fillId="0" borderId="47" xfId="0" applyNumberFormat="1" applyFont="1" applyBorder="1" applyAlignment="1">
      <alignment horizontal="center" vertical="center" wrapText="1"/>
    </xf>
    <xf numFmtId="178" fontId="149" fillId="0" borderId="41" xfId="0" applyNumberFormat="1" applyFont="1" applyBorder="1" applyAlignment="1">
      <alignment horizontal="center" vertical="center"/>
    </xf>
    <xf numFmtId="0" fontId="140" fillId="0" borderId="79" xfId="0" applyFont="1" applyBorder="1" applyAlignment="1">
      <alignment horizontal="left" vertical="center"/>
    </xf>
    <xf numFmtId="0" fontId="152" fillId="0" borderId="80" xfId="0" applyFont="1" applyBorder="1" applyAlignment="1">
      <alignment horizontal="left" vertical="center"/>
    </xf>
    <xf numFmtId="0" fontId="140" fillId="0" borderId="81" xfId="0" applyFont="1" applyBorder="1" applyAlignment="1">
      <alignment horizontal="left" vertical="center"/>
    </xf>
    <xf numFmtId="0" fontId="140" fillId="0" borderId="81" xfId="0" applyFont="1" applyBorder="1" applyAlignment="1">
      <alignment horizontal="left" vertical="center" wrapText="1"/>
    </xf>
    <xf numFmtId="10" fontId="140" fillId="0" borderId="81" xfId="0" applyNumberFormat="1" applyFont="1" applyBorder="1" applyAlignment="1">
      <alignment horizontal="left" vertical="center" wrapText="1"/>
    </xf>
    <xf numFmtId="3" fontId="152" fillId="0" borderId="80" xfId="0" applyNumberFormat="1" applyFont="1" applyBorder="1" applyAlignment="1">
      <alignment horizontal="left" vertical="center"/>
    </xf>
    <xf numFmtId="0" fontId="152" fillId="0" borderId="81" xfId="0" applyFont="1" applyBorder="1" applyAlignment="1">
      <alignment horizontal="left" vertical="center"/>
    </xf>
    <xf numFmtId="3" fontId="152" fillId="0" borderId="81" xfId="0" applyNumberFormat="1" applyFont="1" applyBorder="1" applyAlignment="1">
      <alignment horizontal="left" vertical="center"/>
    </xf>
    <xf numFmtId="0" fontId="140" fillId="0" borderId="49" xfId="0" applyFont="1" applyBorder="1" applyAlignment="1">
      <alignment horizontal="left" vertical="center"/>
    </xf>
    <xf numFmtId="0" fontId="152" fillId="0" borderId="49" xfId="0" applyFont="1" applyBorder="1" applyAlignment="1">
      <alignment horizontal="left" vertical="center"/>
    </xf>
    <xf numFmtId="0" fontId="140" fillId="0" borderId="51" xfId="0" applyFont="1" applyBorder="1" applyAlignment="1">
      <alignment horizontal="left" vertical="center" wrapText="1"/>
    </xf>
    <xf numFmtId="10" fontId="140" fillId="0" borderId="49" xfId="0" applyNumberFormat="1" applyFont="1" applyBorder="1" applyAlignment="1">
      <alignment horizontal="left" vertical="center" wrapText="1"/>
    </xf>
    <xf numFmtId="3" fontId="152" fillId="0" borderId="49" xfId="0" applyNumberFormat="1" applyFont="1" applyBorder="1" applyAlignment="1">
      <alignment horizontal="left" vertical="center"/>
    </xf>
    <xf numFmtId="0" fontId="140" fillId="0" borderId="50" xfId="0" applyFont="1" applyBorder="1" applyAlignment="1">
      <alignment horizontal="left" vertical="center"/>
    </xf>
    <xf numFmtId="0" fontId="152" fillId="0" borderId="50" xfId="0" applyFont="1" applyBorder="1" applyAlignment="1">
      <alignment horizontal="left" vertical="center"/>
    </xf>
    <xf numFmtId="0" fontId="139" fillId="0" borderId="51" xfId="0" applyFont="1" applyBorder="1" applyAlignment="1">
      <alignment horizontal="left" vertical="center" wrapText="1"/>
    </xf>
    <xf numFmtId="10" fontId="140" fillId="0" borderId="50" xfId="0" applyNumberFormat="1" applyFont="1" applyBorder="1" applyAlignment="1">
      <alignment horizontal="left" vertical="center" wrapText="1"/>
    </xf>
    <xf numFmtId="3" fontId="152" fillId="0" borderId="50" xfId="0" applyNumberFormat="1" applyFont="1" applyBorder="1" applyAlignment="1">
      <alignment horizontal="left" vertical="center"/>
    </xf>
    <xf numFmtId="0" fontId="152" fillId="0" borderId="79" xfId="0" applyFont="1" applyBorder="1" applyAlignment="1">
      <alignment horizontal="left" vertical="center"/>
    </xf>
    <xf numFmtId="0" fontId="139" fillId="0" borderId="81" xfId="0" applyFont="1" applyBorder="1" applyAlignment="1">
      <alignment horizontal="left" vertical="center" wrapText="1"/>
    </xf>
    <xf numFmtId="10" fontId="140" fillId="0" borderId="79" xfId="0" applyNumberFormat="1" applyFont="1" applyBorder="1" applyAlignment="1">
      <alignment horizontal="left" vertical="center" wrapText="1"/>
    </xf>
    <xf numFmtId="3" fontId="152" fillId="0" borderId="79" xfId="0" applyNumberFormat="1" applyFont="1" applyBorder="1" applyAlignment="1">
      <alignment horizontal="left" vertical="center"/>
    </xf>
    <xf numFmtId="0" fontId="0" fillId="0" borderId="81" xfId="0" applyBorder="1" applyAlignment="1">
      <alignment horizontal="left" vertical="center"/>
    </xf>
    <xf numFmtId="0" fontId="0" fillId="0" borderId="49" xfId="0" applyBorder="1" applyAlignment="1">
      <alignment horizontal="left" vertical="center"/>
    </xf>
    <xf numFmtId="0" fontId="0" fillId="0" borderId="50" xfId="0" applyBorder="1" applyAlignment="1">
      <alignment horizontal="left" vertical="center"/>
    </xf>
    <xf numFmtId="0" fontId="0" fillId="0" borderId="79" xfId="0" applyBorder="1" applyAlignment="1">
      <alignment horizontal="left" vertical="center"/>
    </xf>
    <xf numFmtId="10" fontId="140" fillId="0" borderId="86" xfId="0" applyNumberFormat="1" applyFont="1" applyBorder="1" applyAlignment="1">
      <alignment horizontal="left" vertical="center" wrapText="1"/>
    </xf>
    <xf numFmtId="10" fontId="140" fillId="0" borderId="80" xfId="0" applyNumberFormat="1" applyFont="1" applyBorder="1" applyAlignment="1">
      <alignment horizontal="left" vertical="center" wrapText="1"/>
    </xf>
    <xf numFmtId="0" fontId="112" fillId="0" borderId="79" xfId="0" applyFont="1" applyBorder="1" applyAlignment="1">
      <alignment horizontal="left" vertical="center"/>
    </xf>
    <xf numFmtId="10" fontId="140" fillId="0" borderId="86" xfId="0" applyNumberFormat="1" applyFont="1" applyBorder="1" applyAlignment="1">
      <alignment horizontal="left" vertical="center"/>
    </xf>
    <xf numFmtId="10" fontId="140" fillId="0" borderId="62" xfId="0" applyNumberFormat="1" applyFont="1" applyBorder="1" applyAlignment="1">
      <alignment horizontal="left" vertical="center"/>
    </xf>
    <xf numFmtId="10" fontId="140" fillId="0" borderId="80" xfId="0" applyNumberFormat="1" applyFont="1" applyBorder="1" applyAlignment="1">
      <alignment horizontal="left" vertical="center"/>
    </xf>
    <xf numFmtId="10" fontId="140" fillId="0" borderId="81" xfId="0" applyNumberFormat="1" applyFont="1" applyBorder="1" applyAlignment="1">
      <alignment horizontal="left" vertical="center"/>
    </xf>
    <xf numFmtId="0" fontId="127" fillId="0" borderId="43" xfId="0" applyFont="1" applyBorder="1" applyAlignment="1">
      <alignment horizontal="center" vertical="center" wrapText="1"/>
    </xf>
    <xf numFmtId="0" fontId="127" fillId="0" borderId="43" xfId="0" applyFont="1" applyBorder="1" applyAlignment="1">
      <alignment horizontal="center" vertical="center"/>
    </xf>
    <xf numFmtId="0" fontId="2" fillId="0" borderId="16" xfId="0" applyFont="1" applyBorder="1"/>
    <xf numFmtId="0" fontId="134" fillId="0" borderId="16" xfId="0" applyFont="1" applyBorder="1"/>
    <xf numFmtId="10" fontId="107" fillId="0" borderId="16" xfId="0" applyNumberFormat="1" applyFont="1" applyBorder="1"/>
    <xf numFmtId="0" fontId="131" fillId="0" borderId="0" xfId="0" applyFont="1" applyAlignment="1">
      <alignment vertical="center" wrapText="1"/>
    </xf>
    <xf numFmtId="167" fontId="94" fillId="0" borderId="0" xfId="0" applyNumberFormat="1" applyFont="1" applyAlignment="1">
      <alignment vertical="center" wrapText="1"/>
    </xf>
    <xf numFmtId="9" fontId="94" fillId="0" borderId="0" xfId="1" applyFont="1" applyBorder="1" applyAlignment="1">
      <alignment vertical="center" wrapText="1"/>
    </xf>
    <xf numFmtId="0" fontId="2" fillId="0" borderId="0" xfId="0" applyFont="1" applyAlignment="1">
      <alignment vertical="center"/>
    </xf>
    <xf numFmtId="0" fontId="94" fillId="66" borderId="45" xfId="0" applyFont="1" applyFill="1" applyBorder="1" applyAlignment="1">
      <alignment horizontal="center"/>
    </xf>
    <xf numFmtId="0" fontId="94" fillId="66" borderId="47" xfId="0" applyFont="1" applyFill="1" applyBorder="1" applyAlignment="1">
      <alignment horizontal="center"/>
    </xf>
    <xf numFmtId="0" fontId="94" fillId="66" borderId="37" xfId="0" applyFont="1" applyFill="1" applyBorder="1" applyAlignment="1">
      <alignment horizontal="center"/>
    </xf>
    <xf numFmtId="0" fontId="94" fillId="66" borderId="0" xfId="0" applyFont="1" applyFill="1" applyAlignment="1">
      <alignment horizontal="center"/>
    </xf>
    <xf numFmtId="0" fontId="95" fillId="66" borderId="37" xfId="0" applyFont="1" applyFill="1" applyBorder="1" applyAlignment="1">
      <alignment horizontal="center" vertical="center" wrapText="1"/>
    </xf>
    <xf numFmtId="0" fontId="95" fillId="66" borderId="0" xfId="0" applyFont="1" applyFill="1" applyAlignment="1">
      <alignment horizontal="center" vertical="center" wrapText="1"/>
    </xf>
    <xf numFmtId="0" fontId="95" fillId="66" borderId="45" xfId="0" applyFont="1" applyFill="1" applyBorder="1" applyAlignment="1">
      <alignment horizontal="center" vertical="center" wrapText="1"/>
    </xf>
    <xf numFmtId="0" fontId="95" fillId="66" borderId="47" xfId="0" applyFont="1" applyFill="1" applyBorder="1" applyAlignment="1">
      <alignment horizontal="center" vertical="center" wrapText="1"/>
    </xf>
    <xf numFmtId="0" fontId="97" fillId="0" borderId="0" xfId="0" applyFont="1" applyAlignment="1">
      <alignment horizontal="left" wrapText="1"/>
    </xf>
    <xf numFmtId="0" fontId="96" fillId="66" borderId="36" xfId="0" applyFont="1" applyFill="1" applyBorder="1" applyAlignment="1">
      <alignment horizontal="center"/>
    </xf>
    <xf numFmtId="0" fontId="96" fillId="66" borderId="45" xfId="0" applyFont="1" applyFill="1" applyBorder="1" applyAlignment="1">
      <alignment horizontal="center"/>
    </xf>
    <xf numFmtId="0" fontId="3" fillId="0" borderId="24" xfId="0" applyFont="1" applyBorder="1" applyAlignment="1">
      <alignment horizontal="center" vertical="center" wrapText="1"/>
    </xf>
    <xf numFmtId="0" fontId="100" fillId="0" borderId="0" xfId="0" applyFont="1" applyAlignment="1">
      <alignment horizontal="center" vertical="center" wrapText="1"/>
    </xf>
    <xf numFmtId="0" fontId="0" fillId="0" borderId="0" xfId="0" applyAlignment="1">
      <alignment horizontal="center" vertical="center" wrapText="1"/>
    </xf>
    <xf numFmtId="0" fontId="113" fillId="71" borderId="38" xfId="0" applyFont="1" applyFill="1" applyBorder="1" applyAlignment="1">
      <alignment horizontal="center" vertical="center" wrapText="1"/>
    </xf>
    <xf numFmtId="0" fontId="113" fillId="71" borderId="41" xfId="0" applyFont="1" applyFill="1" applyBorder="1" applyAlignment="1">
      <alignment horizontal="center" vertical="center" wrapText="1"/>
    </xf>
    <xf numFmtId="0" fontId="113" fillId="71" borderId="0" xfId="0" applyFont="1" applyFill="1" applyAlignment="1">
      <alignment horizontal="center" vertical="center" wrapText="1"/>
    </xf>
    <xf numFmtId="0" fontId="113" fillId="71" borderId="45" xfId="0" applyFont="1" applyFill="1" applyBorder="1" applyAlignment="1">
      <alignment horizontal="center" vertical="center" wrapText="1"/>
    </xf>
    <xf numFmtId="0" fontId="113" fillId="71" borderId="47" xfId="0" applyFont="1" applyFill="1" applyBorder="1" applyAlignment="1">
      <alignment horizontal="center" vertical="center" wrapText="1"/>
    </xf>
    <xf numFmtId="0" fontId="113" fillId="71" borderId="29" xfId="0" applyFont="1" applyFill="1" applyBorder="1" applyAlignment="1">
      <alignment horizontal="center" vertical="center" wrapText="1"/>
    </xf>
    <xf numFmtId="0" fontId="113" fillId="71" borderId="24" xfId="0" applyFont="1" applyFill="1" applyBorder="1" applyAlignment="1">
      <alignment horizontal="center" vertical="center" wrapText="1"/>
    </xf>
    <xf numFmtId="0" fontId="113" fillId="71" borderId="28" xfId="0" applyFont="1" applyFill="1" applyBorder="1" applyAlignment="1">
      <alignment horizontal="center" vertical="center" wrapText="1"/>
    </xf>
    <xf numFmtId="0" fontId="113" fillId="71" borderId="42" xfId="0" applyFont="1" applyFill="1" applyBorder="1" applyAlignment="1">
      <alignment horizontal="center" vertical="center" wrapText="1"/>
    </xf>
    <xf numFmtId="0" fontId="113" fillId="71" borderId="40" xfId="0" applyFont="1" applyFill="1" applyBorder="1" applyAlignment="1">
      <alignment horizontal="center" vertical="center" wrapText="1"/>
    </xf>
    <xf numFmtId="0" fontId="113" fillId="71" borderId="43" xfId="0" applyFont="1" applyFill="1" applyBorder="1" applyAlignment="1">
      <alignment horizontal="center" vertical="center" wrapText="1"/>
    </xf>
    <xf numFmtId="0" fontId="113" fillId="71" borderId="39" xfId="0" applyFont="1" applyFill="1" applyBorder="1" applyAlignment="1">
      <alignment horizontal="center" vertical="center" wrapText="1"/>
    </xf>
    <xf numFmtId="0" fontId="107" fillId="0" borderId="16" xfId="0" applyFont="1" applyBorder="1" applyAlignment="1">
      <alignment horizontal="center"/>
    </xf>
    <xf numFmtId="0" fontId="3" fillId="0" borderId="44"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45" xfId="0" applyFont="1" applyBorder="1" applyAlignment="1">
      <alignment horizontal="center" vertical="center" wrapText="1"/>
    </xf>
    <xf numFmtId="0" fontId="3" fillId="0" borderId="42" xfId="0" applyFont="1" applyBorder="1" applyAlignment="1">
      <alignment horizontal="center" vertical="center" wrapText="1"/>
    </xf>
    <xf numFmtId="0" fontId="3" fillId="0" borderId="38"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41"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28" xfId="0" applyFont="1" applyBorder="1" applyAlignment="1">
      <alignment horizontal="center" vertical="center" wrapText="1"/>
    </xf>
    <xf numFmtId="0" fontId="2" fillId="0" borderId="29" xfId="0" applyFont="1" applyBorder="1" applyAlignment="1">
      <alignment horizontal="center" vertical="center" wrapText="1"/>
    </xf>
    <xf numFmtId="0" fontId="2" fillId="0" borderId="24" xfId="0" applyFont="1" applyBorder="1" applyAlignment="1">
      <alignment horizontal="center" vertical="center" wrapText="1"/>
    </xf>
    <xf numFmtId="0" fontId="0" fillId="0" borderId="0" xfId="0" applyAlignment="1">
      <alignment horizontal="center"/>
    </xf>
    <xf numFmtId="0" fontId="2" fillId="0" borderId="45" xfId="0" applyFont="1" applyBorder="1" applyAlignment="1">
      <alignment horizontal="center" vertical="center" wrapText="1"/>
    </xf>
    <xf numFmtId="0" fontId="2" fillId="0" borderId="0" xfId="0" applyFont="1" applyAlignment="1">
      <alignment horizontal="center" vertical="center" wrapText="1"/>
    </xf>
    <xf numFmtId="0" fontId="2" fillId="0" borderId="47" xfId="0" applyFont="1" applyBorder="1" applyAlignment="1">
      <alignment horizontal="center" vertical="center" wrapText="1"/>
    </xf>
    <xf numFmtId="0" fontId="0" fillId="0" borderId="16" xfId="0" applyBorder="1" applyAlignment="1">
      <alignment horizontal="center"/>
    </xf>
    <xf numFmtId="9" fontId="0" fillId="0" borderId="0" xfId="1" applyFont="1" applyAlignment="1">
      <alignment horizontal="center" wrapText="1"/>
    </xf>
    <xf numFmtId="0" fontId="2" fillId="0" borderId="38" xfId="0" applyFont="1" applyBorder="1" applyAlignment="1">
      <alignment horizontal="center" vertical="center" wrapText="1"/>
    </xf>
    <xf numFmtId="0" fontId="2" fillId="0" borderId="39" xfId="0" applyFont="1" applyBorder="1" applyAlignment="1">
      <alignment horizontal="center" vertical="center" wrapText="1"/>
    </xf>
    <xf numFmtId="0" fontId="2" fillId="0" borderId="41" xfId="0" applyFont="1" applyBorder="1" applyAlignment="1">
      <alignment horizontal="center" vertical="center" wrapText="1"/>
    </xf>
    <xf numFmtId="0" fontId="3" fillId="0" borderId="16" xfId="0" applyFont="1" applyBorder="1" applyAlignment="1">
      <alignment horizontal="center" vertical="center" wrapText="1"/>
    </xf>
    <xf numFmtId="0" fontId="0" fillId="0" borderId="16" xfId="0" applyBorder="1" applyAlignment="1">
      <alignment horizontal="center" vertical="center"/>
    </xf>
    <xf numFmtId="0" fontId="0" fillId="0" borderId="44" xfId="0" applyBorder="1" applyAlignment="1">
      <alignment horizontal="center" vertical="center"/>
    </xf>
    <xf numFmtId="0" fontId="0" fillId="0" borderId="26" xfId="0" applyBorder="1" applyAlignment="1">
      <alignment horizontal="center" vertical="center"/>
    </xf>
    <xf numFmtId="0" fontId="0" fillId="71" borderId="44" xfId="0" applyFill="1" applyBorder="1" applyAlignment="1">
      <alignment horizontal="center" vertical="center"/>
    </xf>
    <xf numFmtId="0" fontId="0" fillId="71" borderId="26" xfId="0" applyFill="1" applyBorder="1" applyAlignment="1">
      <alignment horizontal="center" vertical="center"/>
    </xf>
    <xf numFmtId="0" fontId="2" fillId="0" borderId="44" xfId="0" applyFont="1" applyBorder="1" applyAlignment="1">
      <alignment horizontal="center"/>
    </xf>
    <xf numFmtId="0" fontId="2" fillId="0" borderId="26" xfId="0" applyFont="1" applyBorder="1" applyAlignment="1">
      <alignment horizontal="center"/>
    </xf>
    <xf numFmtId="0" fontId="96" fillId="72" borderId="0" xfId="0" applyFont="1" applyFill="1" applyAlignment="1">
      <alignment horizontal="center" vertical="center" wrapText="1"/>
    </xf>
    <xf numFmtId="0" fontId="96" fillId="72" borderId="117" xfId="0" applyFont="1" applyFill="1" applyBorder="1" applyAlignment="1">
      <alignment horizontal="center" vertical="center" wrapText="1"/>
    </xf>
    <xf numFmtId="0" fontId="0" fillId="0" borderId="44" xfId="0" applyBorder="1" applyAlignment="1">
      <alignment horizontal="center"/>
    </xf>
    <xf numFmtId="0" fontId="0" fillId="0" borderId="26" xfId="0" applyBorder="1" applyAlignment="1">
      <alignment horizontal="center"/>
    </xf>
    <xf numFmtId="0" fontId="3" fillId="0" borderId="47" xfId="0" applyFont="1" applyBorder="1" applyAlignment="1">
      <alignment horizontal="center" vertical="center" wrapText="1"/>
    </xf>
    <xf numFmtId="0" fontId="2" fillId="0" borderId="16" xfId="0" applyFont="1" applyBorder="1" applyAlignment="1">
      <alignment horizontal="center" vertical="center"/>
    </xf>
    <xf numFmtId="0" fontId="105" fillId="0" borderId="0" xfId="0" applyFont="1" applyAlignment="1">
      <alignment horizontal="left" vertical="center"/>
    </xf>
    <xf numFmtId="0" fontId="107" fillId="0" borderId="16" xfId="0" applyFont="1" applyBorder="1" applyAlignment="1">
      <alignment horizontal="center" vertical="center"/>
    </xf>
    <xf numFmtId="0" fontId="107" fillId="71" borderId="0" xfId="0" applyFont="1" applyFill="1" applyAlignment="1">
      <alignment horizontal="center" vertical="center"/>
    </xf>
    <xf numFmtId="0" fontId="0" fillId="0" borderId="0" xfId="0" applyAlignment="1">
      <alignment horizontal="center" vertical="center"/>
    </xf>
    <xf numFmtId="0" fontId="107" fillId="0" borderId="0" xfId="0" applyFont="1" applyAlignment="1">
      <alignment horizontal="center" vertical="center"/>
    </xf>
    <xf numFmtId="0" fontId="2" fillId="0" borderId="16" xfId="0" applyFont="1" applyBorder="1" applyAlignment="1">
      <alignment horizontal="center"/>
    </xf>
    <xf numFmtId="0" fontId="134" fillId="0" borderId="16" xfId="0" applyFont="1" applyBorder="1" applyAlignment="1">
      <alignment horizontal="center"/>
    </xf>
    <xf numFmtId="0" fontId="107" fillId="0" borderId="44" xfId="0" applyFont="1" applyBorder="1" applyAlignment="1">
      <alignment horizontal="center" vertical="center"/>
    </xf>
    <xf numFmtId="0" fontId="107" fillId="0" borderId="26" xfId="0" applyFont="1" applyBorder="1" applyAlignment="1">
      <alignment horizontal="center" vertical="center"/>
    </xf>
    <xf numFmtId="0" fontId="2" fillId="0" borderId="45" xfId="0" applyFont="1" applyBorder="1" applyAlignment="1">
      <alignment horizontal="center" vertical="center"/>
    </xf>
    <xf numFmtId="0" fontId="0" fillId="0" borderId="45" xfId="0" applyBorder="1" applyAlignment="1">
      <alignment horizontal="center"/>
    </xf>
    <xf numFmtId="0" fontId="0" fillId="0" borderId="47" xfId="0" applyBorder="1" applyAlignment="1">
      <alignment horizontal="center"/>
    </xf>
    <xf numFmtId="167" fontId="107" fillId="0" borderId="45" xfId="0" applyNumberFormat="1" applyFont="1" applyBorder="1" applyAlignment="1">
      <alignment horizontal="center"/>
    </xf>
    <xf numFmtId="167" fontId="107" fillId="0" borderId="0" xfId="0" applyNumberFormat="1" applyFont="1" applyAlignment="1">
      <alignment horizontal="center"/>
    </xf>
    <xf numFmtId="167" fontId="107" fillId="0" borderId="47" xfId="0" applyNumberFormat="1" applyFont="1" applyBorder="1" applyAlignment="1">
      <alignment horizontal="center"/>
    </xf>
    <xf numFmtId="0" fontId="107" fillId="0" borderId="45" xfId="0" applyFont="1" applyBorder="1" applyAlignment="1">
      <alignment horizontal="center"/>
    </xf>
    <xf numFmtId="0" fontId="107" fillId="0" borderId="0" xfId="0" applyFont="1" applyAlignment="1">
      <alignment horizontal="center"/>
    </xf>
    <xf numFmtId="0" fontId="107" fillId="0" borderId="47" xfId="0" applyFont="1" applyBorder="1" applyAlignment="1">
      <alignment horizontal="center"/>
    </xf>
    <xf numFmtId="0" fontId="3" fillId="0" borderId="39" xfId="0" applyFont="1" applyBorder="1" applyAlignment="1">
      <alignment horizontal="center" vertical="center" wrapText="1"/>
    </xf>
    <xf numFmtId="0" fontId="111" fillId="71" borderId="42" xfId="0" applyFont="1" applyFill="1" applyBorder="1" applyAlignment="1">
      <alignment horizontal="center" vertical="center" wrapText="1"/>
    </xf>
    <xf numFmtId="0" fontId="111" fillId="71" borderId="40" xfId="0" applyFont="1" applyFill="1" applyBorder="1" applyAlignment="1">
      <alignment horizontal="center" vertical="center" wrapText="1"/>
    </xf>
    <xf numFmtId="0" fontId="111" fillId="71" borderId="38" xfId="0" applyFont="1" applyFill="1" applyBorder="1" applyAlignment="1">
      <alignment horizontal="center" vertical="center" wrapText="1"/>
    </xf>
    <xf numFmtId="0" fontId="111" fillId="71" borderId="41" xfId="0" applyFont="1" applyFill="1" applyBorder="1" applyAlignment="1">
      <alignment horizontal="center" vertical="center" wrapText="1"/>
    </xf>
    <xf numFmtId="0" fontId="114" fillId="71" borderId="42" xfId="0" applyFont="1" applyFill="1" applyBorder="1" applyAlignment="1">
      <alignment horizontal="center" vertical="center" wrapText="1"/>
    </xf>
    <xf numFmtId="0" fontId="114" fillId="71" borderId="40" xfId="0" applyFont="1" applyFill="1" applyBorder="1" applyAlignment="1">
      <alignment horizontal="center" vertical="center" wrapText="1"/>
    </xf>
    <xf numFmtId="10" fontId="114" fillId="71" borderId="45" xfId="0" applyNumberFormat="1" applyFont="1" applyFill="1" applyBorder="1" applyAlignment="1">
      <alignment horizontal="center" vertical="center" wrapText="1"/>
    </xf>
    <xf numFmtId="10" fontId="114" fillId="71" borderId="47" xfId="0" applyNumberFormat="1" applyFont="1" applyFill="1" applyBorder="1" applyAlignment="1">
      <alignment horizontal="center" vertical="center" wrapText="1"/>
    </xf>
    <xf numFmtId="10" fontId="114" fillId="71" borderId="38" xfId="0" applyNumberFormat="1" applyFont="1" applyFill="1" applyBorder="1" applyAlignment="1">
      <alignment horizontal="center" vertical="center" wrapText="1"/>
    </xf>
    <xf numFmtId="10" fontId="114" fillId="71" borderId="41" xfId="0" applyNumberFormat="1" applyFont="1" applyFill="1" applyBorder="1" applyAlignment="1">
      <alignment horizontal="center" vertical="center" wrapText="1"/>
    </xf>
    <xf numFmtId="0" fontId="115" fillId="71" borderId="29" xfId="0" applyFont="1" applyFill="1" applyBorder="1" applyAlignment="1">
      <alignment horizontal="center" vertical="center"/>
    </xf>
    <xf numFmtId="0" fontId="115" fillId="71" borderId="24" xfId="0" applyFont="1" applyFill="1" applyBorder="1" applyAlignment="1">
      <alignment horizontal="center" vertical="center"/>
    </xf>
    <xf numFmtId="0" fontId="115" fillId="71" borderId="28" xfId="0" applyFont="1" applyFill="1" applyBorder="1" applyAlignment="1">
      <alignment horizontal="center" vertical="center"/>
    </xf>
    <xf numFmtId="0" fontId="2" fillId="0" borderId="0" xfId="0" applyFont="1" applyAlignment="1">
      <alignment horizontal="center" vertical="center"/>
    </xf>
    <xf numFmtId="0" fontId="132" fillId="0" borderId="16" xfId="0" applyFont="1" applyBorder="1" applyAlignment="1">
      <alignment horizontal="center" vertical="center" wrapText="1"/>
    </xf>
    <xf numFmtId="167" fontId="146" fillId="0" borderId="0" xfId="0" applyNumberFormat="1" applyFont="1" applyAlignment="1">
      <alignment vertical="center" wrapText="1"/>
    </xf>
    <xf numFmtId="0" fontId="146" fillId="0" borderId="0" xfId="0" applyFont="1" applyAlignment="1">
      <alignment vertical="center" wrapText="1"/>
    </xf>
    <xf numFmtId="0" fontId="147" fillId="0" borderId="49" xfId="0" applyFont="1" applyBorder="1" applyAlignment="1">
      <alignment horizontal="center" vertical="center" wrapText="1"/>
    </xf>
    <xf numFmtId="0" fontId="147" fillId="0" borderId="50" xfId="0" applyFont="1" applyBorder="1" applyAlignment="1">
      <alignment horizontal="center" vertical="center" wrapText="1"/>
    </xf>
    <xf numFmtId="0" fontId="147" fillId="0" borderId="79" xfId="0" applyFont="1" applyBorder="1" applyAlignment="1">
      <alignment horizontal="center" vertical="center" wrapText="1"/>
    </xf>
    <xf numFmtId="0" fontId="147" fillId="0" borderId="114" xfId="0" applyFont="1" applyBorder="1" applyAlignment="1">
      <alignment horizontal="center" vertical="center"/>
    </xf>
    <xf numFmtId="0" fontId="147" fillId="0" borderId="66" xfId="0" applyFont="1" applyBorder="1" applyAlignment="1">
      <alignment horizontal="center" vertical="center"/>
    </xf>
    <xf numFmtId="0" fontId="147" fillId="0" borderId="67" xfId="0" applyFont="1" applyBorder="1" applyAlignment="1">
      <alignment horizontal="center" vertical="center"/>
    </xf>
    <xf numFmtId="0" fontId="147" fillId="0" borderId="115" xfId="0" applyFont="1" applyBorder="1" applyAlignment="1">
      <alignment horizontal="center" vertical="center"/>
    </xf>
    <xf numFmtId="0" fontId="147" fillId="0" borderId="63" xfId="0" applyFont="1" applyBorder="1" applyAlignment="1">
      <alignment horizontal="center" vertical="center"/>
    </xf>
    <xf numFmtId="0" fontId="147" fillId="0" borderId="81" xfId="0" applyFont="1" applyBorder="1" applyAlignment="1">
      <alignment horizontal="center" vertical="center"/>
    </xf>
    <xf numFmtId="0" fontId="147" fillId="0" borderId="65" xfId="0" applyFont="1" applyBorder="1" applyAlignment="1">
      <alignment horizontal="center" vertical="center"/>
    </xf>
    <xf numFmtId="0" fontId="147" fillId="0" borderId="85" xfId="0" applyFont="1" applyBorder="1" applyAlignment="1">
      <alignment horizontal="center" vertical="center"/>
    </xf>
    <xf numFmtId="0" fontId="147" fillId="84" borderId="65" xfId="0" applyFont="1" applyFill="1" applyBorder="1" applyAlignment="1">
      <alignment horizontal="center" vertical="center" wrapText="1"/>
    </xf>
    <xf numFmtId="0" fontId="147" fillId="84" borderId="66" xfId="0" applyFont="1" applyFill="1" applyBorder="1" applyAlignment="1">
      <alignment horizontal="center" vertical="center" wrapText="1"/>
    </xf>
    <xf numFmtId="0" fontId="147" fillId="84" borderId="110" xfId="0" applyFont="1" applyFill="1" applyBorder="1" applyAlignment="1">
      <alignment horizontal="center" vertical="center" wrapText="1"/>
    </xf>
    <xf numFmtId="0" fontId="147" fillId="84" borderId="113" xfId="0" applyFont="1" applyFill="1" applyBorder="1" applyAlignment="1">
      <alignment horizontal="center" vertical="center" wrapText="1"/>
    </xf>
    <xf numFmtId="0" fontId="147" fillId="84" borderId="111" xfId="0" applyFont="1" applyFill="1" applyBorder="1" applyAlignment="1">
      <alignment horizontal="center" vertical="center" wrapText="1"/>
    </xf>
    <xf numFmtId="0" fontId="147" fillId="84" borderId="112" xfId="0" applyFont="1" applyFill="1" applyBorder="1" applyAlignment="1">
      <alignment horizontal="center" vertical="center" wrapText="1"/>
    </xf>
    <xf numFmtId="0" fontId="0" fillId="0" borderId="0" xfId="0" applyAlignment="1">
      <alignment vertical="center" wrapText="1"/>
    </xf>
    <xf numFmtId="0" fontId="147" fillId="84" borderId="116" xfId="0" applyFont="1" applyFill="1" applyBorder="1" applyAlignment="1">
      <alignment horizontal="center" vertical="center" wrapText="1"/>
    </xf>
    <xf numFmtId="0" fontId="147" fillId="84" borderId="79" xfId="0" applyFont="1" applyFill="1" applyBorder="1" applyAlignment="1">
      <alignment horizontal="center" vertical="center" wrapText="1"/>
    </xf>
    <xf numFmtId="0" fontId="147" fillId="0" borderId="65" xfId="0" applyFont="1" applyBorder="1" applyAlignment="1">
      <alignment horizontal="center" vertical="center" wrapText="1"/>
    </xf>
    <xf numFmtId="0" fontId="147" fillId="0" borderId="67" xfId="0" applyFont="1" applyBorder="1" applyAlignment="1">
      <alignment horizontal="center" vertical="center" wrapText="1"/>
    </xf>
    <xf numFmtId="0" fontId="147" fillId="0" borderId="85" xfId="0" applyFont="1" applyBorder="1" applyAlignment="1">
      <alignment horizontal="center" vertical="center" wrapText="1"/>
    </xf>
    <xf numFmtId="0" fontId="147" fillId="0" borderId="81" xfId="0" applyFont="1" applyBorder="1" applyAlignment="1">
      <alignment horizontal="center" vertical="center" wrapText="1"/>
    </xf>
    <xf numFmtId="0" fontId="139" fillId="0" borderId="49" xfId="0" applyFont="1" applyBorder="1" applyAlignment="1">
      <alignment horizontal="center" vertical="center" wrapText="1"/>
    </xf>
    <xf numFmtId="0" fontId="139" fillId="0" borderId="79" xfId="0" applyFont="1" applyBorder="1" applyAlignment="1">
      <alignment horizontal="center" vertical="center" wrapText="1"/>
    </xf>
    <xf numFmtId="0" fontId="3" fillId="0" borderId="65" xfId="0" applyFont="1" applyBorder="1" applyAlignment="1">
      <alignment horizontal="center" vertical="center" wrapText="1"/>
    </xf>
    <xf numFmtId="0" fontId="3" fillId="0" borderId="66" xfId="0" applyFont="1" applyBorder="1" applyAlignment="1">
      <alignment horizontal="center" vertical="center" wrapText="1"/>
    </xf>
    <xf numFmtId="0" fontId="3" fillId="0" borderId="67" xfId="0" applyFont="1" applyBorder="1" applyAlignment="1">
      <alignment horizontal="center" vertical="center" wrapText="1"/>
    </xf>
    <xf numFmtId="0" fontId="3" fillId="0" borderId="64" xfId="0" applyFont="1" applyBorder="1" applyAlignment="1">
      <alignment horizontal="center" vertical="center" wrapText="1"/>
    </xf>
    <xf numFmtId="0" fontId="3" fillId="0" borderId="68" xfId="0" applyFont="1" applyBorder="1" applyAlignment="1">
      <alignment horizontal="center" vertical="center" wrapText="1"/>
    </xf>
    <xf numFmtId="0" fontId="3" fillId="0" borderId="69" xfId="0" applyFont="1" applyBorder="1" applyAlignment="1">
      <alignment horizontal="center" vertical="center" wrapText="1"/>
    </xf>
    <xf numFmtId="0" fontId="135" fillId="0" borderId="45" xfId="0" applyFont="1" applyBorder="1" applyAlignment="1">
      <alignment horizontal="center" vertical="center" wrapText="1"/>
    </xf>
    <xf numFmtId="0" fontId="135" fillId="0" borderId="0" xfId="0" applyFont="1" applyAlignment="1">
      <alignment horizontal="center" vertical="center" wrapText="1"/>
    </xf>
    <xf numFmtId="0" fontId="135" fillId="0" borderId="47" xfId="0" applyFont="1" applyBorder="1" applyAlignment="1">
      <alignment horizontal="center" vertical="center" wrapText="1"/>
    </xf>
    <xf numFmtId="0" fontId="135" fillId="0" borderId="16" xfId="0" applyFont="1" applyBorder="1" applyAlignment="1">
      <alignment horizontal="center" vertical="center" wrapText="1"/>
    </xf>
    <xf numFmtId="0" fontId="139" fillId="82" borderId="50" xfId="0" applyFont="1" applyFill="1" applyBorder="1" applyAlignment="1">
      <alignment horizontal="center" vertical="center" wrapText="1"/>
    </xf>
    <xf numFmtId="0" fontId="139" fillId="79" borderId="50" xfId="0" applyFont="1" applyFill="1" applyBorder="1" applyAlignment="1">
      <alignment horizontal="center" vertical="center" wrapText="1"/>
    </xf>
    <xf numFmtId="0" fontId="135" fillId="0" borderId="29" xfId="0" applyFont="1" applyBorder="1" applyAlignment="1">
      <alignment horizontal="center" vertical="center"/>
    </xf>
    <xf numFmtId="0" fontId="135" fillId="0" borderId="24" xfId="0" applyFont="1" applyBorder="1" applyAlignment="1">
      <alignment horizontal="center" vertical="center"/>
    </xf>
    <xf numFmtId="0" fontId="135" fillId="0" borderId="16" xfId="0" applyFont="1" applyBorder="1" applyAlignment="1">
      <alignment horizontal="center"/>
    </xf>
    <xf numFmtId="0" fontId="135" fillId="0" borderId="45" xfId="0" applyFont="1" applyBorder="1" applyAlignment="1">
      <alignment horizontal="center" wrapText="1"/>
    </xf>
    <xf numFmtId="0" fontId="135" fillId="0" borderId="0" xfId="0" applyFont="1" applyAlignment="1">
      <alignment horizontal="center" wrapText="1"/>
    </xf>
    <xf numFmtId="0" fontId="135" fillId="0" borderId="47" xfId="0" applyFont="1" applyBorder="1" applyAlignment="1">
      <alignment horizontal="center" wrapText="1"/>
    </xf>
    <xf numFmtId="0" fontId="139" fillId="79" borderId="16" xfId="0" applyFont="1" applyFill="1" applyBorder="1" applyAlignment="1">
      <alignment horizontal="center" vertical="center" wrapText="1"/>
    </xf>
    <xf numFmtId="0" fontId="139" fillId="82" borderId="16" xfId="0" applyFont="1" applyFill="1" applyBorder="1" applyAlignment="1">
      <alignment horizontal="center" vertical="center" wrapText="1"/>
    </xf>
    <xf numFmtId="0" fontId="135" fillId="0" borderId="16" xfId="0" applyFont="1" applyBorder="1" applyAlignment="1">
      <alignment horizontal="center" wrapText="1"/>
    </xf>
    <xf numFmtId="167" fontId="128" fillId="0" borderId="16" xfId="0" applyNumberFormat="1" applyFont="1" applyBorder="1" applyAlignment="1">
      <alignment horizontal="center" vertical="center"/>
    </xf>
    <xf numFmtId="0" fontId="139" fillId="0" borderId="16" xfId="0" applyFont="1" applyBorder="1" applyAlignment="1">
      <alignment horizontal="center" vertical="center" wrapText="1"/>
    </xf>
    <xf numFmtId="167" fontId="140" fillId="0" borderId="29" xfId="1" applyNumberFormat="1" applyFont="1" applyBorder="1" applyAlignment="1">
      <alignment horizontal="center" vertical="center" wrapText="1"/>
    </xf>
    <xf numFmtId="167" fontId="140" fillId="0" borderId="24" xfId="1" applyNumberFormat="1" applyFont="1" applyBorder="1" applyAlignment="1">
      <alignment horizontal="center" vertical="center" wrapText="1"/>
    </xf>
    <xf numFmtId="167" fontId="140" fillId="0" borderId="28" xfId="1" applyNumberFormat="1" applyFont="1" applyBorder="1" applyAlignment="1">
      <alignment horizontal="center" vertical="center" wrapText="1"/>
    </xf>
    <xf numFmtId="0" fontId="150" fillId="0" borderId="0" xfId="0" applyFont="1" applyAlignment="1">
      <alignment horizontal="center" vertical="center"/>
    </xf>
    <xf numFmtId="0" fontId="150" fillId="0" borderId="43" xfId="0" applyFont="1" applyBorder="1" applyAlignment="1">
      <alignment horizontal="center" vertical="center"/>
    </xf>
    <xf numFmtId="0" fontId="123" fillId="0" borderId="49" xfId="0" applyFont="1" applyBorder="1" applyAlignment="1">
      <alignment vertical="center" wrapText="1"/>
    </xf>
    <xf numFmtId="0" fontId="123" fillId="0" borderId="50" xfId="0" applyFont="1" applyBorder="1" applyAlignment="1">
      <alignment vertical="center" wrapText="1"/>
    </xf>
    <xf numFmtId="0" fontId="123" fillId="0" borderId="79" xfId="0" applyFont="1" applyBorder="1" applyAlignment="1">
      <alignment vertical="center" wrapText="1"/>
    </xf>
    <xf numFmtId="0" fontId="124" fillId="0" borderId="65" xfId="0" applyFont="1" applyBorder="1" applyAlignment="1">
      <alignment horizontal="center" vertical="center" wrapText="1"/>
    </xf>
    <xf numFmtId="0" fontId="124" fillId="0" borderId="66" xfId="0" applyFont="1" applyBorder="1" applyAlignment="1">
      <alignment horizontal="center" vertical="center" wrapText="1"/>
    </xf>
    <xf numFmtId="0" fontId="124" fillId="0" borderId="67" xfId="0" applyFont="1" applyBorder="1" applyAlignment="1">
      <alignment horizontal="center" vertical="center" wrapText="1"/>
    </xf>
    <xf numFmtId="0" fontId="124" fillId="0" borderId="70" xfId="0" applyFont="1" applyBorder="1" applyAlignment="1">
      <alignment horizontal="center" vertical="center" wrapText="1"/>
    </xf>
    <xf numFmtId="0" fontId="124" fillId="0" borderId="0" xfId="0" applyFont="1" applyAlignment="1">
      <alignment horizontal="center" vertical="center" wrapText="1"/>
    </xf>
    <xf numFmtId="0" fontId="124" fillId="0" borderId="51" xfId="0" applyFont="1" applyBorder="1" applyAlignment="1">
      <alignment horizontal="center" vertical="center" wrapText="1"/>
    </xf>
    <xf numFmtId="0" fontId="124" fillId="0" borderId="85" xfId="0" applyFont="1" applyBorder="1" applyAlignment="1">
      <alignment horizontal="center" vertical="center" wrapText="1"/>
    </xf>
    <xf numFmtId="0" fontId="124" fillId="0" borderId="63" xfId="0" applyFont="1" applyBorder="1" applyAlignment="1">
      <alignment horizontal="center" vertical="center" wrapText="1"/>
    </xf>
    <xf numFmtId="0" fontId="124" fillId="0" borderId="81" xfId="0" applyFont="1" applyBorder="1" applyAlignment="1">
      <alignment horizontal="center" vertical="center" wrapText="1"/>
    </xf>
    <xf numFmtId="0" fontId="124" fillId="0" borderId="86" xfId="0" applyFont="1" applyBorder="1" applyAlignment="1">
      <alignment horizontal="center" vertical="center" wrapText="1"/>
    </xf>
    <xf numFmtId="0" fontId="124" fillId="0" borderId="62" xfId="0" applyFont="1" applyBorder="1" applyAlignment="1">
      <alignment horizontal="center" vertical="center" wrapText="1"/>
    </xf>
    <xf numFmtId="0" fontId="124" fillId="0" borderId="80" xfId="0" applyFont="1" applyBorder="1" applyAlignment="1">
      <alignment horizontal="center" vertical="center" wrapText="1"/>
    </xf>
    <xf numFmtId="0" fontId="123" fillId="0" borderId="87" xfId="0" applyFont="1" applyBorder="1" applyAlignment="1">
      <alignment horizontal="center" vertical="center" wrapText="1"/>
    </xf>
    <xf numFmtId="0" fontId="123" fillId="0" borderId="88" xfId="0" applyFont="1" applyBorder="1" applyAlignment="1">
      <alignment horizontal="center" vertical="center" wrapText="1"/>
    </xf>
    <xf numFmtId="0" fontId="123" fillId="0" borderId="89" xfId="0" applyFont="1" applyBorder="1" applyAlignment="1">
      <alignment horizontal="center" vertical="center" wrapText="1"/>
    </xf>
    <xf numFmtId="0" fontId="125" fillId="0" borderId="90" xfId="0" applyFont="1" applyBorder="1" applyAlignment="1">
      <alignment horizontal="center" vertical="center" wrapText="1"/>
    </xf>
    <xf numFmtId="0" fontId="125" fillId="0" borderId="91" xfId="0" applyFont="1" applyBorder="1" applyAlignment="1">
      <alignment horizontal="center" vertical="center" wrapText="1"/>
    </xf>
    <xf numFmtId="0" fontId="123" fillId="0" borderId="86" xfId="0" applyFont="1" applyBorder="1" applyAlignment="1">
      <alignment vertical="center" wrapText="1"/>
    </xf>
    <xf numFmtId="0" fontId="123" fillId="0" borderId="62" xfId="0" applyFont="1" applyBorder="1" applyAlignment="1">
      <alignment vertical="center" wrapText="1"/>
    </xf>
    <xf numFmtId="0" fontId="123" fillId="0" borderId="80" xfId="0" applyFont="1" applyBorder="1" applyAlignment="1">
      <alignment vertical="center" wrapText="1"/>
    </xf>
    <xf numFmtId="0" fontId="123" fillId="0" borderId="65" xfId="0" applyFont="1" applyBorder="1" applyAlignment="1">
      <alignment horizontal="center" vertical="center" wrapText="1"/>
    </xf>
    <xf numFmtId="0" fontId="123" fillId="0" borderId="66" xfId="0" applyFont="1" applyBorder="1" applyAlignment="1">
      <alignment horizontal="center" vertical="center" wrapText="1"/>
    </xf>
    <xf numFmtId="0" fontId="123" fillId="0" borderId="67" xfId="0" applyFont="1" applyBorder="1" applyAlignment="1">
      <alignment horizontal="center" vertical="center" wrapText="1"/>
    </xf>
    <xf numFmtId="0" fontId="123" fillId="0" borderId="70" xfId="0" applyFont="1" applyBorder="1" applyAlignment="1">
      <alignment horizontal="center" vertical="center" wrapText="1"/>
    </xf>
    <xf numFmtId="0" fontId="123" fillId="0" borderId="0" xfId="0" applyFont="1" applyAlignment="1">
      <alignment horizontal="center" vertical="center" wrapText="1"/>
    </xf>
    <xf numFmtId="0" fontId="123" fillId="0" borderId="51" xfId="0" applyFont="1" applyBorder="1" applyAlignment="1">
      <alignment horizontal="center" vertical="center" wrapText="1"/>
    </xf>
    <xf numFmtId="0" fontId="123" fillId="0" borderId="92" xfId="0" applyFont="1" applyBorder="1" applyAlignment="1">
      <alignment horizontal="center" vertical="center" wrapText="1"/>
    </xf>
    <xf numFmtId="0" fontId="123" fillId="0" borderId="83" xfId="0" applyFont="1" applyBorder="1" applyAlignment="1">
      <alignment horizontal="center" vertical="center" wrapText="1"/>
    </xf>
    <xf numFmtId="0" fontId="123" fillId="0" borderId="82" xfId="0" applyFont="1" applyBorder="1" applyAlignment="1">
      <alignment horizontal="center" vertical="center" wrapText="1"/>
    </xf>
    <xf numFmtId="0" fontId="123" fillId="0" borderId="87" xfId="0" applyFont="1" applyBorder="1" applyAlignment="1">
      <alignment vertical="center" wrapText="1"/>
    </xf>
    <xf numFmtId="0" fontId="123" fillId="0" borderId="89" xfId="0" applyFont="1" applyBorder="1" applyAlignment="1">
      <alignment vertical="center" wrapText="1"/>
    </xf>
    <xf numFmtId="0" fontId="125" fillId="0" borderId="93" xfId="0" applyFont="1" applyBorder="1" applyAlignment="1">
      <alignment horizontal="center" vertical="center" wrapText="1"/>
    </xf>
    <xf numFmtId="0" fontId="125" fillId="0" borderId="95" xfId="0" applyFont="1" applyBorder="1" applyAlignment="1">
      <alignment horizontal="center" vertical="center" wrapText="1"/>
    </xf>
    <xf numFmtId="0" fontId="125" fillId="0" borderId="92" xfId="0" applyFont="1" applyBorder="1" applyAlignment="1">
      <alignment horizontal="center" vertical="center" wrapText="1"/>
    </xf>
    <xf numFmtId="0" fontId="125" fillId="0" borderId="82" xfId="0" applyFont="1" applyBorder="1" applyAlignment="1">
      <alignment horizontal="center" vertical="center" wrapText="1"/>
    </xf>
    <xf numFmtId="0" fontId="125" fillId="0" borderId="96" xfId="0" applyFont="1" applyBorder="1" applyAlignment="1">
      <alignment horizontal="center" vertical="center" wrapText="1"/>
    </xf>
    <xf numFmtId="0" fontId="125" fillId="0" borderId="84" xfId="0" applyFont="1" applyBorder="1" applyAlignment="1">
      <alignment horizontal="center" vertical="center" wrapText="1"/>
    </xf>
    <xf numFmtId="0" fontId="123" fillId="0" borderId="90" xfId="0" applyFont="1" applyBorder="1" applyAlignment="1">
      <alignment vertical="center" wrapText="1"/>
    </xf>
    <xf numFmtId="0" fontId="123" fillId="0" borderId="97" xfId="0" applyFont="1" applyBorder="1" applyAlignment="1">
      <alignment vertical="center" wrapText="1"/>
    </xf>
    <xf numFmtId="0" fontId="123" fillId="0" borderId="91" xfId="0" applyFont="1" applyBorder="1" applyAlignment="1">
      <alignment vertical="center" wrapText="1"/>
    </xf>
    <xf numFmtId="0" fontId="123" fillId="0" borderId="93" xfId="0" applyFont="1" applyBorder="1" applyAlignment="1">
      <alignment vertical="center" wrapText="1"/>
    </xf>
    <xf numFmtId="0" fontId="123" fillId="0" borderId="94" xfId="0" applyFont="1" applyBorder="1" applyAlignment="1">
      <alignment vertical="center" wrapText="1"/>
    </xf>
    <xf numFmtId="0" fontId="123" fillId="0" borderId="95" xfId="0" applyFont="1" applyBorder="1" applyAlignment="1">
      <alignment vertical="center" wrapText="1"/>
    </xf>
    <xf numFmtId="0" fontId="123" fillId="0" borderId="92" xfId="0" applyFont="1" applyBorder="1" applyAlignment="1">
      <alignment vertical="center" wrapText="1"/>
    </xf>
    <xf numFmtId="0" fontId="123" fillId="0" borderId="83" xfId="0" applyFont="1" applyBorder="1" applyAlignment="1">
      <alignment vertical="center" wrapText="1"/>
    </xf>
    <xf numFmtId="0" fontId="123" fillId="0" borderId="82" xfId="0" applyFont="1" applyBorder="1" applyAlignment="1">
      <alignment vertical="center" wrapText="1"/>
    </xf>
    <xf numFmtId="0" fontId="123" fillId="0" borderId="88" xfId="0" applyFont="1" applyBorder="1" applyAlignment="1">
      <alignment vertical="center" wrapText="1"/>
    </xf>
    <xf numFmtId="0" fontId="125" fillId="0" borderId="87" xfId="0" applyFont="1" applyBorder="1" applyAlignment="1">
      <alignment horizontal="center" vertical="center" wrapText="1"/>
    </xf>
    <xf numFmtId="0" fontId="125" fillId="0" borderId="89" xfId="0" applyFont="1" applyBorder="1" applyAlignment="1">
      <alignment horizontal="center" vertical="center" wrapText="1"/>
    </xf>
    <xf numFmtId="0" fontId="125" fillId="0" borderId="86" xfId="0" applyFont="1" applyBorder="1" applyAlignment="1">
      <alignment horizontal="center" vertical="center" wrapText="1"/>
    </xf>
    <xf numFmtId="0" fontId="125" fillId="0" borderId="80" xfId="0" applyFont="1" applyBorder="1" applyAlignment="1">
      <alignment horizontal="center" vertical="center" wrapText="1"/>
    </xf>
    <xf numFmtId="0" fontId="123" fillId="0" borderId="93" xfId="0" applyFont="1" applyBorder="1" applyAlignment="1">
      <alignment horizontal="center" vertical="center" wrapText="1"/>
    </xf>
    <xf numFmtId="0" fontId="123" fillId="0" borderId="94" xfId="0" applyFont="1" applyBorder="1" applyAlignment="1">
      <alignment horizontal="center" vertical="center" wrapText="1"/>
    </xf>
    <xf numFmtId="0" fontId="123" fillId="0" borderId="95" xfId="0" applyFont="1" applyBorder="1" applyAlignment="1">
      <alignment horizontal="center" vertical="center" wrapText="1"/>
    </xf>
    <xf numFmtId="0" fontId="125" fillId="0" borderId="85" xfId="0" applyFont="1" applyBorder="1" applyAlignment="1">
      <alignment horizontal="center" vertical="center" wrapText="1"/>
    </xf>
    <xf numFmtId="0" fontId="125" fillId="0" borderId="81" xfId="0" applyFont="1" applyBorder="1" applyAlignment="1">
      <alignment horizontal="center" vertical="center" wrapText="1"/>
    </xf>
    <xf numFmtId="0" fontId="125" fillId="0" borderId="79" xfId="0" applyFont="1" applyBorder="1" applyAlignment="1">
      <alignment horizontal="center" vertical="center" wrapText="1"/>
    </xf>
    <xf numFmtId="0" fontId="123" fillId="0" borderId="85" xfId="0" applyFont="1" applyBorder="1" applyAlignment="1">
      <alignment vertical="center" wrapText="1"/>
    </xf>
    <xf numFmtId="0" fontId="123" fillId="0" borderId="63" xfId="0" applyFont="1" applyBorder="1" applyAlignment="1">
      <alignment vertical="center" wrapText="1"/>
    </xf>
    <xf numFmtId="0" fontId="123" fillId="0" borderId="81" xfId="0" applyFont="1" applyBorder="1" applyAlignment="1">
      <alignment vertical="center" wrapText="1"/>
    </xf>
    <xf numFmtId="0" fontId="120" fillId="0" borderId="0" xfId="0" applyFont="1" applyAlignment="1">
      <alignment horizontal="left" vertical="center" wrapText="1"/>
    </xf>
    <xf numFmtId="0" fontId="113" fillId="0" borderId="45" xfId="0" applyFont="1" applyBorder="1" applyAlignment="1">
      <alignment horizontal="center" vertical="center" wrapText="1"/>
    </xf>
    <xf numFmtId="0" fontId="113" fillId="0" borderId="47" xfId="0" applyFont="1" applyBorder="1" applyAlignment="1">
      <alignment horizontal="center" vertical="center" wrapText="1"/>
    </xf>
    <xf numFmtId="0" fontId="117" fillId="0" borderId="45" xfId="0" applyFont="1" applyBorder="1" applyAlignment="1">
      <alignment horizontal="center" vertical="center"/>
    </xf>
    <xf numFmtId="0" fontId="137" fillId="0" borderId="49" xfId="0" applyFont="1" applyBorder="1" applyAlignment="1">
      <alignment horizontal="justify" vertical="center"/>
    </xf>
    <xf numFmtId="0" fontId="137" fillId="0" borderId="50" xfId="0" applyFont="1" applyBorder="1" applyAlignment="1">
      <alignment horizontal="justify" vertical="center"/>
    </xf>
    <xf numFmtId="0" fontId="137" fillId="0" borderId="79" xfId="0" applyFont="1" applyBorder="1" applyAlignment="1">
      <alignment horizontal="justify" vertical="center"/>
    </xf>
    <xf numFmtId="0" fontId="127" fillId="0" borderId="49" xfId="0" applyFont="1" applyBorder="1" applyAlignment="1">
      <alignment horizontal="justify" vertical="center"/>
    </xf>
    <xf numFmtId="0" fontId="127" fillId="0" borderId="79" xfId="0" applyFont="1" applyBorder="1" applyAlignment="1">
      <alignment horizontal="justify" vertical="center"/>
    </xf>
    <xf numFmtId="0" fontId="127" fillId="0" borderId="50" xfId="0" applyFont="1" applyBorder="1" applyAlignment="1">
      <alignment horizontal="justify" vertical="center"/>
    </xf>
    <xf numFmtId="0" fontId="0" fillId="76" borderId="45" xfId="0" applyFill="1" applyBorder="1" applyAlignment="1">
      <alignment horizontal="center"/>
    </xf>
    <xf numFmtId="0" fontId="0" fillId="76" borderId="47" xfId="0" applyFill="1" applyBorder="1" applyAlignment="1">
      <alignment horizontal="center"/>
    </xf>
    <xf numFmtId="0" fontId="107" fillId="76" borderId="45" xfId="0" applyFont="1" applyFill="1" applyBorder="1" applyAlignment="1">
      <alignment horizontal="center"/>
    </xf>
    <xf numFmtId="0" fontId="107" fillId="76" borderId="47" xfId="0" applyFont="1" applyFill="1" applyBorder="1" applyAlignment="1">
      <alignment horizontal="center"/>
    </xf>
    <xf numFmtId="0" fontId="3" fillId="0" borderId="0" xfId="0" applyFont="1" applyAlignment="1">
      <alignment horizontal="center" vertical="center" wrapText="1"/>
    </xf>
    <xf numFmtId="0" fontId="140" fillId="0" borderId="0" xfId="0" applyFont="1" applyFill="1" applyBorder="1" applyAlignment="1">
      <alignment horizontal="left" vertical="center"/>
    </xf>
  </cellXfs>
  <cellStyles count="391">
    <cellStyle name="_x000d__x000a_JournalTemplate=C:\COMFO\CTALK\JOURSTD.TPL_x000d__x000a_LbStateAddress=3 3 0 251 1 89 2 311_x000d__x000a_LbStateJou" xfId="2" xr:uid="{00000000-0005-0000-0000-000000000000}"/>
    <cellStyle name="% 2" xfId="3" xr:uid="{00000000-0005-0000-0000-000001000000}"/>
    <cellStyle name="=C:\WINNT\SYSTEM32\COMMAND.COM" xfId="4" xr:uid="{00000000-0005-0000-0000-000002000000}"/>
    <cellStyle name="1" xfId="5" xr:uid="{00000000-0005-0000-0000-000003000000}"/>
    <cellStyle name="20% - Accent1 2" xfId="6" xr:uid="{00000000-0005-0000-0000-000004000000}"/>
    <cellStyle name="20% - Accent1 2 2" xfId="7" xr:uid="{00000000-0005-0000-0000-000005000000}"/>
    <cellStyle name="20% - Accent1 3" xfId="8" xr:uid="{00000000-0005-0000-0000-000006000000}"/>
    <cellStyle name="20% - Accent1 4" xfId="9" xr:uid="{00000000-0005-0000-0000-000007000000}"/>
    <cellStyle name="20% - Accent2 2" xfId="10" xr:uid="{00000000-0005-0000-0000-000008000000}"/>
    <cellStyle name="20% - Accent2 2 2" xfId="11" xr:uid="{00000000-0005-0000-0000-000009000000}"/>
    <cellStyle name="20% - Accent2 3" xfId="12" xr:uid="{00000000-0005-0000-0000-00000A000000}"/>
    <cellStyle name="20% - Accent2 4" xfId="13" xr:uid="{00000000-0005-0000-0000-00000B000000}"/>
    <cellStyle name="20% - Accent3 2" xfId="14" xr:uid="{00000000-0005-0000-0000-00000C000000}"/>
    <cellStyle name="20% - Accent3 2 2" xfId="15" xr:uid="{00000000-0005-0000-0000-00000D000000}"/>
    <cellStyle name="20% - Accent3 3" xfId="16" xr:uid="{00000000-0005-0000-0000-00000E000000}"/>
    <cellStyle name="20% - Accent3 4" xfId="17" xr:uid="{00000000-0005-0000-0000-00000F000000}"/>
    <cellStyle name="20% - Accent4 2" xfId="18" xr:uid="{00000000-0005-0000-0000-000010000000}"/>
    <cellStyle name="20% - Accent4 2 2" xfId="19" xr:uid="{00000000-0005-0000-0000-000011000000}"/>
    <cellStyle name="20% - Accent4 3" xfId="20" xr:uid="{00000000-0005-0000-0000-000012000000}"/>
    <cellStyle name="20% - Accent4 4" xfId="21" xr:uid="{00000000-0005-0000-0000-000013000000}"/>
    <cellStyle name="20% - Accent5 2" xfId="22" xr:uid="{00000000-0005-0000-0000-000014000000}"/>
    <cellStyle name="20% - Accent5 2 2" xfId="23" xr:uid="{00000000-0005-0000-0000-000015000000}"/>
    <cellStyle name="20% - Accent5 3" xfId="24" xr:uid="{00000000-0005-0000-0000-000016000000}"/>
    <cellStyle name="20% - Accent5 4" xfId="25" xr:uid="{00000000-0005-0000-0000-000017000000}"/>
    <cellStyle name="20% - Accent6 2" xfId="26" xr:uid="{00000000-0005-0000-0000-000018000000}"/>
    <cellStyle name="20% - Accent6 2 2" xfId="27" xr:uid="{00000000-0005-0000-0000-000019000000}"/>
    <cellStyle name="20% - Accent6 3" xfId="28" xr:uid="{00000000-0005-0000-0000-00001A000000}"/>
    <cellStyle name="20% - Accent6 4" xfId="29" xr:uid="{00000000-0005-0000-0000-00001B000000}"/>
    <cellStyle name="20% - Akzent1" xfId="30" xr:uid="{00000000-0005-0000-0000-00001C000000}"/>
    <cellStyle name="20% - Akzent2" xfId="31" xr:uid="{00000000-0005-0000-0000-00001D000000}"/>
    <cellStyle name="20% - Akzent3" xfId="32" xr:uid="{00000000-0005-0000-0000-00001E000000}"/>
    <cellStyle name="20% - Akzent4" xfId="33" xr:uid="{00000000-0005-0000-0000-00001F000000}"/>
    <cellStyle name="20% - Akzent5" xfId="34" xr:uid="{00000000-0005-0000-0000-000020000000}"/>
    <cellStyle name="20% - Akzent6" xfId="35" xr:uid="{00000000-0005-0000-0000-000021000000}"/>
    <cellStyle name="20% - Énfasis1" xfId="36" xr:uid="{00000000-0005-0000-0000-000022000000}"/>
    <cellStyle name="20% - Énfasis2" xfId="37" xr:uid="{00000000-0005-0000-0000-000023000000}"/>
    <cellStyle name="20% - Énfasis3" xfId="38" xr:uid="{00000000-0005-0000-0000-000024000000}"/>
    <cellStyle name="20% - Énfasis4" xfId="39" xr:uid="{00000000-0005-0000-0000-000025000000}"/>
    <cellStyle name="20% - Énfasis5" xfId="40" xr:uid="{00000000-0005-0000-0000-000026000000}"/>
    <cellStyle name="20% - Énfasis6" xfId="41" xr:uid="{00000000-0005-0000-0000-000027000000}"/>
    <cellStyle name="40% - Accent1 2" xfId="42" xr:uid="{00000000-0005-0000-0000-000028000000}"/>
    <cellStyle name="40% - Accent1 2 2" xfId="43" xr:uid="{00000000-0005-0000-0000-000029000000}"/>
    <cellStyle name="40% - Accent1 3" xfId="44" xr:uid="{00000000-0005-0000-0000-00002A000000}"/>
    <cellStyle name="40% - Accent1 4" xfId="45" xr:uid="{00000000-0005-0000-0000-00002B000000}"/>
    <cellStyle name="40% - Accent2 2" xfId="46" xr:uid="{00000000-0005-0000-0000-00002C000000}"/>
    <cellStyle name="40% - Accent2 2 2" xfId="47" xr:uid="{00000000-0005-0000-0000-00002D000000}"/>
    <cellStyle name="40% - Accent2 3" xfId="48" xr:uid="{00000000-0005-0000-0000-00002E000000}"/>
    <cellStyle name="40% - Accent2 4" xfId="49" xr:uid="{00000000-0005-0000-0000-00002F000000}"/>
    <cellStyle name="40% - Accent3 2" xfId="50" xr:uid="{00000000-0005-0000-0000-000030000000}"/>
    <cellStyle name="40% - Accent3 2 2" xfId="51" xr:uid="{00000000-0005-0000-0000-000031000000}"/>
    <cellStyle name="40% - Accent3 3" xfId="52" xr:uid="{00000000-0005-0000-0000-000032000000}"/>
    <cellStyle name="40% - Accent3 4" xfId="53" xr:uid="{00000000-0005-0000-0000-000033000000}"/>
    <cellStyle name="40% - Accent4 2" xfId="54" xr:uid="{00000000-0005-0000-0000-000034000000}"/>
    <cellStyle name="40% - Accent4 2 2" xfId="55" xr:uid="{00000000-0005-0000-0000-000035000000}"/>
    <cellStyle name="40% - Accent4 3" xfId="56" xr:uid="{00000000-0005-0000-0000-000036000000}"/>
    <cellStyle name="40% - Accent4 4" xfId="57" xr:uid="{00000000-0005-0000-0000-000037000000}"/>
    <cellStyle name="40% - Accent5 2" xfId="58" xr:uid="{00000000-0005-0000-0000-000038000000}"/>
    <cellStyle name="40% - Accent5 2 2" xfId="59" xr:uid="{00000000-0005-0000-0000-000039000000}"/>
    <cellStyle name="40% - Accent5 3" xfId="60" xr:uid="{00000000-0005-0000-0000-00003A000000}"/>
    <cellStyle name="40% - Accent5 4" xfId="61" xr:uid="{00000000-0005-0000-0000-00003B000000}"/>
    <cellStyle name="40% - Accent6 2" xfId="62" xr:uid="{00000000-0005-0000-0000-00003C000000}"/>
    <cellStyle name="40% - Accent6 2 2" xfId="63" xr:uid="{00000000-0005-0000-0000-00003D000000}"/>
    <cellStyle name="40% - Accent6 3" xfId="64" xr:uid="{00000000-0005-0000-0000-00003E000000}"/>
    <cellStyle name="40% - Accent6 4" xfId="65" xr:uid="{00000000-0005-0000-0000-00003F000000}"/>
    <cellStyle name="40% - Akzent1" xfId="66" xr:uid="{00000000-0005-0000-0000-000040000000}"/>
    <cellStyle name="40% - Akzent2" xfId="67" xr:uid="{00000000-0005-0000-0000-000041000000}"/>
    <cellStyle name="40% - Akzent3" xfId="68" xr:uid="{00000000-0005-0000-0000-000042000000}"/>
    <cellStyle name="40% - Akzent4" xfId="69" xr:uid="{00000000-0005-0000-0000-000043000000}"/>
    <cellStyle name="40% - Akzent5" xfId="70" xr:uid="{00000000-0005-0000-0000-000044000000}"/>
    <cellStyle name="40% - Akzent6" xfId="71" xr:uid="{00000000-0005-0000-0000-000045000000}"/>
    <cellStyle name="40% - Énfasis1" xfId="72" xr:uid="{00000000-0005-0000-0000-000046000000}"/>
    <cellStyle name="40% - Énfasis2" xfId="73" xr:uid="{00000000-0005-0000-0000-000047000000}"/>
    <cellStyle name="40% - Énfasis3" xfId="74" xr:uid="{00000000-0005-0000-0000-000048000000}"/>
    <cellStyle name="40% - Énfasis4" xfId="75" xr:uid="{00000000-0005-0000-0000-000049000000}"/>
    <cellStyle name="40% - Énfasis5" xfId="76" xr:uid="{00000000-0005-0000-0000-00004A000000}"/>
    <cellStyle name="40% - Énfasis6" xfId="77" xr:uid="{00000000-0005-0000-0000-00004B000000}"/>
    <cellStyle name="60% - Accent1 2" xfId="78" xr:uid="{00000000-0005-0000-0000-00004C000000}"/>
    <cellStyle name="60% - Accent1 3" xfId="79" xr:uid="{00000000-0005-0000-0000-00004D000000}"/>
    <cellStyle name="60% - Accent2 2" xfId="80" xr:uid="{00000000-0005-0000-0000-00004E000000}"/>
    <cellStyle name="60% - Accent2 3" xfId="81" xr:uid="{00000000-0005-0000-0000-00004F000000}"/>
    <cellStyle name="60% - Accent3 2" xfId="82" xr:uid="{00000000-0005-0000-0000-000050000000}"/>
    <cellStyle name="60% - Accent3 3" xfId="83" xr:uid="{00000000-0005-0000-0000-000051000000}"/>
    <cellStyle name="60% - Accent4 2" xfId="84" xr:uid="{00000000-0005-0000-0000-000052000000}"/>
    <cellStyle name="60% - Accent4 3" xfId="85" xr:uid="{00000000-0005-0000-0000-000053000000}"/>
    <cellStyle name="60% - Accent5 2" xfId="86" xr:uid="{00000000-0005-0000-0000-000054000000}"/>
    <cellStyle name="60% - Accent5 3" xfId="87" xr:uid="{00000000-0005-0000-0000-000055000000}"/>
    <cellStyle name="60% - Accent6 2" xfId="88" xr:uid="{00000000-0005-0000-0000-000056000000}"/>
    <cellStyle name="60% - Accent6 3" xfId="89" xr:uid="{00000000-0005-0000-0000-000057000000}"/>
    <cellStyle name="60% - Akzent1" xfId="90" xr:uid="{00000000-0005-0000-0000-000058000000}"/>
    <cellStyle name="60% - Akzent2" xfId="91" xr:uid="{00000000-0005-0000-0000-000059000000}"/>
    <cellStyle name="60% - Akzent3" xfId="92" xr:uid="{00000000-0005-0000-0000-00005A000000}"/>
    <cellStyle name="60% - Akzent4" xfId="93" xr:uid="{00000000-0005-0000-0000-00005B000000}"/>
    <cellStyle name="60% - Akzent5" xfId="94" xr:uid="{00000000-0005-0000-0000-00005C000000}"/>
    <cellStyle name="60% - Akzent6" xfId="95" xr:uid="{00000000-0005-0000-0000-00005D000000}"/>
    <cellStyle name="60% - Énfasis1" xfId="96" xr:uid="{00000000-0005-0000-0000-00005E000000}"/>
    <cellStyle name="60% - Énfasis2" xfId="97" xr:uid="{00000000-0005-0000-0000-00005F000000}"/>
    <cellStyle name="60% - Énfasis3" xfId="98" xr:uid="{00000000-0005-0000-0000-000060000000}"/>
    <cellStyle name="60% - Énfasis4" xfId="99" xr:uid="{00000000-0005-0000-0000-000061000000}"/>
    <cellStyle name="60% - Énfasis5" xfId="100" xr:uid="{00000000-0005-0000-0000-000062000000}"/>
    <cellStyle name="60% - Énfasis6" xfId="101" xr:uid="{00000000-0005-0000-0000-000063000000}"/>
    <cellStyle name="Accent1 2" xfId="102" xr:uid="{00000000-0005-0000-0000-000064000000}"/>
    <cellStyle name="Accent1 3" xfId="103" xr:uid="{00000000-0005-0000-0000-000065000000}"/>
    <cellStyle name="Accent2 2" xfId="104" xr:uid="{00000000-0005-0000-0000-000066000000}"/>
    <cellStyle name="Accent2 3" xfId="105" xr:uid="{00000000-0005-0000-0000-000067000000}"/>
    <cellStyle name="Accent3 2" xfId="106" xr:uid="{00000000-0005-0000-0000-000068000000}"/>
    <cellStyle name="Accent3 3" xfId="107" xr:uid="{00000000-0005-0000-0000-000069000000}"/>
    <cellStyle name="Accent4 2" xfId="108" xr:uid="{00000000-0005-0000-0000-00006A000000}"/>
    <cellStyle name="Accent4 3" xfId="109" xr:uid="{00000000-0005-0000-0000-00006B000000}"/>
    <cellStyle name="Accent5 2" xfId="110" xr:uid="{00000000-0005-0000-0000-00006C000000}"/>
    <cellStyle name="Accent5 3" xfId="111" xr:uid="{00000000-0005-0000-0000-00006D000000}"/>
    <cellStyle name="Accent6 2" xfId="112" xr:uid="{00000000-0005-0000-0000-00006E000000}"/>
    <cellStyle name="Accent6 3" xfId="113" xr:uid="{00000000-0005-0000-0000-00006F000000}"/>
    <cellStyle name="Akzent1" xfId="114" xr:uid="{00000000-0005-0000-0000-000070000000}"/>
    <cellStyle name="Akzent2" xfId="115" xr:uid="{00000000-0005-0000-0000-000071000000}"/>
    <cellStyle name="Akzent3" xfId="116" xr:uid="{00000000-0005-0000-0000-000072000000}"/>
    <cellStyle name="Akzent4" xfId="117" xr:uid="{00000000-0005-0000-0000-000073000000}"/>
    <cellStyle name="Akzent5" xfId="118" xr:uid="{00000000-0005-0000-0000-000074000000}"/>
    <cellStyle name="Akzent6" xfId="119" xr:uid="{00000000-0005-0000-0000-000075000000}"/>
    <cellStyle name="ANCLAS,REZONES Y SUS PARTES,DE FUNDICION,DE HIERRO O DE ACERO" xfId="120" xr:uid="{00000000-0005-0000-0000-000076000000}"/>
    <cellStyle name="Ausgabe" xfId="121" xr:uid="{00000000-0005-0000-0000-000077000000}"/>
    <cellStyle name="Bad 2" xfId="122" xr:uid="{00000000-0005-0000-0000-000078000000}"/>
    <cellStyle name="Bad 3" xfId="123" xr:uid="{00000000-0005-0000-0000-000079000000}"/>
    <cellStyle name="Berechnung" xfId="124" xr:uid="{00000000-0005-0000-0000-00007A000000}"/>
    <cellStyle name="bin" xfId="125" xr:uid="{00000000-0005-0000-0000-00007B000000}"/>
    <cellStyle name="Bold" xfId="126" xr:uid="{00000000-0005-0000-0000-00007C000000}"/>
    <cellStyle name="Buena" xfId="127" xr:uid="{00000000-0005-0000-0000-00007D000000}"/>
    <cellStyle name="Calculation 2" xfId="128" xr:uid="{00000000-0005-0000-0000-00007E000000}"/>
    <cellStyle name="Calculation 3" xfId="129" xr:uid="{00000000-0005-0000-0000-00007F000000}"/>
    <cellStyle name="Cálculo" xfId="130" xr:uid="{00000000-0005-0000-0000-000080000000}"/>
    <cellStyle name="Celda de comprobación" xfId="131" xr:uid="{00000000-0005-0000-0000-000081000000}"/>
    <cellStyle name="Celda vinculada" xfId="132" xr:uid="{00000000-0005-0000-0000-000082000000}"/>
    <cellStyle name="cell" xfId="133" xr:uid="{00000000-0005-0000-0000-000083000000}"/>
    <cellStyle name="Check Cell 2" xfId="134" xr:uid="{00000000-0005-0000-0000-000084000000}"/>
    <cellStyle name="Check Cell 3" xfId="135" xr:uid="{00000000-0005-0000-0000-000085000000}"/>
    <cellStyle name="clsAltData" xfId="136" xr:uid="{00000000-0005-0000-0000-000086000000}"/>
    <cellStyle name="clsAltMRVData" xfId="137" xr:uid="{00000000-0005-0000-0000-000087000000}"/>
    <cellStyle name="clsBlank" xfId="138" xr:uid="{00000000-0005-0000-0000-000088000000}"/>
    <cellStyle name="clsColumnHeader" xfId="139" xr:uid="{00000000-0005-0000-0000-000089000000}"/>
    <cellStyle name="clsData" xfId="140" xr:uid="{00000000-0005-0000-0000-00008A000000}"/>
    <cellStyle name="clsDefault" xfId="141" xr:uid="{00000000-0005-0000-0000-00008B000000}"/>
    <cellStyle name="clsFooter" xfId="142" xr:uid="{00000000-0005-0000-0000-00008C000000}"/>
    <cellStyle name="clsIndexTableData" xfId="143" xr:uid="{00000000-0005-0000-0000-00008D000000}"/>
    <cellStyle name="clsIndexTableHdr" xfId="144" xr:uid="{00000000-0005-0000-0000-00008E000000}"/>
    <cellStyle name="clsIndexTableTitle" xfId="145" xr:uid="{00000000-0005-0000-0000-00008F000000}"/>
    <cellStyle name="clsMRVData" xfId="146" xr:uid="{00000000-0005-0000-0000-000090000000}"/>
    <cellStyle name="clsReportFooter" xfId="147" xr:uid="{00000000-0005-0000-0000-000091000000}"/>
    <cellStyle name="clsReportHeader" xfId="148" xr:uid="{00000000-0005-0000-0000-000092000000}"/>
    <cellStyle name="clsRowHeader" xfId="149" xr:uid="{00000000-0005-0000-0000-000093000000}"/>
    <cellStyle name="clsScale" xfId="150" xr:uid="{00000000-0005-0000-0000-000094000000}"/>
    <cellStyle name="clsSection" xfId="151" xr:uid="{00000000-0005-0000-0000-000095000000}"/>
    <cellStyle name="Col&amp;RowHeadings" xfId="152" xr:uid="{00000000-0005-0000-0000-000096000000}"/>
    <cellStyle name="ColCodes" xfId="153" xr:uid="{00000000-0005-0000-0000-000097000000}"/>
    <cellStyle name="ColTitles" xfId="154" xr:uid="{00000000-0005-0000-0000-000098000000}"/>
    <cellStyle name="column" xfId="155" xr:uid="{00000000-0005-0000-0000-000099000000}"/>
    <cellStyle name="Comma" xfId="376" builtinId="3"/>
    <cellStyle name="Comma [0] 2" xfId="156" xr:uid="{00000000-0005-0000-0000-00009B000000}"/>
    <cellStyle name="Comma 2" xfId="157" xr:uid="{00000000-0005-0000-0000-00009C000000}"/>
    <cellStyle name="Comma 2 2" xfId="158" xr:uid="{00000000-0005-0000-0000-00009D000000}"/>
    <cellStyle name="Comma 2 3" xfId="159" xr:uid="{00000000-0005-0000-0000-00009E000000}"/>
    <cellStyle name="Comma 2 4" xfId="160" xr:uid="{00000000-0005-0000-0000-00009F000000}"/>
    <cellStyle name="Comma 2 5" xfId="385" xr:uid="{8F46BB76-ACEE-4821-9ABC-5AD267DEA323}"/>
    <cellStyle name="Comma 3" xfId="161" xr:uid="{00000000-0005-0000-0000-0000A0000000}"/>
    <cellStyle name="Comma 3 2" xfId="162" xr:uid="{00000000-0005-0000-0000-0000A1000000}"/>
    <cellStyle name="Comma 3 3" xfId="163" xr:uid="{00000000-0005-0000-0000-0000A2000000}"/>
    <cellStyle name="Comma 3 4" xfId="387" xr:uid="{1FE2EB4D-C6C7-41BC-9C83-BC87CBE4AB1D}"/>
    <cellStyle name="Comma 4" xfId="164" xr:uid="{00000000-0005-0000-0000-0000A3000000}"/>
    <cellStyle name="Comma 5" xfId="165" xr:uid="{00000000-0005-0000-0000-0000A4000000}"/>
    <cellStyle name="Comma 6" xfId="166" xr:uid="{00000000-0005-0000-0000-0000A5000000}"/>
    <cellStyle name="Comma 7" xfId="167" xr:uid="{00000000-0005-0000-0000-0000A6000000}"/>
    <cellStyle name="Comma 8" xfId="168" xr:uid="{00000000-0005-0000-0000-0000A7000000}"/>
    <cellStyle name="Comma 9" xfId="382" xr:uid="{C40854A0-6C8B-41FC-BF6D-28F11119BD43}"/>
    <cellStyle name="Currency 2" xfId="169" xr:uid="{00000000-0005-0000-0000-0000A8000000}"/>
    <cellStyle name="Currency 2 2" xfId="170" xr:uid="{00000000-0005-0000-0000-0000A9000000}"/>
    <cellStyle name="Currency 2 3" xfId="171" xr:uid="{00000000-0005-0000-0000-0000AA000000}"/>
    <cellStyle name="DataEntryCells" xfId="172" xr:uid="{00000000-0005-0000-0000-0000AB000000}"/>
    <cellStyle name="Eingabe" xfId="173" xr:uid="{00000000-0005-0000-0000-0000AC000000}"/>
    <cellStyle name="Encabezado 4" xfId="174" xr:uid="{00000000-0005-0000-0000-0000AD000000}"/>
    <cellStyle name="ENDARO" xfId="175" xr:uid="{00000000-0005-0000-0000-0000AE000000}"/>
    <cellStyle name="Énfasis1" xfId="176" xr:uid="{00000000-0005-0000-0000-0000AF000000}"/>
    <cellStyle name="Énfasis2" xfId="177" xr:uid="{00000000-0005-0000-0000-0000B0000000}"/>
    <cellStyle name="Énfasis3" xfId="178" xr:uid="{00000000-0005-0000-0000-0000B1000000}"/>
    <cellStyle name="Énfasis4" xfId="179" xr:uid="{00000000-0005-0000-0000-0000B2000000}"/>
    <cellStyle name="Énfasis5" xfId="180" xr:uid="{00000000-0005-0000-0000-0000B3000000}"/>
    <cellStyle name="Énfasis6" xfId="181" xr:uid="{00000000-0005-0000-0000-0000B4000000}"/>
    <cellStyle name="Entrada" xfId="182" xr:uid="{00000000-0005-0000-0000-0000B5000000}"/>
    <cellStyle name="Ergebnis" xfId="183" xr:uid="{00000000-0005-0000-0000-0000B6000000}"/>
    <cellStyle name="Erklärender Text" xfId="184" xr:uid="{00000000-0005-0000-0000-0000B7000000}"/>
    <cellStyle name="Excel Built-in Normal" xfId="185" xr:uid="{00000000-0005-0000-0000-0000B8000000}"/>
    <cellStyle name="Explanatory Text 2" xfId="186" xr:uid="{00000000-0005-0000-0000-0000B9000000}"/>
    <cellStyle name="Explanatory Text 3" xfId="187" xr:uid="{00000000-0005-0000-0000-0000BA000000}"/>
    <cellStyle name="Followed Hyperlink 2" xfId="188" xr:uid="{00000000-0005-0000-0000-0000BB000000}"/>
    <cellStyle name="formula" xfId="189" xr:uid="{00000000-0005-0000-0000-0000BC000000}"/>
    <cellStyle name="formula 2" xfId="190" xr:uid="{00000000-0005-0000-0000-0000BD000000}"/>
    <cellStyle name="gap" xfId="191" xr:uid="{00000000-0005-0000-0000-0000BE000000}"/>
    <cellStyle name="Good 2" xfId="192" xr:uid="{00000000-0005-0000-0000-0000BF000000}"/>
    <cellStyle name="Good 3" xfId="193" xr:uid="{00000000-0005-0000-0000-0000C0000000}"/>
    <cellStyle name="GreyBackground" xfId="194" xr:uid="{00000000-0005-0000-0000-0000C1000000}"/>
    <cellStyle name="Gut" xfId="195" xr:uid="{00000000-0005-0000-0000-0000C2000000}"/>
    <cellStyle name="Header" xfId="196" xr:uid="{00000000-0005-0000-0000-0000C3000000}"/>
    <cellStyle name="Heading 1 2" xfId="197" xr:uid="{00000000-0005-0000-0000-0000C4000000}"/>
    <cellStyle name="Heading 1 3" xfId="198" xr:uid="{00000000-0005-0000-0000-0000C5000000}"/>
    <cellStyle name="Heading 2 2" xfId="199" xr:uid="{00000000-0005-0000-0000-0000C6000000}"/>
    <cellStyle name="Heading 2 3" xfId="200" xr:uid="{00000000-0005-0000-0000-0000C7000000}"/>
    <cellStyle name="Heading 3 2" xfId="201" xr:uid="{00000000-0005-0000-0000-0000C8000000}"/>
    <cellStyle name="Heading 3 3" xfId="202" xr:uid="{00000000-0005-0000-0000-0000C9000000}"/>
    <cellStyle name="Heading 4 2" xfId="203" xr:uid="{00000000-0005-0000-0000-0000CA000000}"/>
    <cellStyle name="Heading 4 3" xfId="204" xr:uid="{00000000-0005-0000-0000-0000CB000000}"/>
    <cellStyle name="Hipervínculo 2" xfId="205" xr:uid="{00000000-0005-0000-0000-0000CC000000}"/>
    <cellStyle name="Hyperlink" xfId="378" builtinId="8"/>
    <cellStyle name="Hyperlink 2" xfId="206" xr:uid="{00000000-0005-0000-0000-0000CD000000}"/>
    <cellStyle name="Hyperlink 3" xfId="207" xr:uid="{00000000-0005-0000-0000-0000CE000000}"/>
    <cellStyle name="Hyperlink 3 2" xfId="208" xr:uid="{00000000-0005-0000-0000-0000CF000000}"/>
    <cellStyle name="Hyperlink 4" xfId="209" xr:uid="{00000000-0005-0000-0000-0000D0000000}"/>
    <cellStyle name="Hyperlink 5" xfId="210" xr:uid="{00000000-0005-0000-0000-0000D1000000}"/>
    <cellStyle name="Hyperlink 6" xfId="211" xr:uid="{00000000-0005-0000-0000-0000D2000000}"/>
    <cellStyle name="Hyperlink 7" xfId="212" xr:uid="{00000000-0005-0000-0000-0000D3000000}"/>
    <cellStyle name="Hyperlink 7 2" xfId="213" xr:uid="{00000000-0005-0000-0000-0000D4000000}"/>
    <cellStyle name="Hyperlink 8" xfId="214" xr:uid="{00000000-0005-0000-0000-0000D5000000}"/>
    <cellStyle name="Hyperlink 9" xfId="215" xr:uid="{00000000-0005-0000-0000-0000D6000000}"/>
    <cellStyle name="Incorrecto" xfId="216" xr:uid="{00000000-0005-0000-0000-0000D7000000}"/>
    <cellStyle name="Input 2" xfId="217" xr:uid="{00000000-0005-0000-0000-0000D8000000}"/>
    <cellStyle name="Input 3" xfId="218" xr:uid="{00000000-0005-0000-0000-0000D9000000}"/>
    <cellStyle name="ISC" xfId="219" xr:uid="{00000000-0005-0000-0000-0000DA000000}"/>
    <cellStyle name="JUJU" xfId="220" xr:uid="{00000000-0005-0000-0000-0000DB000000}"/>
    <cellStyle name="level1a" xfId="221" xr:uid="{00000000-0005-0000-0000-0000DC000000}"/>
    <cellStyle name="level2" xfId="222" xr:uid="{00000000-0005-0000-0000-0000DD000000}"/>
    <cellStyle name="level2a" xfId="223" xr:uid="{00000000-0005-0000-0000-0000DE000000}"/>
    <cellStyle name="level2a 2" xfId="380" xr:uid="{C0CAB8E3-750C-4596-8B20-8B3E64170FBD}"/>
    <cellStyle name="level3" xfId="224" xr:uid="{00000000-0005-0000-0000-0000DF000000}"/>
    <cellStyle name="Lien hypertexte 2" xfId="225" xr:uid="{00000000-0005-0000-0000-0000E0000000}"/>
    <cellStyle name="Linked Cell 2" xfId="226" xr:uid="{00000000-0005-0000-0000-0000E1000000}"/>
    <cellStyle name="Linked Cell 3" xfId="227" xr:uid="{00000000-0005-0000-0000-0000E2000000}"/>
    <cellStyle name="Migliaia (0)_conti99" xfId="228" xr:uid="{00000000-0005-0000-0000-0000E3000000}"/>
    <cellStyle name="Millares [0] 2" xfId="229" xr:uid="{00000000-0005-0000-0000-0000E4000000}"/>
    <cellStyle name="Millares [0] 3" xfId="230" xr:uid="{00000000-0005-0000-0000-0000E5000000}"/>
    <cellStyle name="Millares 10" xfId="231" xr:uid="{00000000-0005-0000-0000-0000E6000000}"/>
    <cellStyle name="Millares 11" xfId="232" xr:uid="{00000000-0005-0000-0000-0000E7000000}"/>
    <cellStyle name="Millares 12" xfId="233" xr:uid="{00000000-0005-0000-0000-0000E8000000}"/>
    <cellStyle name="Millares 13" xfId="234" xr:uid="{00000000-0005-0000-0000-0000E9000000}"/>
    <cellStyle name="Millares 14" xfId="235" xr:uid="{00000000-0005-0000-0000-0000EA000000}"/>
    <cellStyle name="Millares 15" xfId="236" xr:uid="{00000000-0005-0000-0000-0000EB000000}"/>
    <cellStyle name="Millares 16" xfId="237" xr:uid="{00000000-0005-0000-0000-0000EC000000}"/>
    <cellStyle name="Millares 17" xfId="238" xr:uid="{00000000-0005-0000-0000-0000ED000000}"/>
    <cellStyle name="Millares 18" xfId="377" xr:uid="{00000000-0005-0000-0000-0000EE000000}"/>
    <cellStyle name="Millares 2" xfId="239" xr:uid="{00000000-0005-0000-0000-0000EF000000}"/>
    <cellStyle name="Millares 3" xfId="240" xr:uid="{00000000-0005-0000-0000-0000F0000000}"/>
    <cellStyle name="Millares 4" xfId="241" xr:uid="{00000000-0005-0000-0000-0000F1000000}"/>
    <cellStyle name="Millares 5" xfId="242" xr:uid="{00000000-0005-0000-0000-0000F2000000}"/>
    <cellStyle name="Millares 6" xfId="243" xr:uid="{00000000-0005-0000-0000-0000F3000000}"/>
    <cellStyle name="Millares 7" xfId="244" xr:uid="{00000000-0005-0000-0000-0000F4000000}"/>
    <cellStyle name="Millares 8" xfId="245" xr:uid="{00000000-0005-0000-0000-0000F5000000}"/>
    <cellStyle name="Millares 9" xfId="246" xr:uid="{00000000-0005-0000-0000-0000F6000000}"/>
    <cellStyle name="Neutral 2" xfId="247" xr:uid="{00000000-0005-0000-0000-0000F7000000}"/>
    <cellStyle name="Neutral 3" xfId="248" xr:uid="{00000000-0005-0000-0000-0000F8000000}"/>
    <cellStyle name="Normal" xfId="0" builtinId="0"/>
    <cellStyle name="Normal 10" xfId="249" xr:uid="{00000000-0005-0000-0000-0000FA000000}"/>
    <cellStyle name="Normal 10 2" xfId="250" xr:uid="{00000000-0005-0000-0000-0000FB000000}"/>
    <cellStyle name="Normal 10 2 2" xfId="251" xr:uid="{00000000-0005-0000-0000-0000FC000000}"/>
    <cellStyle name="Normal 10 2 3" xfId="252" xr:uid="{00000000-0005-0000-0000-0000FD000000}"/>
    <cellStyle name="Normal 10 3" xfId="253" xr:uid="{00000000-0005-0000-0000-0000FE000000}"/>
    <cellStyle name="Normal 10 4" xfId="254" xr:uid="{00000000-0005-0000-0000-0000FF000000}"/>
    <cellStyle name="Normal 10 4 2" xfId="255" xr:uid="{00000000-0005-0000-0000-000000010000}"/>
    <cellStyle name="Normal 10 5" xfId="256" xr:uid="{00000000-0005-0000-0000-000001010000}"/>
    <cellStyle name="Normal 10_Consolidado ECHYP_26jul2012" xfId="257" xr:uid="{00000000-0005-0000-0000-000002010000}"/>
    <cellStyle name="Normal 11" xfId="258" xr:uid="{00000000-0005-0000-0000-000003010000}"/>
    <cellStyle name="Normal 12" xfId="259" xr:uid="{00000000-0005-0000-0000-000004010000}"/>
    <cellStyle name="Normal 13" xfId="260" xr:uid="{00000000-0005-0000-0000-000005010000}"/>
    <cellStyle name="Normal 13 2" xfId="261" xr:uid="{00000000-0005-0000-0000-000006010000}"/>
    <cellStyle name="Normal 14" xfId="262" xr:uid="{00000000-0005-0000-0000-000007010000}"/>
    <cellStyle name="Normal 15" xfId="263" xr:uid="{00000000-0005-0000-0000-000008010000}"/>
    <cellStyle name="Normal 16" xfId="264" xr:uid="{00000000-0005-0000-0000-000009010000}"/>
    <cellStyle name="Normal 17" xfId="381" xr:uid="{3E50FB54-1AA7-47E9-A371-90C164FCAB56}"/>
    <cellStyle name="Normal 2" xfId="265" xr:uid="{00000000-0005-0000-0000-00000A010000}"/>
    <cellStyle name="Normal 2 2" xfId="266" xr:uid="{00000000-0005-0000-0000-00000B010000}"/>
    <cellStyle name="Normal 2 2 2" xfId="267" xr:uid="{00000000-0005-0000-0000-00000C010000}"/>
    <cellStyle name="Normal 2 2 3" xfId="389" xr:uid="{CA459A7A-F29D-45F1-8751-37425EDB361A}"/>
    <cellStyle name="Normal 2 3" xfId="268" xr:uid="{00000000-0005-0000-0000-00000D010000}"/>
    <cellStyle name="Normal 2 3 2" xfId="269" xr:uid="{00000000-0005-0000-0000-00000E010000}"/>
    <cellStyle name="Normal 2 3 3" xfId="270" xr:uid="{00000000-0005-0000-0000-00000F010000}"/>
    <cellStyle name="Normal 2 4" xfId="271" xr:uid="{00000000-0005-0000-0000-000010010000}"/>
    <cellStyle name="Normal 2 5" xfId="272" xr:uid="{00000000-0005-0000-0000-000011010000}"/>
    <cellStyle name="Normal 2 6" xfId="273" xr:uid="{00000000-0005-0000-0000-000012010000}"/>
    <cellStyle name="Normal 2 7" xfId="375" xr:uid="{00000000-0005-0000-0000-000013010000}"/>
    <cellStyle name="Normal 2 7 2" xfId="384" xr:uid="{13E695B1-5F88-4E27-8DB6-9A056EEA394F}"/>
    <cellStyle name="Normal 2_AUG_TabChap2" xfId="274" xr:uid="{00000000-0005-0000-0000-000014010000}"/>
    <cellStyle name="Normal 3" xfId="275" xr:uid="{00000000-0005-0000-0000-000015010000}"/>
    <cellStyle name="Normal 3 2" xfId="276" xr:uid="{00000000-0005-0000-0000-000016010000}"/>
    <cellStyle name="Normal 3 3" xfId="386" xr:uid="{265B1F7F-2241-4D19-AA67-8604512BB7FD}"/>
    <cellStyle name="Normal 4" xfId="277" xr:uid="{00000000-0005-0000-0000-000017010000}"/>
    <cellStyle name="Normal 4 2" xfId="278" xr:uid="{00000000-0005-0000-0000-000018010000}"/>
    <cellStyle name="Normal 4 3" xfId="279" xr:uid="{00000000-0005-0000-0000-000019010000}"/>
    <cellStyle name="Normal 4 4" xfId="390" xr:uid="{094E20F1-9FEC-4503-B186-9A0130A7247D}"/>
    <cellStyle name="Normal 4_Consolidado ECHYP_26jul2012" xfId="280" xr:uid="{00000000-0005-0000-0000-00001A010000}"/>
    <cellStyle name="Normal 5" xfId="281" xr:uid="{00000000-0005-0000-0000-00001B010000}"/>
    <cellStyle name="Normal 5 2" xfId="282" xr:uid="{00000000-0005-0000-0000-00001C010000}"/>
    <cellStyle name="Normal 5 3" xfId="283" xr:uid="{00000000-0005-0000-0000-00001D010000}"/>
    <cellStyle name="Normal 6" xfId="284" xr:uid="{00000000-0005-0000-0000-00001E010000}"/>
    <cellStyle name="Normal 6 2" xfId="285" xr:uid="{00000000-0005-0000-0000-00001F010000}"/>
    <cellStyle name="Normal 7" xfId="286" xr:uid="{00000000-0005-0000-0000-000020010000}"/>
    <cellStyle name="Normal 7 2" xfId="287" xr:uid="{00000000-0005-0000-0000-000021010000}"/>
    <cellStyle name="Normal 7 2 2" xfId="379" xr:uid="{AFA510FE-8FE8-4F2B-AFF7-92E70DD5143F}"/>
    <cellStyle name="Normal 7 3" xfId="288" xr:uid="{00000000-0005-0000-0000-000022010000}"/>
    <cellStyle name="Normal 8" xfId="289" xr:uid="{00000000-0005-0000-0000-000023010000}"/>
    <cellStyle name="Normal 8 2" xfId="290" xr:uid="{00000000-0005-0000-0000-000024010000}"/>
    <cellStyle name="Normal 9" xfId="291" xr:uid="{00000000-0005-0000-0000-000025010000}"/>
    <cellStyle name="Normal 9 2" xfId="292" xr:uid="{00000000-0005-0000-0000-000026010000}"/>
    <cellStyle name="Normal 9 3" xfId="293" xr:uid="{00000000-0005-0000-0000-000027010000}"/>
    <cellStyle name="Notas" xfId="294" xr:uid="{00000000-0005-0000-0000-000028010000}"/>
    <cellStyle name="Notas 2" xfId="295" xr:uid="{00000000-0005-0000-0000-000029010000}"/>
    <cellStyle name="Notas 2 2" xfId="296" xr:uid="{00000000-0005-0000-0000-00002A010000}"/>
    <cellStyle name="Notas 2 3" xfId="297" xr:uid="{00000000-0005-0000-0000-00002B010000}"/>
    <cellStyle name="Note 2" xfId="298" xr:uid="{00000000-0005-0000-0000-00002C010000}"/>
    <cellStyle name="Note 2 2" xfId="299" xr:uid="{00000000-0005-0000-0000-00002D010000}"/>
    <cellStyle name="Note 2 3" xfId="300" xr:uid="{00000000-0005-0000-0000-00002E010000}"/>
    <cellStyle name="Note 2 4" xfId="301" xr:uid="{00000000-0005-0000-0000-00002F010000}"/>
    <cellStyle name="Note 3" xfId="302" xr:uid="{00000000-0005-0000-0000-000030010000}"/>
    <cellStyle name="Note 3 2" xfId="303" xr:uid="{00000000-0005-0000-0000-000031010000}"/>
    <cellStyle name="Note 4" xfId="304" xr:uid="{00000000-0005-0000-0000-000032010000}"/>
    <cellStyle name="Note 5" xfId="305" xr:uid="{00000000-0005-0000-0000-000033010000}"/>
    <cellStyle name="Note 6" xfId="306" xr:uid="{00000000-0005-0000-0000-000034010000}"/>
    <cellStyle name="Notiz" xfId="307" xr:uid="{00000000-0005-0000-0000-000035010000}"/>
    <cellStyle name="Output 2" xfId="308" xr:uid="{00000000-0005-0000-0000-000036010000}"/>
    <cellStyle name="Output 3" xfId="309" xr:uid="{00000000-0005-0000-0000-000037010000}"/>
    <cellStyle name="Percent" xfId="1" builtinId="5"/>
    <cellStyle name="Percent 2" xfId="310" xr:uid="{00000000-0005-0000-0000-000039010000}"/>
    <cellStyle name="Percent 2 2" xfId="311" xr:uid="{00000000-0005-0000-0000-00003A010000}"/>
    <cellStyle name="Percent 2 3" xfId="312" xr:uid="{00000000-0005-0000-0000-00003B010000}"/>
    <cellStyle name="Percent 2 4" xfId="313" xr:uid="{00000000-0005-0000-0000-00003C010000}"/>
    <cellStyle name="Percent 2 5" xfId="388" xr:uid="{DD9DF75C-43E4-4798-847E-02DC27F12E8B}"/>
    <cellStyle name="Percent 3" xfId="314" xr:uid="{00000000-0005-0000-0000-00003D010000}"/>
    <cellStyle name="Percent 4" xfId="315" xr:uid="{00000000-0005-0000-0000-00003E010000}"/>
    <cellStyle name="Percent 5" xfId="316" xr:uid="{00000000-0005-0000-0000-00003F010000}"/>
    <cellStyle name="Percent 6" xfId="383" xr:uid="{81B61EF4-E6B8-4DAE-A945-C6535C07AEBC}"/>
    <cellStyle name="Porcentaje 2" xfId="317" xr:uid="{00000000-0005-0000-0000-000040010000}"/>
    <cellStyle name="Prozent_SubCatperStud" xfId="318" xr:uid="{00000000-0005-0000-0000-000041010000}"/>
    <cellStyle name="row" xfId="319" xr:uid="{00000000-0005-0000-0000-000042010000}"/>
    <cellStyle name="RowCodes" xfId="320" xr:uid="{00000000-0005-0000-0000-000043010000}"/>
    <cellStyle name="Row-Col Headings" xfId="321" xr:uid="{00000000-0005-0000-0000-000044010000}"/>
    <cellStyle name="RowTitles_CENTRAL_GOVT" xfId="322" xr:uid="{00000000-0005-0000-0000-000045010000}"/>
    <cellStyle name="RowTitles-Col2" xfId="323" xr:uid="{00000000-0005-0000-0000-000046010000}"/>
    <cellStyle name="RowTitles-Detail" xfId="324" xr:uid="{00000000-0005-0000-0000-000047010000}"/>
    <cellStyle name="Salida" xfId="325" xr:uid="{00000000-0005-0000-0000-000048010000}"/>
    <cellStyle name="Schlecht" xfId="326" xr:uid="{00000000-0005-0000-0000-000049010000}"/>
    <cellStyle name="ss1" xfId="327" xr:uid="{00000000-0005-0000-0000-00004A010000}"/>
    <cellStyle name="ss10" xfId="328" xr:uid="{00000000-0005-0000-0000-00004B010000}"/>
    <cellStyle name="ss11" xfId="329" xr:uid="{00000000-0005-0000-0000-00004C010000}"/>
    <cellStyle name="ss12" xfId="330" xr:uid="{00000000-0005-0000-0000-00004D010000}"/>
    <cellStyle name="ss13" xfId="331" xr:uid="{00000000-0005-0000-0000-00004E010000}"/>
    <cellStyle name="ss14" xfId="332" xr:uid="{00000000-0005-0000-0000-00004F010000}"/>
    <cellStyle name="ss15" xfId="333" xr:uid="{00000000-0005-0000-0000-000050010000}"/>
    <cellStyle name="ss16" xfId="334" xr:uid="{00000000-0005-0000-0000-000051010000}"/>
    <cellStyle name="ss17" xfId="335" xr:uid="{00000000-0005-0000-0000-000052010000}"/>
    <cellStyle name="ss18" xfId="336" xr:uid="{00000000-0005-0000-0000-000053010000}"/>
    <cellStyle name="ss19" xfId="337" xr:uid="{00000000-0005-0000-0000-000054010000}"/>
    <cellStyle name="ss2" xfId="338" xr:uid="{00000000-0005-0000-0000-000055010000}"/>
    <cellStyle name="ss20" xfId="339" xr:uid="{00000000-0005-0000-0000-000056010000}"/>
    <cellStyle name="ss21" xfId="340" xr:uid="{00000000-0005-0000-0000-000057010000}"/>
    <cellStyle name="ss22" xfId="341" xr:uid="{00000000-0005-0000-0000-000058010000}"/>
    <cellStyle name="ss23" xfId="342" xr:uid="{00000000-0005-0000-0000-000059010000}"/>
    <cellStyle name="ss24" xfId="343" xr:uid="{00000000-0005-0000-0000-00005A010000}"/>
    <cellStyle name="ss25" xfId="344" xr:uid="{00000000-0005-0000-0000-00005B010000}"/>
    <cellStyle name="ss3" xfId="345" xr:uid="{00000000-0005-0000-0000-00005C010000}"/>
    <cellStyle name="ss4" xfId="346" xr:uid="{00000000-0005-0000-0000-00005D010000}"/>
    <cellStyle name="ss5" xfId="347" xr:uid="{00000000-0005-0000-0000-00005E010000}"/>
    <cellStyle name="ss6" xfId="348" xr:uid="{00000000-0005-0000-0000-00005F010000}"/>
    <cellStyle name="ss7" xfId="349" xr:uid="{00000000-0005-0000-0000-000060010000}"/>
    <cellStyle name="ss8" xfId="350" xr:uid="{00000000-0005-0000-0000-000061010000}"/>
    <cellStyle name="ss9" xfId="351" xr:uid="{00000000-0005-0000-0000-000062010000}"/>
    <cellStyle name="Standard_Info" xfId="352" xr:uid="{00000000-0005-0000-0000-000063010000}"/>
    <cellStyle name="temp" xfId="353" xr:uid="{00000000-0005-0000-0000-000064010000}"/>
    <cellStyle name="Texto de advertencia" xfId="354" xr:uid="{00000000-0005-0000-0000-000065010000}"/>
    <cellStyle name="Texto explicativo" xfId="355" xr:uid="{00000000-0005-0000-0000-000066010000}"/>
    <cellStyle name="Title 2" xfId="356" xr:uid="{00000000-0005-0000-0000-000067010000}"/>
    <cellStyle name="title1" xfId="357" xr:uid="{00000000-0005-0000-0000-000068010000}"/>
    <cellStyle name="Título" xfId="358" xr:uid="{00000000-0005-0000-0000-000069010000}"/>
    <cellStyle name="Título 1" xfId="359" xr:uid="{00000000-0005-0000-0000-00006A010000}"/>
    <cellStyle name="Título 2" xfId="360" xr:uid="{00000000-0005-0000-0000-00006B010000}"/>
    <cellStyle name="Título 3" xfId="361" xr:uid="{00000000-0005-0000-0000-00006C010000}"/>
    <cellStyle name="Total 2" xfId="362" xr:uid="{00000000-0005-0000-0000-00006D010000}"/>
    <cellStyle name="Total 3" xfId="363" xr:uid="{00000000-0005-0000-0000-00006E010000}"/>
    <cellStyle name="Überschrift" xfId="364" xr:uid="{00000000-0005-0000-0000-00006F010000}"/>
    <cellStyle name="Überschrift 1" xfId="365" xr:uid="{00000000-0005-0000-0000-000070010000}"/>
    <cellStyle name="Überschrift 2" xfId="366" xr:uid="{00000000-0005-0000-0000-000071010000}"/>
    <cellStyle name="Überschrift 3" xfId="367" xr:uid="{00000000-0005-0000-0000-000072010000}"/>
    <cellStyle name="Überschrift 4" xfId="368" xr:uid="{00000000-0005-0000-0000-000073010000}"/>
    <cellStyle name="Verknüpfte Zelle" xfId="369" xr:uid="{00000000-0005-0000-0000-000074010000}"/>
    <cellStyle name="Warnender Text" xfId="370" xr:uid="{00000000-0005-0000-0000-000075010000}"/>
    <cellStyle name="Warning Text 2" xfId="371" xr:uid="{00000000-0005-0000-0000-000076010000}"/>
    <cellStyle name="Warning Text 3" xfId="372" xr:uid="{00000000-0005-0000-0000-000077010000}"/>
    <cellStyle name="WordWrap" xfId="373" xr:uid="{00000000-0005-0000-0000-000078010000}"/>
    <cellStyle name="Zelle überprüfen" xfId="374" xr:uid="{00000000-0005-0000-0000-000079010000}"/>
  </cellStyles>
  <dxfs count="7">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dxf>
    <dxf>
      <font>
        <b val="0"/>
        <i val="0"/>
        <strike val="0"/>
        <condense val="0"/>
        <extend val="0"/>
        <outline val="0"/>
        <shadow val="0"/>
        <u val="none"/>
        <vertAlign val="baseline"/>
        <sz val="11"/>
        <color theme="1"/>
        <name val="Times New Roman"/>
        <family val="1"/>
        <scheme val="none"/>
      </font>
      <alignment horizontal="center"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fill>
        <patternFill patternType="none">
          <fgColor indexed="64"/>
          <bgColor indexed="65"/>
        </patternFill>
      </fill>
    </dxf>
    <dxf>
      <border>
        <bottom style="thin">
          <color indexed="64"/>
        </bottom>
      </border>
    </dxf>
    <dxf>
      <font>
        <b/>
        <i val="0"/>
        <strike val="0"/>
        <condense val="0"/>
        <extend val="0"/>
        <outline val="0"/>
        <shadow val="0"/>
        <u val="none"/>
        <vertAlign val="baseline"/>
        <sz val="11"/>
        <color theme="1"/>
        <name val="Aptos Narrow"/>
        <family val="2"/>
        <scheme val="minor"/>
      </font>
      <alignment horizontal="center" vertical="bottom" textRotation="0" wrapText="0" indent="0" justifyLastLine="0" shrinkToFit="0" readingOrder="0"/>
    </dxf>
  </dxfs>
  <tableStyles count="0" defaultTableStyle="TableStyleMedium2" defaultPivotStyle="PivotStyleLight16"/>
  <colors>
    <mruColors>
      <color rgb="FFE97132"/>
      <color rgb="FFE46C0A"/>
      <color rgb="FFD9D9D9"/>
      <color rgb="FF31859C"/>
      <color rgb="FF558ED5"/>
      <color rgb="FF93CDDD"/>
      <color rgb="FF0B3041"/>
      <color rgb="FF4E95D9"/>
      <color rgb="FF95B3D7"/>
      <color rgb="FFF2AA8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microsoft.com/office/2017/10/relationships/person" Target="persons/person.xml"/><Relationship Id="rId50" Type="http://schemas.openxmlformats.org/officeDocument/2006/relationships/customXml" Target="../customXml/item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theme" Target="theme/theme1.xml"/><Relationship Id="rId52"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calcChain" Target="calcChain.xml"/><Relationship Id="rId8" Type="http://schemas.openxmlformats.org/officeDocument/2006/relationships/worksheet" Target="worksheets/sheet8.xml"/><Relationship Id="rId51" Type="http://schemas.openxmlformats.org/officeDocument/2006/relationships/customXml" Target="../customXml/item3.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sharedStrings" Target="sharedStrings.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charts/_rels/chart11.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13.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14.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15.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26.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7.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34.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39.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43.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44.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9.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Ex1.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Sheet1!$B$3</c:f>
              <c:strCache>
                <c:ptCount val="1"/>
                <c:pt idx="0">
                  <c:v>Seguridad Social del empleado</c:v>
                </c:pt>
              </c:strCache>
            </c:strRef>
          </c:tx>
          <c:spPr>
            <a:solidFill>
              <a:schemeClr val="tx2">
                <a:lumMod val="50000"/>
              </a:schemeClr>
            </a:solidFill>
          </c:spPr>
          <c:invertIfNegative val="0"/>
          <c:cat>
            <c:strRef>
              <c:f>Sheet1!$A$5:$A$25</c:f>
              <c:strCache>
                <c:ptCount val="21"/>
                <c:pt idx="0">
                  <c:v>ARG</c:v>
                </c:pt>
                <c:pt idx="1">
                  <c:v>BRA</c:v>
                </c:pt>
                <c:pt idx="2">
                  <c:v>BOL</c:v>
                </c:pt>
                <c:pt idx="3">
                  <c:v>URY</c:v>
                </c:pt>
                <c:pt idx="4">
                  <c:v>COL</c:v>
                </c:pt>
                <c:pt idx="5">
                  <c:v>PER</c:v>
                </c:pt>
                <c:pt idx="6">
                  <c:v>ECU</c:v>
                </c:pt>
                <c:pt idx="7">
                  <c:v>CRI</c:v>
                </c:pt>
                <c:pt idx="8">
                  <c:v>PAN</c:v>
                </c:pt>
                <c:pt idx="9">
                  <c:v>PRY</c:v>
                </c:pt>
                <c:pt idx="10">
                  <c:v>GTM</c:v>
                </c:pt>
                <c:pt idx="11">
                  <c:v>VEN</c:v>
                </c:pt>
                <c:pt idx="12">
                  <c:v>NIC</c:v>
                </c:pt>
                <c:pt idx="13">
                  <c:v>MEX</c:v>
                </c:pt>
                <c:pt idx="14">
                  <c:v>SLV</c:v>
                </c:pt>
                <c:pt idx="15">
                  <c:v>DOM</c:v>
                </c:pt>
                <c:pt idx="16">
                  <c:v>HND</c:v>
                </c:pt>
                <c:pt idx="17">
                  <c:v>CHL</c:v>
                </c:pt>
                <c:pt idx="18">
                  <c:v>JAM</c:v>
                </c:pt>
                <c:pt idx="19">
                  <c:v>BRB</c:v>
                </c:pt>
                <c:pt idx="20">
                  <c:v>TTO</c:v>
                </c:pt>
              </c:strCache>
            </c:strRef>
          </c:cat>
          <c:val>
            <c:numRef>
              <c:f>Sheet1!$B$5:$B$25</c:f>
              <c:numCache>
                <c:formatCode>0%</c:formatCode>
                <c:ptCount val="21"/>
                <c:pt idx="0">
                  <c:v>0.20156716417910442</c:v>
                </c:pt>
                <c:pt idx="1">
                  <c:v>9.3343162397179269E-2</c:v>
                </c:pt>
                <c:pt idx="2">
                  <c:v>0.12709999999999999</c:v>
                </c:pt>
                <c:pt idx="3">
                  <c:v>0.1999489427672575</c:v>
                </c:pt>
                <c:pt idx="4">
                  <c:v>7.6417910447761195E-2</c:v>
                </c:pt>
                <c:pt idx="5">
                  <c:v>9.7500000000000003E-2</c:v>
                </c:pt>
                <c:pt idx="6">
                  <c:v>0.11309016393442625</c:v>
                </c:pt>
                <c:pt idx="7">
                  <c:v>7.4933955223880605E-2</c:v>
                </c:pt>
                <c:pt idx="8">
                  <c:v>0.11111940298507461</c:v>
                </c:pt>
                <c:pt idx="9">
                  <c:v>9.8059701492537302E-2</c:v>
                </c:pt>
                <c:pt idx="10">
                  <c:v>3.8725000000000002E-2</c:v>
                </c:pt>
                <c:pt idx="11">
                  <c:v>5.5447761194029846E-2</c:v>
                </c:pt>
                <c:pt idx="12">
                  <c:v>4.6875E-2</c:v>
                </c:pt>
                <c:pt idx="13">
                  <c:v>2.631684824878975E-2</c:v>
                </c:pt>
                <c:pt idx="14">
                  <c:v>8.9110480164062547E-2</c:v>
                </c:pt>
                <c:pt idx="15">
                  <c:v>4.8702985074626864E-2</c:v>
                </c:pt>
                <c:pt idx="16">
                  <c:v>2.3739741707387369E-2</c:v>
                </c:pt>
                <c:pt idx="17">
                  <c:v>0.19078356181553863</c:v>
                </c:pt>
                <c:pt idx="18">
                  <c:v>6.6997479834238233E-2</c:v>
                </c:pt>
                <c:pt idx="19">
                  <c:v>9.0069550010344293E-2</c:v>
                </c:pt>
                <c:pt idx="20">
                  <c:v>4.7832083585207824E-2</c:v>
                </c:pt>
              </c:numCache>
            </c:numRef>
          </c:val>
          <c:extLst>
            <c:ext xmlns:c16="http://schemas.microsoft.com/office/drawing/2014/chart" uri="{C3380CC4-5D6E-409C-BE32-E72D297353CC}">
              <c16:uniqueId val="{00000000-C3FB-46AC-BBB6-8DC9C30CBBE9}"/>
            </c:ext>
          </c:extLst>
        </c:ser>
        <c:ser>
          <c:idx val="1"/>
          <c:order val="1"/>
          <c:tx>
            <c:strRef>
              <c:f>Sheet1!$C$3</c:f>
              <c:strCache>
                <c:ptCount val="1"/>
                <c:pt idx="0">
                  <c:v>Seguridad Social del empleador</c:v>
                </c:pt>
              </c:strCache>
            </c:strRef>
          </c:tx>
          <c:spPr>
            <a:solidFill>
              <a:schemeClr val="accent1">
                <a:lumMod val="75000"/>
              </a:schemeClr>
            </a:solidFill>
          </c:spPr>
          <c:invertIfNegative val="0"/>
          <c:cat>
            <c:strRef>
              <c:f>Sheet1!$A$5:$A$25</c:f>
              <c:strCache>
                <c:ptCount val="21"/>
                <c:pt idx="0">
                  <c:v>ARG</c:v>
                </c:pt>
                <c:pt idx="1">
                  <c:v>BRA</c:v>
                </c:pt>
                <c:pt idx="2">
                  <c:v>BOL</c:v>
                </c:pt>
                <c:pt idx="3">
                  <c:v>URY</c:v>
                </c:pt>
                <c:pt idx="4">
                  <c:v>COL</c:v>
                </c:pt>
                <c:pt idx="5">
                  <c:v>PER</c:v>
                </c:pt>
                <c:pt idx="6">
                  <c:v>ECU</c:v>
                </c:pt>
                <c:pt idx="7">
                  <c:v>CRI</c:v>
                </c:pt>
                <c:pt idx="8">
                  <c:v>PAN</c:v>
                </c:pt>
                <c:pt idx="9">
                  <c:v>PRY</c:v>
                </c:pt>
                <c:pt idx="10">
                  <c:v>GTM</c:v>
                </c:pt>
                <c:pt idx="11">
                  <c:v>VEN</c:v>
                </c:pt>
                <c:pt idx="12">
                  <c:v>NIC</c:v>
                </c:pt>
                <c:pt idx="13">
                  <c:v>MEX</c:v>
                </c:pt>
                <c:pt idx="14">
                  <c:v>SLV</c:v>
                </c:pt>
                <c:pt idx="15">
                  <c:v>DOM</c:v>
                </c:pt>
                <c:pt idx="16">
                  <c:v>HND</c:v>
                </c:pt>
                <c:pt idx="17">
                  <c:v>CHL</c:v>
                </c:pt>
                <c:pt idx="18">
                  <c:v>JAM</c:v>
                </c:pt>
                <c:pt idx="19">
                  <c:v>BRB</c:v>
                </c:pt>
                <c:pt idx="20">
                  <c:v>TTO</c:v>
                </c:pt>
              </c:strCache>
            </c:strRef>
          </c:cat>
          <c:val>
            <c:numRef>
              <c:f>Sheet1!$C$5:$C$25</c:f>
              <c:numCache>
                <c:formatCode>0%</c:formatCode>
                <c:ptCount val="21"/>
                <c:pt idx="0">
                  <c:v>0.28328358208955223</c:v>
                </c:pt>
                <c:pt idx="1">
                  <c:v>0.3410251320446358</c:v>
                </c:pt>
                <c:pt idx="2">
                  <c:v>0.16710000000000003</c:v>
                </c:pt>
                <c:pt idx="3">
                  <c:v>0.19525000000000001</c:v>
                </c:pt>
                <c:pt idx="4">
                  <c:v>0.35926895522388058</c:v>
                </c:pt>
                <c:pt idx="5">
                  <c:v>7.2224999999999998E-2</c:v>
                </c:pt>
                <c:pt idx="6">
                  <c:v>0.13097745901639346</c:v>
                </c:pt>
                <c:pt idx="7">
                  <c:v>0.2138518656716418</c:v>
                </c:pt>
                <c:pt idx="8">
                  <c:v>0.13923528358208956</c:v>
                </c:pt>
                <c:pt idx="9">
                  <c:v>0.16343283582089554</c:v>
                </c:pt>
                <c:pt idx="10">
                  <c:v>0.10752500000000001</c:v>
                </c:pt>
                <c:pt idx="11">
                  <c:v>0.15749999999999997</c:v>
                </c:pt>
                <c:pt idx="12">
                  <c:v>0.1417910447761194</c:v>
                </c:pt>
                <c:pt idx="13">
                  <c:v>0.21273418204389907</c:v>
                </c:pt>
                <c:pt idx="14">
                  <c:v>0.14402620041015635</c:v>
                </c:pt>
                <c:pt idx="15">
                  <c:v>0.13573116776012031</c:v>
                </c:pt>
                <c:pt idx="16">
                  <c:v>4.6055098912331498E-2</c:v>
                </c:pt>
                <c:pt idx="17">
                  <c:v>4.6100000000000002E-2</c:v>
                </c:pt>
                <c:pt idx="18">
                  <c:v>0.11999742840228392</c:v>
                </c:pt>
                <c:pt idx="19">
                  <c:v>0.10476030901090666</c:v>
                </c:pt>
                <c:pt idx="20">
                  <c:v>7.7724540107612206E-2</c:v>
                </c:pt>
              </c:numCache>
            </c:numRef>
          </c:val>
          <c:extLst>
            <c:ext xmlns:c16="http://schemas.microsoft.com/office/drawing/2014/chart" uri="{C3380CC4-5D6E-409C-BE32-E72D297353CC}">
              <c16:uniqueId val="{00000001-C3FB-46AC-BBB6-8DC9C30CBBE9}"/>
            </c:ext>
          </c:extLst>
        </c:ser>
        <c:ser>
          <c:idx val="2"/>
          <c:order val="2"/>
          <c:tx>
            <c:strRef>
              <c:f>Sheet1!$D$3</c:f>
              <c:strCache>
                <c:ptCount val="1"/>
                <c:pt idx="0">
                  <c:v>Vacaciones</c:v>
                </c:pt>
              </c:strCache>
            </c:strRef>
          </c:tx>
          <c:spPr>
            <a:solidFill>
              <a:schemeClr val="accent1">
                <a:lumMod val="60000"/>
                <a:lumOff val="40000"/>
              </a:schemeClr>
            </a:solidFill>
          </c:spPr>
          <c:invertIfNegative val="0"/>
          <c:cat>
            <c:strRef>
              <c:f>Sheet1!$A$5:$A$25</c:f>
              <c:strCache>
                <c:ptCount val="21"/>
                <c:pt idx="0">
                  <c:v>ARG</c:v>
                </c:pt>
                <c:pt idx="1">
                  <c:v>BRA</c:v>
                </c:pt>
                <c:pt idx="2">
                  <c:v>BOL</c:v>
                </c:pt>
                <c:pt idx="3">
                  <c:v>URY</c:v>
                </c:pt>
                <c:pt idx="4">
                  <c:v>COL</c:v>
                </c:pt>
                <c:pt idx="5">
                  <c:v>PER</c:v>
                </c:pt>
                <c:pt idx="6">
                  <c:v>ECU</c:v>
                </c:pt>
                <c:pt idx="7">
                  <c:v>CRI</c:v>
                </c:pt>
                <c:pt idx="8">
                  <c:v>PAN</c:v>
                </c:pt>
                <c:pt idx="9">
                  <c:v>PRY</c:v>
                </c:pt>
                <c:pt idx="10">
                  <c:v>GTM</c:v>
                </c:pt>
                <c:pt idx="11">
                  <c:v>VEN</c:v>
                </c:pt>
                <c:pt idx="12">
                  <c:v>NIC</c:v>
                </c:pt>
                <c:pt idx="13">
                  <c:v>MEX</c:v>
                </c:pt>
                <c:pt idx="14">
                  <c:v>SLV</c:v>
                </c:pt>
                <c:pt idx="15">
                  <c:v>DOM</c:v>
                </c:pt>
                <c:pt idx="16">
                  <c:v>HND</c:v>
                </c:pt>
                <c:pt idx="17">
                  <c:v>CHL</c:v>
                </c:pt>
                <c:pt idx="18">
                  <c:v>JAM</c:v>
                </c:pt>
                <c:pt idx="19">
                  <c:v>BRB</c:v>
                </c:pt>
                <c:pt idx="20">
                  <c:v>TTO</c:v>
                </c:pt>
              </c:strCache>
            </c:strRef>
          </c:cat>
          <c:val>
            <c:numRef>
              <c:f>Sheet1!$D$5:$D$25</c:f>
              <c:numCache>
                <c:formatCode>0%</c:formatCode>
                <c:ptCount val="21"/>
                <c:pt idx="0">
                  <c:v>3.888888888888889E-2</c:v>
                </c:pt>
                <c:pt idx="1">
                  <c:v>0.1111111111111111</c:v>
                </c:pt>
                <c:pt idx="2">
                  <c:v>5.5555555555555552E-2</c:v>
                </c:pt>
                <c:pt idx="3">
                  <c:v>5.8333333333333334E-2</c:v>
                </c:pt>
                <c:pt idx="4">
                  <c:v>4.1666666666666664E-2</c:v>
                </c:pt>
                <c:pt idx="5">
                  <c:v>8.3333333333333329E-2</c:v>
                </c:pt>
                <c:pt idx="6">
                  <c:v>4.1666666666666664E-2</c:v>
                </c:pt>
                <c:pt idx="7">
                  <c:v>3.888888888888889E-2</c:v>
                </c:pt>
                <c:pt idx="8">
                  <c:v>8.3333333333333329E-2</c:v>
                </c:pt>
                <c:pt idx="9">
                  <c:v>3.3333333333333333E-2</c:v>
                </c:pt>
                <c:pt idx="10">
                  <c:v>4.1666666666666664E-2</c:v>
                </c:pt>
                <c:pt idx="11">
                  <c:v>5.2777777777777778E-2</c:v>
                </c:pt>
                <c:pt idx="12">
                  <c:v>8.3333333333333329E-2</c:v>
                </c:pt>
                <c:pt idx="13">
                  <c:v>3.888888888888889E-2</c:v>
                </c:pt>
                <c:pt idx="14">
                  <c:v>6.6666666666666666E-2</c:v>
                </c:pt>
                <c:pt idx="15">
                  <c:v>0.05</c:v>
                </c:pt>
                <c:pt idx="16">
                  <c:v>5.5555555555555552E-2</c:v>
                </c:pt>
                <c:pt idx="17">
                  <c:v>4.1666666666666699E-2</c:v>
                </c:pt>
                <c:pt idx="18">
                  <c:v>3.888888888888889E-2</c:v>
                </c:pt>
                <c:pt idx="19">
                  <c:v>0</c:v>
                </c:pt>
                <c:pt idx="20">
                  <c:v>0</c:v>
                </c:pt>
              </c:numCache>
            </c:numRef>
          </c:val>
          <c:extLst>
            <c:ext xmlns:c16="http://schemas.microsoft.com/office/drawing/2014/chart" uri="{C3380CC4-5D6E-409C-BE32-E72D297353CC}">
              <c16:uniqueId val="{00000002-C3FB-46AC-BBB6-8DC9C30CBBE9}"/>
            </c:ext>
          </c:extLst>
        </c:ser>
        <c:ser>
          <c:idx val="3"/>
          <c:order val="3"/>
          <c:tx>
            <c:strRef>
              <c:f>Sheet1!$E$3</c:f>
              <c:strCache>
                <c:ptCount val="1"/>
                <c:pt idx="0">
                  <c:v>Aguinaldo</c:v>
                </c:pt>
              </c:strCache>
            </c:strRef>
          </c:tx>
          <c:spPr>
            <a:solidFill>
              <a:schemeClr val="accent1">
                <a:lumMod val="20000"/>
                <a:lumOff val="80000"/>
              </a:schemeClr>
            </a:solidFill>
          </c:spPr>
          <c:invertIfNegative val="0"/>
          <c:cat>
            <c:strRef>
              <c:f>Sheet1!$A$5:$A$25</c:f>
              <c:strCache>
                <c:ptCount val="21"/>
                <c:pt idx="0">
                  <c:v>ARG</c:v>
                </c:pt>
                <c:pt idx="1">
                  <c:v>BRA</c:v>
                </c:pt>
                <c:pt idx="2">
                  <c:v>BOL</c:v>
                </c:pt>
                <c:pt idx="3">
                  <c:v>URY</c:v>
                </c:pt>
                <c:pt idx="4">
                  <c:v>COL</c:v>
                </c:pt>
                <c:pt idx="5">
                  <c:v>PER</c:v>
                </c:pt>
                <c:pt idx="6">
                  <c:v>ECU</c:v>
                </c:pt>
                <c:pt idx="7">
                  <c:v>CRI</c:v>
                </c:pt>
                <c:pt idx="8">
                  <c:v>PAN</c:v>
                </c:pt>
                <c:pt idx="9">
                  <c:v>PRY</c:v>
                </c:pt>
                <c:pt idx="10">
                  <c:v>GTM</c:v>
                </c:pt>
                <c:pt idx="11">
                  <c:v>VEN</c:v>
                </c:pt>
                <c:pt idx="12">
                  <c:v>NIC</c:v>
                </c:pt>
                <c:pt idx="13">
                  <c:v>MEX</c:v>
                </c:pt>
                <c:pt idx="14">
                  <c:v>SLV</c:v>
                </c:pt>
                <c:pt idx="15">
                  <c:v>DOM</c:v>
                </c:pt>
                <c:pt idx="16">
                  <c:v>HND</c:v>
                </c:pt>
                <c:pt idx="17">
                  <c:v>CHL</c:v>
                </c:pt>
                <c:pt idx="18">
                  <c:v>JAM</c:v>
                </c:pt>
                <c:pt idx="19">
                  <c:v>BRB</c:v>
                </c:pt>
                <c:pt idx="20">
                  <c:v>TTO</c:v>
                </c:pt>
              </c:strCache>
            </c:strRef>
          </c:cat>
          <c:val>
            <c:numRef>
              <c:f>Sheet1!$E$5:$E$25</c:f>
              <c:numCache>
                <c:formatCode>0%</c:formatCode>
                <c:ptCount val="21"/>
                <c:pt idx="0">
                  <c:v>8.3333333333333329E-2</c:v>
                </c:pt>
                <c:pt idx="1">
                  <c:v>8.3333333333333329E-2</c:v>
                </c:pt>
                <c:pt idx="2">
                  <c:v>0.16666666666666666</c:v>
                </c:pt>
                <c:pt idx="3">
                  <c:v>8.3333333333333329E-2</c:v>
                </c:pt>
                <c:pt idx="4">
                  <c:v>8.3333333333333329E-2</c:v>
                </c:pt>
                <c:pt idx="5">
                  <c:v>0.16666666666666666</c:v>
                </c:pt>
                <c:pt idx="6">
                  <c:v>0.13271380530798838</c:v>
                </c:pt>
                <c:pt idx="7">
                  <c:v>8.3333333333333329E-2</c:v>
                </c:pt>
                <c:pt idx="8">
                  <c:v>8.3333333333333329E-2</c:v>
                </c:pt>
                <c:pt idx="9">
                  <c:v>8.3333333333333329E-2</c:v>
                </c:pt>
                <c:pt idx="10">
                  <c:v>0.16666666666666666</c:v>
                </c:pt>
                <c:pt idx="11">
                  <c:v>8.3333333333333329E-2</c:v>
                </c:pt>
                <c:pt idx="12">
                  <c:v>8.3333333333333329E-2</c:v>
                </c:pt>
                <c:pt idx="13">
                  <c:v>4.1666666666666664E-2</c:v>
                </c:pt>
                <c:pt idx="14">
                  <c:v>4.1666666666666664E-2</c:v>
                </c:pt>
                <c:pt idx="15">
                  <c:v>8.3333333333333329E-2</c:v>
                </c:pt>
                <c:pt idx="16">
                  <c:v>0.16666666666666666</c:v>
                </c:pt>
                <c:pt idx="17">
                  <c:v>0</c:v>
                </c:pt>
                <c:pt idx="18">
                  <c:v>0</c:v>
                </c:pt>
                <c:pt idx="19">
                  <c:v>3.7433155080213901E-2</c:v>
                </c:pt>
                <c:pt idx="20">
                  <c:v>3.7433155080213901E-2</c:v>
                </c:pt>
              </c:numCache>
            </c:numRef>
          </c:val>
          <c:extLst>
            <c:ext xmlns:c16="http://schemas.microsoft.com/office/drawing/2014/chart" uri="{C3380CC4-5D6E-409C-BE32-E72D297353CC}">
              <c16:uniqueId val="{00000003-C3FB-46AC-BBB6-8DC9C30CBBE9}"/>
            </c:ext>
          </c:extLst>
        </c:ser>
        <c:ser>
          <c:idx val="4"/>
          <c:order val="4"/>
          <c:tx>
            <c:strRef>
              <c:f>Sheet1!$F$4</c:f>
              <c:strCache>
                <c:ptCount val="1"/>
                <c:pt idx="0">
                  <c:v>Despido (flujo)</c:v>
                </c:pt>
              </c:strCache>
            </c:strRef>
          </c:tx>
          <c:spPr>
            <a:solidFill>
              <a:schemeClr val="bg1">
                <a:lumMod val="50000"/>
              </a:schemeClr>
            </a:solidFill>
          </c:spPr>
          <c:invertIfNegative val="0"/>
          <c:cat>
            <c:strRef>
              <c:f>Sheet1!$A$5:$A$25</c:f>
              <c:strCache>
                <c:ptCount val="21"/>
                <c:pt idx="0">
                  <c:v>ARG</c:v>
                </c:pt>
                <c:pt idx="1">
                  <c:v>BRA</c:v>
                </c:pt>
                <c:pt idx="2">
                  <c:v>BOL</c:v>
                </c:pt>
                <c:pt idx="3">
                  <c:v>URY</c:v>
                </c:pt>
                <c:pt idx="4">
                  <c:v>COL</c:v>
                </c:pt>
                <c:pt idx="5">
                  <c:v>PER</c:v>
                </c:pt>
                <c:pt idx="6">
                  <c:v>ECU</c:v>
                </c:pt>
                <c:pt idx="7">
                  <c:v>CRI</c:v>
                </c:pt>
                <c:pt idx="8">
                  <c:v>PAN</c:v>
                </c:pt>
                <c:pt idx="9">
                  <c:v>PRY</c:v>
                </c:pt>
                <c:pt idx="10">
                  <c:v>GTM</c:v>
                </c:pt>
                <c:pt idx="11">
                  <c:v>VEN</c:v>
                </c:pt>
                <c:pt idx="12">
                  <c:v>NIC</c:v>
                </c:pt>
                <c:pt idx="13">
                  <c:v>MEX</c:v>
                </c:pt>
                <c:pt idx="14">
                  <c:v>SLV</c:v>
                </c:pt>
                <c:pt idx="15">
                  <c:v>DOM</c:v>
                </c:pt>
                <c:pt idx="16">
                  <c:v>HND</c:v>
                </c:pt>
                <c:pt idx="17">
                  <c:v>CHL</c:v>
                </c:pt>
                <c:pt idx="18">
                  <c:v>JAM</c:v>
                </c:pt>
                <c:pt idx="19">
                  <c:v>BRB</c:v>
                </c:pt>
                <c:pt idx="20">
                  <c:v>TTO</c:v>
                </c:pt>
              </c:strCache>
            </c:strRef>
          </c:cat>
          <c:val>
            <c:numRef>
              <c:f>Sheet1!$F$5:$F$25</c:f>
              <c:numCache>
                <c:formatCode>0%</c:formatCode>
                <c:ptCount val="21"/>
                <c:pt idx="0">
                  <c:v>8.3333333333333343E-2</c:v>
                </c:pt>
                <c:pt idx="1">
                  <c:v>3.2000000000000001E-2</c:v>
                </c:pt>
                <c:pt idx="2">
                  <c:v>8.3333333333333398E-2</c:v>
                </c:pt>
                <c:pt idx="3">
                  <c:v>9.9444444444444446E-2</c:v>
                </c:pt>
                <c:pt idx="4">
                  <c:v>6.1111111111111206E-2</c:v>
                </c:pt>
                <c:pt idx="5">
                  <c:v>0.125</c:v>
                </c:pt>
                <c:pt idx="6">
                  <c:v>8.3333333333333343E-2</c:v>
                </c:pt>
                <c:pt idx="7">
                  <c:v>5.8999999999999997E-2</c:v>
                </c:pt>
                <c:pt idx="8">
                  <c:v>6.6111111111111204E-2</c:v>
                </c:pt>
                <c:pt idx="9">
                  <c:v>4.1666666666666602E-2</c:v>
                </c:pt>
                <c:pt idx="10">
                  <c:v>8.3333333333333343E-2</c:v>
                </c:pt>
                <c:pt idx="11">
                  <c:v>8.3333333333333343E-2</c:v>
                </c:pt>
                <c:pt idx="12">
                  <c:v>7.2222222222222215E-2</c:v>
                </c:pt>
                <c:pt idx="13">
                  <c:v>0.10555555555555556</c:v>
                </c:pt>
                <c:pt idx="14">
                  <c:v>8.3333333333333343E-2</c:v>
                </c:pt>
                <c:pt idx="15">
                  <c:v>6.3888888888888884E-2</c:v>
                </c:pt>
                <c:pt idx="16">
                  <c:v>8.3333333333333343E-2</c:v>
                </c:pt>
                <c:pt idx="17">
                  <c:v>8.3333333333333343E-2</c:v>
                </c:pt>
                <c:pt idx="18">
                  <c:v>3.888888888888889E-2</c:v>
                </c:pt>
                <c:pt idx="19">
                  <c:v>3.8888888888888896E-2</c:v>
                </c:pt>
                <c:pt idx="20">
                  <c:v>6.25E-2</c:v>
                </c:pt>
              </c:numCache>
            </c:numRef>
          </c:val>
          <c:extLst>
            <c:ext xmlns:c16="http://schemas.microsoft.com/office/drawing/2014/chart" uri="{C3380CC4-5D6E-409C-BE32-E72D297353CC}">
              <c16:uniqueId val="{00000004-C3FB-46AC-BBB6-8DC9C30CBBE9}"/>
            </c:ext>
          </c:extLst>
        </c:ser>
        <c:ser>
          <c:idx val="5"/>
          <c:order val="5"/>
          <c:tx>
            <c:strRef>
              <c:f>Sheet1!$G$4</c:f>
              <c:strCache>
                <c:ptCount val="1"/>
                <c:pt idx="0">
                  <c:v>Aviso Previo (flujo)</c:v>
                </c:pt>
              </c:strCache>
            </c:strRef>
          </c:tx>
          <c:spPr>
            <a:solidFill>
              <a:schemeClr val="tx1"/>
            </a:solidFill>
          </c:spPr>
          <c:invertIfNegative val="0"/>
          <c:cat>
            <c:strRef>
              <c:f>Sheet1!$A$5:$A$25</c:f>
              <c:strCache>
                <c:ptCount val="21"/>
                <c:pt idx="0">
                  <c:v>ARG</c:v>
                </c:pt>
                <c:pt idx="1">
                  <c:v>BRA</c:v>
                </c:pt>
                <c:pt idx="2">
                  <c:v>BOL</c:v>
                </c:pt>
                <c:pt idx="3">
                  <c:v>URY</c:v>
                </c:pt>
                <c:pt idx="4">
                  <c:v>COL</c:v>
                </c:pt>
                <c:pt idx="5">
                  <c:v>PER</c:v>
                </c:pt>
                <c:pt idx="6">
                  <c:v>ECU</c:v>
                </c:pt>
                <c:pt idx="7">
                  <c:v>CRI</c:v>
                </c:pt>
                <c:pt idx="8">
                  <c:v>PAN</c:v>
                </c:pt>
                <c:pt idx="9">
                  <c:v>PRY</c:v>
                </c:pt>
                <c:pt idx="10">
                  <c:v>GTM</c:v>
                </c:pt>
                <c:pt idx="11">
                  <c:v>VEN</c:v>
                </c:pt>
                <c:pt idx="12">
                  <c:v>NIC</c:v>
                </c:pt>
                <c:pt idx="13">
                  <c:v>MEX</c:v>
                </c:pt>
                <c:pt idx="14">
                  <c:v>SLV</c:v>
                </c:pt>
                <c:pt idx="15">
                  <c:v>DOM</c:v>
                </c:pt>
                <c:pt idx="16">
                  <c:v>HND</c:v>
                </c:pt>
                <c:pt idx="17">
                  <c:v>CHL</c:v>
                </c:pt>
                <c:pt idx="18">
                  <c:v>JAM</c:v>
                </c:pt>
                <c:pt idx="19">
                  <c:v>BRB</c:v>
                </c:pt>
                <c:pt idx="20">
                  <c:v>TTO</c:v>
                </c:pt>
              </c:strCache>
            </c:strRef>
          </c:cat>
          <c:val>
            <c:numRef>
              <c:f>Sheet1!$G$5:$G$25</c:f>
              <c:numCache>
                <c:formatCode>0%</c:formatCode>
                <c:ptCount val="21"/>
                <c:pt idx="0">
                  <c:v>3.3333333333333395E-2</c:v>
                </c:pt>
                <c:pt idx="1">
                  <c:v>2.33333333333334E-2</c:v>
                </c:pt>
                <c:pt idx="2">
                  <c:v>0.05</c:v>
                </c:pt>
                <c:pt idx="3">
                  <c:v>0</c:v>
                </c:pt>
                <c:pt idx="4">
                  <c:v>4.1666666666666666E-3</c:v>
                </c:pt>
                <c:pt idx="5">
                  <c:v>0</c:v>
                </c:pt>
                <c:pt idx="6">
                  <c:v>0</c:v>
                </c:pt>
                <c:pt idx="7">
                  <c:v>1.6666666666666659E-2</c:v>
                </c:pt>
                <c:pt idx="8">
                  <c:v>0</c:v>
                </c:pt>
                <c:pt idx="9">
                  <c:v>2.5000000000000001E-2</c:v>
                </c:pt>
                <c:pt idx="10">
                  <c:v>0</c:v>
                </c:pt>
                <c:pt idx="11">
                  <c:v>0</c:v>
                </c:pt>
                <c:pt idx="12">
                  <c:v>0</c:v>
                </c:pt>
                <c:pt idx="13">
                  <c:v>0</c:v>
                </c:pt>
                <c:pt idx="14">
                  <c:v>0</c:v>
                </c:pt>
                <c:pt idx="15">
                  <c:v>1.5555555555555562E-2</c:v>
                </c:pt>
                <c:pt idx="16">
                  <c:v>1.6666666666666659E-2</c:v>
                </c:pt>
                <c:pt idx="17">
                  <c:v>1.6666666666666666E-2</c:v>
                </c:pt>
                <c:pt idx="18">
                  <c:v>1.5555555555555562E-2</c:v>
                </c:pt>
                <c:pt idx="19">
                  <c:v>0</c:v>
                </c:pt>
                <c:pt idx="20">
                  <c:v>0</c:v>
                </c:pt>
              </c:numCache>
            </c:numRef>
          </c:val>
          <c:extLst>
            <c:ext xmlns:c16="http://schemas.microsoft.com/office/drawing/2014/chart" uri="{C3380CC4-5D6E-409C-BE32-E72D297353CC}">
              <c16:uniqueId val="{00000005-C3FB-46AC-BBB6-8DC9C30CBBE9}"/>
            </c:ext>
          </c:extLst>
        </c:ser>
        <c:dLbls>
          <c:showLegendKey val="0"/>
          <c:showVal val="0"/>
          <c:showCatName val="0"/>
          <c:showSerName val="0"/>
          <c:showPercent val="0"/>
          <c:showBubbleSize val="0"/>
        </c:dLbls>
        <c:gapWidth val="150"/>
        <c:overlap val="100"/>
        <c:axId val="227841920"/>
        <c:axId val="227843456"/>
      </c:barChart>
      <c:lineChart>
        <c:grouping val="standard"/>
        <c:varyColors val="0"/>
        <c:ser>
          <c:idx val="6"/>
          <c:order val="6"/>
          <c:tx>
            <c:strRef>
              <c:f>Sheet1!$I$3</c:f>
              <c:strCache>
                <c:ptCount val="1"/>
                <c:pt idx="0">
                  <c:v>ALC: 47%</c:v>
                </c:pt>
              </c:strCache>
            </c:strRef>
          </c:tx>
          <c:spPr>
            <a:ln>
              <a:prstDash val="sysDot"/>
            </a:ln>
          </c:spPr>
          <c:marker>
            <c:symbol val="none"/>
          </c:marker>
          <c:dLbls>
            <c:dLbl>
              <c:idx val="20"/>
              <c:layout>
                <c:manualLayout>
                  <c:x val="-2.0915029809407116E-2"/>
                  <c:y val="-3.6908876730164145E-2"/>
                </c:manualLayout>
              </c:layout>
              <c:spPr/>
              <c:txPr>
                <a:bodyPr/>
                <a:lstStyle/>
                <a:p>
                  <a:pPr>
                    <a:defRPr b="1"/>
                  </a:pPr>
                  <a:endParaRPr lang="es-DO"/>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C3FB-46AC-BBB6-8DC9C30CBBE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Sheet1!$I$5:$I$25</c:f>
              <c:numCache>
                <c:formatCode>0%</c:formatCode>
                <c:ptCount val="21"/>
                <c:pt idx="0">
                  <c:v>0.47017304158000767</c:v>
                </c:pt>
                <c:pt idx="1">
                  <c:v>0.47017304158000767</c:v>
                </c:pt>
                <c:pt idx="2">
                  <c:v>0.47017304158000767</c:v>
                </c:pt>
                <c:pt idx="3">
                  <c:v>0.47017304158000767</c:v>
                </c:pt>
                <c:pt idx="4">
                  <c:v>0.47017304158000767</c:v>
                </c:pt>
                <c:pt idx="5">
                  <c:v>0.47017304158000767</c:v>
                </c:pt>
                <c:pt idx="6">
                  <c:v>0.47017304158000767</c:v>
                </c:pt>
                <c:pt idx="7">
                  <c:v>0.47017304158000767</c:v>
                </c:pt>
                <c:pt idx="8">
                  <c:v>0.47017304158000767</c:v>
                </c:pt>
                <c:pt idx="9">
                  <c:v>0.47017304158000767</c:v>
                </c:pt>
                <c:pt idx="10">
                  <c:v>0.47017304158000767</c:v>
                </c:pt>
                <c:pt idx="11">
                  <c:v>0.47017304158000767</c:v>
                </c:pt>
                <c:pt idx="12">
                  <c:v>0.47017304158000767</c:v>
                </c:pt>
                <c:pt idx="13">
                  <c:v>0.47017304158000767</c:v>
                </c:pt>
                <c:pt idx="14">
                  <c:v>0.47017304158000767</c:v>
                </c:pt>
                <c:pt idx="15">
                  <c:v>0.47017304158000767</c:v>
                </c:pt>
                <c:pt idx="16">
                  <c:v>0.47017304158000767</c:v>
                </c:pt>
                <c:pt idx="17">
                  <c:v>0.47017304158000767</c:v>
                </c:pt>
                <c:pt idx="18">
                  <c:v>0.47017304158000767</c:v>
                </c:pt>
                <c:pt idx="19">
                  <c:v>0.47017304158000767</c:v>
                </c:pt>
                <c:pt idx="20">
                  <c:v>0.47017304158000767</c:v>
                </c:pt>
              </c:numCache>
            </c:numRef>
          </c:val>
          <c:smooth val="0"/>
          <c:extLst>
            <c:ext xmlns:c16="http://schemas.microsoft.com/office/drawing/2014/chart" uri="{C3380CC4-5D6E-409C-BE32-E72D297353CC}">
              <c16:uniqueId val="{00000007-C3FB-46AC-BBB6-8DC9C30CBBE9}"/>
            </c:ext>
          </c:extLst>
        </c:ser>
        <c:dLbls>
          <c:showLegendKey val="0"/>
          <c:showVal val="0"/>
          <c:showCatName val="0"/>
          <c:showSerName val="0"/>
          <c:showPercent val="0"/>
          <c:showBubbleSize val="0"/>
        </c:dLbls>
        <c:marker val="1"/>
        <c:smooth val="0"/>
        <c:axId val="227841920"/>
        <c:axId val="227843456"/>
      </c:lineChart>
      <c:catAx>
        <c:axId val="227841920"/>
        <c:scaling>
          <c:orientation val="minMax"/>
        </c:scaling>
        <c:delete val="0"/>
        <c:axPos val="b"/>
        <c:numFmt formatCode="General" sourceLinked="0"/>
        <c:majorTickMark val="out"/>
        <c:minorTickMark val="none"/>
        <c:tickLblPos val="nextTo"/>
        <c:crossAx val="227843456"/>
        <c:crosses val="autoZero"/>
        <c:auto val="1"/>
        <c:lblAlgn val="ctr"/>
        <c:lblOffset val="100"/>
        <c:noMultiLvlLbl val="0"/>
      </c:catAx>
      <c:valAx>
        <c:axId val="227843456"/>
        <c:scaling>
          <c:orientation val="minMax"/>
        </c:scaling>
        <c:delete val="0"/>
        <c:axPos val="l"/>
        <c:title>
          <c:tx>
            <c:rich>
              <a:bodyPr rot="-5400000" vert="horz"/>
              <a:lstStyle/>
              <a:p>
                <a:pPr>
                  <a:defRPr/>
                </a:pPr>
                <a:r>
                  <a:rPr lang="en-US"/>
                  <a:t>Costos no salariales como porcentaje (%) del salario anual</a:t>
                </a:r>
              </a:p>
            </c:rich>
          </c:tx>
          <c:overlay val="0"/>
        </c:title>
        <c:numFmt formatCode="0%" sourceLinked="1"/>
        <c:majorTickMark val="out"/>
        <c:minorTickMark val="none"/>
        <c:tickLblPos val="nextTo"/>
        <c:crossAx val="227841920"/>
        <c:crosses val="autoZero"/>
        <c:crossBetween val="between"/>
      </c:valAx>
    </c:plotArea>
    <c:legend>
      <c:legendPos val="b"/>
      <c:layout>
        <c:manualLayout>
          <c:xMode val="edge"/>
          <c:yMode val="edge"/>
          <c:x val="7.993370319816058E-2"/>
          <c:y val="0.87492250104623592"/>
          <c:w val="0.84710413296908615"/>
          <c:h val="0.1066230605886820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409426274897"/>
          <c:y val="4.5643153526970952E-2"/>
          <c:w val="0.8725229640204063"/>
          <c:h val="0.74465057013101577"/>
        </c:manualLayout>
      </c:layout>
      <c:barChart>
        <c:barDir val="col"/>
        <c:grouping val="stacked"/>
        <c:varyColors val="0"/>
        <c:ser>
          <c:idx val="0"/>
          <c:order val="0"/>
          <c:tx>
            <c:strRef>
              <c:f>'Figure 2a'!$N$29</c:f>
              <c:strCache>
                <c:ptCount val="1"/>
                <c:pt idx="0">
                  <c:v>Mandatory contributions</c:v>
                </c:pt>
              </c:strCache>
            </c:strRef>
          </c:tx>
          <c:spPr>
            <a:solidFill>
              <a:schemeClr val="accent1">
                <a:lumMod val="50000"/>
              </a:schemeClr>
            </a:solidFill>
          </c:spPr>
          <c:invertIfNegative val="0"/>
          <c:cat>
            <c:multiLvlStrRef>
              <c:f>'Figure 2a'!$L$31:$M$70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 2a'!$N$31:$N$70</c:f>
              <c:numCache>
                <c:formatCode>0.00%</c:formatCode>
                <c:ptCount val="40"/>
                <c:pt idx="0">
                  <c:v>0.44456438356164374</c:v>
                </c:pt>
                <c:pt idx="1">
                  <c:v>0.45407255997371021</c:v>
                </c:pt>
                <c:pt idx="2">
                  <c:v>0.46750684931506853</c:v>
                </c:pt>
                <c:pt idx="3">
                  <c:v>0.46532697995399275</c:v>
                </c:pt>
                <c:pt idx="4">
                  <c:v>0.33066049950706544</c:v>
                </c:pt>
                <c:pt idx="5">
                  <c:v>0.34766049950706546</c:v>
                </c:pt>
                <c:pt idx="6" formatCode="0.0%">
                  <c:v>0.40479900088802745</c:v>
                </c:pt>
                <c:pt idx="7" formatCode="0.0%">
                  <c:v>0.40514173948806109</c:v>
                </c:pt>
                <c:pt idx="8">
                  <c:v>0.31308046</c:v>
                </c:pt>
                <c:pt idx="9">
                  <c:v>0.31306766348997705</c:v>
                </c:pt>
                <c:pt idx="10">
                  <c:v>0.2742</c:v>
                </c:pt>
                <c:pt idx="11">
                  <c:v>0.2742</c:v>
                </c:pt>
                <c:pt idx="12">
                  <c:v>0.38574657534246581</c:v>
                </c:pt>
                <c:pt idx="13">
                  <c:v>0.41522316792638847</c:v>
                </c:pt>
                <c:pt idx="14">
                  <c:v>0.3467386301369863</c:v>
                </c:pt>
                <c:pt idx="15">
                  <c:v>0.35053894183371676</c:v>
                </c:pt>
                <c:pt idx="16">
                  <c:v>0.28976913900755835</c:v>
                </c:pt>
                <c:pt idx="17">
                  <c:v>0.28976913900755835</c:v>
                </c:pt>
                <c:pt idx="18" formatCode="0.0%">
                  <c:v>0.28088396404102545</c:v>
                </c:pt>
                <c:pt idx="19" formatCode="0.0%">
                  <c:v>0.28744893329535542</c:v>
                </c:pt>
                <c:pt idx="20">
                  <c:v>0.14700000000000002</c:v>
                </c:pt>
                <c:pt idx="21">
                  <c:v>0.14700000000000002</c:v>
                </c:pt>
                <c:pt idx="22">
                  <c:v>0.17500000000000002</c:v>
                </c:pt>
                <c:pt idx="23">
                  <c:v>0.17500000000000002</c:v>
                </c:pt>
                <c:pt idx="24">
                  <c:v>0.28136049950706538</c:v>
                </c:pt>
                <c:pt idx="25">
                  <c:v>0.28136049950706538</c:v>
                </c:pt>
                <c:pt idx="26">
                  <c:v>0.24467541899441342</c:v>
                </c:pt>
                <c:pt idx="27">
                  <c:v>0.24467541899441336</c:v>
                </c:pt>
                <c:pt idx="28">
                  <c:v>0.22755808969748248</c:v>
                </c:pt>
                <c:pt idx="29">
                  <c:v>0.23999312292980507</c:v>
                </c:pt>
                <c:pt idx="30">
                  <c:v>0.24500000000000002</c:v>
                </c:pt>
                <c:pt idx="31">
                  <c:v>0.27499999999999997</c:v>
                </c:pt>
                <c:pt idx="32">
                  <c:v>0.21752500000000002</c:v>
                </c:pt>
                <c:pt idx="33">
                  <c:v>0.2175</c:v>
                </c:pt>
                <c:pt idx="34">
                  <c:v>0.2369</c:v>
                </c:pt>
                <c:pt idx="35">
                  <c:v>0.23899999999999999</c:v>
                </c:pt>
                <c:pt idx="36">
                  <c:v>0.18618750000000001</c:v>
                </c:pt>
                <c:pt idx="37">
                  <c:v>0.19500000000000001</c:v>
                </c:pt>
                <c:pt idx="38">
                  <c:v>0.11852327082170667</c:v>
                </c:pt>
                <c:pt idx="39">
                  <c:v>0.13200000000000001</c:v>
                </c:pt>
              </c:numCache>
            </c:numRef>
          </c:val>
          <c:extLst>
            <c:ext xmlns:c16="http://schemas.microsoft.com/office/drawing/2014/chart" uri="{C3380CC4-5D6E-409C-BE32-E72D297353CC}">
              <c16:uniqueId val="{00000000-9533-44DA-AA90-18FEAA451B26}"/>
            </c:ext>
          </c:extLst>
        </c:ser>
        <c:ser>
          <c:idx val="1"/>
          <c:order val="1"/>
          <c:tx>
            <c:strRef>
              <c:f>'Figure 2a'!$O$30</c:f>
              <c:strCache>
                <c:ptCount val="1"/>
                <c:pt idx="0">
                  <c:v>Bonus</c:v>
                </c:pt>
              </c:strCache>
            </c:strRef>
          </c:tx>
          <c:spPr>
            <a:solidFill>
              <a:schemeClr val="accent2">
                <a:lumMod val="60000"/>
                <a:lumOff val="40000"/>
              </a:schemeClr>
            </a:solidFill>
          </c:spPr>
          <c:invertIfNegative val="0"/>
          <c:cat>
            <c:multiLvlStrRef>
              <c:f>'Figure 2a'!$L$31:$M$70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 2a'!$O$31:$O$70</c:f>
              <c:numCache>
                <c:formatCode>0.00%</c:formatCode>
                <c:ptCount val="40"/>
                <c:pt idx="0">
                  <c:v>8.2191780821917804E-2</c:v>
                </c:pt>
                <c:pt idx="1">
                  <c:v>8.2155767334866917E-2</c:v>
                </c:pt>
                <c:pt idx="2">
                  <c:v>8.2191780821917804E-2</c:v>
                </c:pt>
                <c:pt idx="3">
                  <c:v>8.2155767334866917E-2</c:v>
                </c:pt>
                <c:pt idx="4">
                  <c:v>0.16431153466973383</c:v>
                </c:pt>
                <c:pt idx="5">
                  <c:v>0.16431153466973383</c:v>
                </c:pt>
                <c:pt idx="6" formatCode="0.0%">
                  <c:v>8.2155767334866917E-2</c:v>
                </c:pt>
                <c:pt idx="7" formatCode="0.0%">
                  <c:v>8.2155767334866917E-2</c:v>
                </c:pt>
                <c:pt idx="8">
                  <c:v>0.12215908155296826</c:v>
                </c:pt>
                <c:pt idx="9">
                  <c:v>0.1343828745208934</c:v>
                </c:pt>
                <c:pt idx="10">
                  <c:v>0.16438356164383561</c:v>
                </c:pt>
                <c:pt idx="11">
                  <c:v>0.16431153466973381</c:v>
                </c:pt>
                <c:pt idx="12">
                  <c:v>8.2191780821917804E-2</c:v>
                </c:pt>
                <c:pt idx="13">
                  <c:v>8.2155767334866917E-2</c:v>
                </c:pt>
                <c:pt idx="14">
                  <c:v>8.2191780821917804E-2</c:v>
                </c:pt>
                <c:pt idx="15">
                  <c:v>8.2155767334866917E-2</c:v>
                </c:pt>
                <c:pt idx="16">
                  <c:v>8.2155767334866917E-2</c:v>
                </c:pt>
                <c:pt idx="17">
                  <c:v>8.2155767334866917E-2</c:v>
                </c:pt>
                <c:pt idx="18" formatCode="0.0%">
                  <c:v>8.4885784224977875E-2</c:v>
                </c:pt>
                <c:pt idx="19" formatCode="0.0%">
                  <c:v>8.5512082729423525E-2</c:v>
                </c:pt>
                <c:pt idx="20">
                  <c:v>0.16431153466973381</c:v>
                </c:pt>
                <c:pt idx="21">
                  <c:v>0.16431153466973381</c:v>
                </c:pt>
                <c:pt idx="22">
                  <c:v>0.16438356164383561</c:v>
                </c:pt>
                <c:pt idx="23">
                  <c:v>0.16431153466973381</c:v>
                </c:pt>
                <c:pt idx="24">
                  <c:v>8.2155767334866917E-2</c:v>
                </c:pt>
                <c:pt idx="25">
                  <c:v>8.2155767334866917E-2</c:v>
                </c:pt>
                <c:pt idx="26">
                  <c:v>8.2155767334866917E-2</c:v>
                </c:pt>
                <c:pt idx="27">
                  <c:v>8.2155767334866917E-2</c:v>
                </c:pt>
                <c:pt idx="28">
                  <c:v>4.1666666666666664E-2</c:v>
                </c:pt>
                <c:pt idx="29">
                  <c:v>4.1666666666666664E-2</c:v>
                </c:pt>
                <c:pt idx="30">
                  <c:v>5.2031985978749036E-2</c:v>
                </c:pt>
                <c:pt idx="31">
                  <c:v>5.2031985978749036E-2</c:v>
                </c:pt>
                <c:pt idx="32">
                  <c:v>8.2191780821917804E-2</c:v>
                </c:pt>
                <c:pt idx="33">
                  <c:v>8.2155767334866903E-2</c:v>
                </c:pt>
                <c:pt idx="34">
                  <c:v>0</c:v>
                </c:pt>
                <c:pt idx="35">
                  <c:v>0</c:v>
                </c:pt>
                <c:pt idx="36">
                  <c:v>0</c:v>
                </c:pt>
                <c:pt idx="37">
                  <c:v>0</c:v>
                </c:pt>
                <c:pt idx="38">
                  <c:v>0</c:v>
                </c:pt>
                <c:pt idx="39">
                  <c:v>0</c:v>
                </c:pt>
              </c:numCache>
            </c:numRef>
          </c:val>
          <c:extLst>
            <c:ext xmlns:c16="http://schemas.microsoft.com/office/drawing/2014/chart" uri="{C3380CC4-5D6E-409C-BE32-E72D297353CC}">
              <c16:uniqueId val="{00000001-9533-44DA-AA90-18FEAA451B26}"/>
            </c:ext>
          </c:extLst>
        </c:ser>
        <c:ser>
          <c:idx val="2"/>
          <c:order val="2"/>
          <c:tx>
            <c:strRef>
              <c:f>'Figure 2a'!$P$30</c:f>
              <c:strCache>
                <c:ptCount val="1"/>
                <c:pt idx="0">
                  <c:v>Annual leave</c:v>
                </c:pt>
              </c:strCache>
            </c:strRef>
          </c:tx>
          <c:spPr>
            <a:solidFill>
              <a:srgbClr val="E46C0A"/>
            </a:solidFill>
          </c:spPr>
          <c:invertIfNegative val="0"/>
          <c:cat>
            <c:multiLvlStrRef>
              <c:f>'Figure 2a'!$L$31:$M$70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 2a'!$P$31:$P$70</c:f>
              <c:numCache>
                <c:formatCode>0.00%</c:formatCode>
                <c:ptCount val="40"/>
                <c:pt idx="0">
                  <c:v>3.8339358089604557E-2</c:v>
                </c:pt>
                <c:pt idx="1">
                  <c:v>3.8339358089604557E-2</c:v>
                </c:pt>
                <c:pt idx="2">
                  <c:v>0.1095890410958904</c:v>
                </c:pt>
                <c:pt idx="3">
                  <c:v>0.10954102311315589</c:v>
                </c:pt>
                <c:pt idx="4">
                  <c:v>8.2155767334866917E-2</c:v>
                </c:pt>
                <c:pt idx="5">
                  <c:v>8.2155767334866917E-2</c:v>
                </c:pt>
                <c:pt idx="6" formatCode="0.0%">
                  <c:v>5.7509037134406839E-2</c:v>
                </c:pt>
                <c:pt idx="7" formatCode="0.0%">
                  <c:v>5.7509037134406839E-2</c:v>
                </c:pt>
                <c:pt idx="8">
                  <c:v>4.1666666666666664E-2</c:v>
                </c:pt>
                <c:pt idx="9">
                  <c:v>4.1666666666666664E-2</c:v>
                </c:pt>
                <c:pt idx="10">
                  <c:v>5.4794520547945202E-2</c:v>
                </c:pt>
                <c:pt idx="11">
                  <c:v>5.4770511556577944E-2</c:v>
                </c:pt>
                <c:pt idx="12">
                  <c:v>3.8356164383561646E-2</c:v>
                </c:pt>
                <c:pt idx="13">
                  <c:v>3.8339358089604557E-2</c:v>
                </c:pt>
                <c:pt idx="14">
                  <c:v>4.1095890410958902E-2</c:v>
                </c:pt>
                <c:pt idx="15">
                  <c:v>4.1077883667433451E-2</c:v>
                </c:pt>
                <c:pt idx="16">
                  <c:v>8.2155767334866917E-2</c:v>
                </c:pt>
                <c:pt idx="17">
                  <c:v>8.2155767334866917E-2</c:v>
                </c:pt>
                <c:pt idx="18" formatCode="0.0%">
                  <c:v>5.1814119519338939E-2</c:v>
                </c:pt>
                <c:pt idx="19" formatCode="0.0%">
                  <c:v>5.2639506258251624E-2</c:v>
                </c:pt>
                <c:pt idx="20">
                  <c:v>5.4770511556577951E-2</c:v>
                </c:pt>
                <c:pt idx="21">
                  <c:v>5.4770511556577944E-2</c:v>
                </c:pt>
                <c:pt idx="22">
                  <c:v>4.1095890410958902E-2</c:v>
                </c:pt>
                <c:pt idx="23">
                  <c:v>4.1077883667433451E-2</c:v>
                </c:pt>
                <c:pt idx="24">
                  <c:v>3.2862306933946768E-2</c:v>
                </c:pt>
                <c:pt idx="25">
                  <c:v>3.2862306933946768E-2</c:v>
                </c:pt>
                <c:pt idx="26">
                  <c:v>4.9293460400920142E-2</c:v>
                </c:pt>
                <c:pt idx="27">
                  <c:v>4.9293460400920149E-2</c:v>
                </c:pt>
                <c:pt idx="28">
                  <c:v>3.888888888888889E-2</c:v>
                </c:pt>
                <c:pt idx="29">
                  <c:v>5.4770511556577937E-2</c:v>
                </c:pt>
                <c:pt idx="30">
                  <c:v>5.2031985978749036E-2</c:v>
                </c:pt>
                <c:pt idx="31">
                  <c:v>5.2031985978749036E-2</c:v>
                </c:pt>
                <c:pt idx="32">
                  <c:v>5.2054794520547946E-2</c:v>
                </c:pt>
                <c:pt idx="33">
                  <c:v>5.2031985978749043E-2</c:v>
                </c:pt>
                <c:pt idx="34">
                  <c:v>4.1095890410958902E-2</c:v>
                </c:pt>
                <c:pt idx="35">
                  <c:v>4.1077883667433451E-2</c:v>
                </c:pt>
                <c:pt idx="36">
                  <c:v>3.8356164383561646E-2</c:v>
                </c:pt>
                <c:pt idx="37">
                  <c:v>3.8339358089604557E-2</c:v>
                </c:pt>
                <c:pt idx="38">
                  <c:v>3.8356164383561646E-2</c:v>
                </c:pt>
                <c:pt idx="39">
                  <c:v>3.833935808960455E-2</c:v>
                </c:pt>
              </c:numCache>
            </c:numRef>
          </c:val>
          <c:extLst>
            <c:ext xmlns:c16="http://schemas.microsoft.com/office/drawing/2014/chart" uri="{C3380CC4-5D6E-409C-BE32-E72D297353CC}">
              <c16:uniqueId val="{00000002-9533-44DA-AA90-18FEAA451B26}"/>
            </c:ext>
          </c:extLst>
        </c:ser>
        <c:ser>
          <c:idx val="3"/>
          <c:order val="3"/>
          <c:tx>
            <c:strRef>
              <c:f>'Figure 2a'!$Q$30</c:f>
              <c:strCache>
                <c:ptCount val="1"/>
                <c:pt idx="0">
                  <c:v>Severance payment (flow)</c:v>
                </c:pt>
              </c:strCache>
            </c:strRef>
          </c:tx>
          <c:spPr>
            <a:solidFill>
              <a:srgbClr val="95B3D7"/>
            </a:solidFill>
          </c:spPr>
          <c:invertIfNegative val="0"/>
          <c:cat>
            <c:multiLvlStrRef>
              <c:f>'Figure 2a'!$L$31:$M$70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 2a'!$Q$31:$Q$70</c:f>
              <c:numCache>
                <c:formatCode>0.00%</c:formatCode>
                <c:ptCount val="40"/>
                <c:pt idx="0">
                  <c:v>8.2155767334866903E-2</c:v>
                </c:pt>
                <c:pt idx="1">
                  <c:v>8.2155767334866903E-2</c:v>
                </c:pt>
                <c:pt idx="2">
                  <c:v>3.1561643835616437E-2</c:v>
                </c:pt>
                <c:pt idx="3">
                  <c:v>3.1547814656588888E-2</c:v>
                </c:pt>
                <c:pt idx="4">
                  <c:v>0.12323365100230035</c:v>
                </c:pt>
                <c:pt idx="5">
                  <c:v>0.12323365100230037</c:v>
                </c:pt>
                <c:pt idx="6" formatCode="0.0%">
                  <c:v>9.8039215686274522E-2</c:v>
                </c:pt>
                <c:pt idx="7" formatCode="0.0%">
                  <c:v>9.8039215686274508E-2</c:v>
                </c:pt>
                <c:pt idx="8">
                  <c:v>8.2191780821917804E-2</c:v>
                </c:pt>
                <c:pt idx="9">
                  <c:v>8.2155767334866917E-2</c:v>
                </c:pt>
                <c:pt idx="10">
                  <c:v>8.2191780821917804E-2</c:v>
                </c:pt>
                <c:pt idx="11">
                  <c:v>8.2155767334866903E-2</c:v>
                </c:pt>
                <c:pt idx="12">
                  <c:v>5.8082191780821926E-2</c:v>
                </c:pt>
                <c:pt idx="13">
                  <c:v>5.8166283273085762E-2</c:v>
                </c:pt>
                <c:pt idx="14">
                  <c:v>6.0273972602739735E-2</c:v>
                </c:pt>
                <c:pt idx="15">
                  <c:v>6.0247562712235733E-2</c:v>
                </c:pt>
                <c:pt idx="16">
                  <c:v>6.5176908752327747E-2</c:v>
                </c:pt>
                <c:pt idx="17">
                  <c:v>6.5176908752327747E-2</c:v>
                </c:pt>
                <c:pt idx="18" formatCode="0.0%">
                  <c:v>7.2936492821824947E-2</c:v>
                </c:pt>
                <c:pt idx="19" formatCode="0.0%">
                  <c:v>7.269488212809383E-2</c:v>
                </c:pt>
                <c:pt idx="20">
                  <c:v>8.2155767334866917E-2</c:v>
                </c:pt>
                <c:pt idx="21">
                  <c:v>8.2155767334866917E-2</c:v>
                </c:pt>
                <c:pt idx="22">
                  <c:v>8.2191780821917818E-2</c:v>
                </c:pt>
                <c:pt idx="23">
                  <c:v>8.2155767334866917E-2</c:v>
                </c:pt>
                <c:pt idx="24">
                  <c:v>4.1077883667433458E-2</c:v>
                </c:pt>
                <c:pt idx="25">
                  <c:v>4.1077883667433458E-2</c:v>
                </c:pt>
                <c:pt idx="26">
                  <c:v>6.2986088290064635E-2</c:v>
                </c:pt>
                <c:pt idx="27">
                  <c:v>6.2986088290064621E-2</c:v>
                </c:pt>
                <c:pt idx="28">
                  <c:v>0.10406397195749809</c:v>
                </c:pt>
                <c:pt idx="29">
                  <c:v>0.10406397195749809</c:v>
                </c:pt>
                <c:pt idx="30">
                  <c:v>8.2191780821917818E-2</c:v>
                </c:pt>
                <c:pt idx="31">
                  <c:v>8.2155767334866903E-2</c:v>
                </c:pt>
                <c:pt idx="32">
                  <c:v>8.2191780821917804E-2</c:v>
                </c:pt>
                <c:pt idx="33">
                  <c:v>8.2155767334866903E-2</c:v>
                </c:pt>
                <c:pt idx="34">
                  <c:v>8.2191780821917804E-2</c:v>
                </c:pt>
                <c:pt idx="35">
                  <c:v>8.215576733486693E-2</c:v>
                </c:pt>
                <c:pt idx="36">
                  <c:v>3.8356164383561646E-2</c:v>
                </c:pt>
                <c:pt idx="37">
                  <c:v>3.8339358089604557E-2</c:v>
                </c:pt>
                <c:pt idx="38">
                  <c:v>4.5479452054794527E-2</c:v>
                </c:pt>
                <c:pt idx="39">
                  <c:v>4.1077883667433451E-2</c:v>
                </c:pt>
              </c:numCache>
            </c:numRef>
          </c:val>
          <c:extLst>
            <c:ext xmlns:c16="http://schemas.microsoft.com/office/drawing/2014/chart" uri="{C3380CC4-5D6E-409C-BE32-E72D297353CC}">
              <c16:uniqueId val="{00000003-9533-44DA-AA90-18FEAA451B26}"/>
            </c:ext>
          </c:extLst>
        </c:ser>
        <c:ser>
          <c:idx val="4"/>
          <c:order val="4"/>
          <c:tx>
            <c:strRef>
              <c:f>'Figure 2a'!$R$30</c:f>
              <c:strCache>
                <c:ptCount val="1"/>
                <c:pt idx="0">
                  <c:v>Firing notice (flow)</c:v>
                </c:pt>
              </c:strCache>
            </c:strRef>
          </c:tx>
          <c:spPr>
            <a:solidFill>
              <a:schemeClr val="tx2">
                <a:lumMod val="50000"/>
                <a:lumOff val="50000"/>
              </a:schemeClr>
            </a:solidFill>
          </c:spPr>
          <c:invertIfNegative val="0"/>
          <c:cat>
            <c:multiLvlStrRef>
              <c:f>'Figure 2a'!$L$31:$M$70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 2a'!$R$31:$R$70</c:f>
              <c:numCache>
                <c:formatCode>0.00%</c:formatCode>
                <c:ptCount val="40"/>
                <c:pt idx="0">
                  <c:v>3.2862306933946768E-2</c:v>
                </c:pt>
                <c:pt idx="1">
                  <c:v>3.2862306933946768E-2</c:v>
                </c:pt>
                <c:pt idx="2">
                  <c:v>2.3013698630136987E-2</c:v>
                </c:pt>
                <c:pt idx="3">
                  <c:v>2.4646730200460074E-2</c:v>
                </c:pt>
                <c:pt idx="4">
                  <c:v>0</c:v>
                </c:pt>
                <c:pt idx="5">
                  <c:v>0</c:v>
                </c:pt>
                <c:pt idx="6" formatCode="0.0%">
                  <c:v>0</c:v>
                </c:pt>
                <c:pt idx="7" formatCode="0.0%">
                  <c:v>0</c:v>
                </c:pt>
                <c:pt idx="8">
                  <c:v>0</c:v>
                </c:pt>
                <c:pt idx="9">
                  <c:v>0</c:v>
                </c:pt>
                <c:pt idx="10">
                  <c:v>4.9315068493150691E-2</c:v>
                </c:pt>
                <c:pt idx="11">
                  <c:v>4.9293460400920155E-2</c:v>
                </c:pt>
                <c:pt idx="12">
                  <c:v>1.643835616438356E-2</c:v>
                </c:pt>
                <c:pt idx="13">
                  <c:v>1.6431153466973381E-2</c:v>
                </c:pt>
                <c:pt idx="14">
                  <c:v>4.10958904109589E-3</c:v>
                </c:pt>
                <c:pt idx="15">
                  <c:v>4.1077883667433443E-3</c:v>
                </c:pt>
                <c:pt idx="16">
                  <c:v>0</c:v>
                </c:pt>
                <c:pt idx="17">
                  <c:v>0</c:v>
                </c:pt>
                <c:pt idx="18" formatCode="0.0%">
                  <c:v>1.212445376583004E-2</c:v>
                </c:pt>
                <c:pt idx="19" formatCode="0.0%">
                  <c:v>1.2208058760110926E-2</c:v>
                </c:pt>
                <c:pt idx="20">
                  <c:v>3.2862306933946761E-2</c:v>
                </c:pt>
                <c:pt idx="21">
                  <c:v>3.2862306933946761E-2</c:v>
                </c:pt>
                <c:pt idx="22">
                  <c:v>0</c:v>
                </c:pt>
                <c:pt idx="23">
                  <c:v>0</c:v>
                </c:pt>
                <c:pt idx="24">
                  <c:v>2.4646730200460074E-2</c:v>
                </c:pt>
                <c:pt idx="25">
                  <c:v>2.4646730200460074E-2</c:v>
                </c:pt>
                <c:pt idx="26">
                  <c:v>1.5335743235841826E-2</c:v>
                </c:pt>
                <c:pt idx="27">
                  <c:v>1.5335743235841822E-2</c:v>
                </c:pt>
                <c:pt idx="28">
                  <c:v>0</c:v>
                </c:pt>
                <c:pt idx="29">
                  <c:v>0</c:v>
                </c:pt>
                <c:pt idx="30">
                  <c:v>0</c:v>
                </c:pt>
                <c:pt idx="31">
                  <c:v>0</c:v>
                </c:pt>
                <c:pt idx="32">
                  <c:v>0</c:v>
                </c:pt>
                <c:pt idx="33">
                  <c:v>0</c:v>
                </c:pt>
                <c:pt idx="34">
                  <c:v>1.643835616438356E-2</c:v>
                </c:pt>
                <c:pt idx="35">
                  <c:v>1.6431153466973381E-2</c:v>
                </c:pt>
                <c:pt idx="36">
                  <c:v>1.5342465753424659E-2</c:v>
                </c:pt>
                <c:pt idx="37">
                  <c:v>1.5335743235841821E-2</c:v>
                </c:pt>
                <c:pt idx="38">
                  <c:v>0</c:v>
                </c:pt>
                <c:pt idx="39">
                  <c:v>0</c:v>
                </c:pt>
              </c:numCache>
            </c:numRef>
          </c:val>
          <c:extLst>
            <c:ext xmlns:c16="http://schemas.microsoft.com/office/drawing/2014/chart" uri="{C3380CC4-5D6E-409C-BE32-E72D297353CC}">
              <c16:uniqueId val="{00000004-9533-44DA-AA90-18FEAA451B26}"/>
            </c:ext>
          </c:extLst>
        </c:ser>
        <c:dLbls>
          <c:showLegendKey val="0"/>
          <c:showVal val="0"/>
          <c:showCatName val="0"/>
          <c:showSerName val="0"/>
          <c:showPercent val="0"/>
          <c:showBubbleSize val="0"/>
        </c:dLbls>
        <c:gapWidth val="150"/>
        <c:overlap val="100"/>
        <c:axId val="232903424"/>
        <c:axId val="232904960"/>
      </c:barChart>
      <c:barChart>
        <c:barDir val="col"/>
        <c:grouping val="clustered"/>
        <c:varyColors val="0"/>
        <c:ser>
          <c:idx val="5"/>
          <c:order val="5"/>
          <c:tx>
            <c:strRef>
              <c:f>'Figure 2a'!$S$30</c:f>
              <c:strCache>
                <c:ptCount val="1"/>
                <c:pt idx="0">
                  <c:v>Total cost</c:v>
                </c:pt>
              </c:strCache>
            </c:strRef>
          </c:tx>
          <c:spPr>
            <a:noFill/>
          </c:spPr>
          <c:invertIfNegative val="0"/>
          <c:dLbls>
            <c:dLbl>
              <c:idx val="1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9533-44DA-AA90-18FEAA451B26}"/>
                </c:ext>
              </c:extLst>
            </c:dLbl>
            <c:dLbl>
              <c:idx val="1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9533-44DA-AA90-18FEAA451B26}"/>
                </c:ext>
              </c:extLst>
            </c:dLbl>
            <c:spPr>
              <a:noFill/>
              <a:ln>
                <a:noFill/>
              </a:ln>
              <a:effectLst/>
            </c:spPr>
            <c:txPr>
              <a:bodyPr rot="-5400000" vert="horz" wrap="square" lIns="38100" tIns="19050" rIns="38100" bIns="19050" anchor="ctr">
                <a:spAutoFit/>
              </a:bodyPr>
              <a:lstStyle/>
              <a:p>
                <a:pPr>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'Figure 2a'!$L$31:$M$70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 2a'!$S$31:$S$70</c:f>
              <c:numCache>
                <c:formatCode>0.00%</c:formatCode>
                <c:ptCount val="40"/>
                <c:pt idx="0">
                  <c:v>0.68011359674197969</c:v>
                </c:pt>
                <c:pt idx="1">
                  <c:v>0.68958575966699531</c:v>
                </c:pt>
                <c:pt idx="2">
                  <c:v>0.71386301369863026</c:v>
                </c:pt>
                <c:pt idx="3">
                  <c:v>0.71321831525906454</c:v>
                </c:pt>
                <c:pt idx="4">
                  <c:v>0.70036145251396653</c:v>
                </c:pt>
                <c:pt idx="5">
                  <c:v>0.71736145251396655</c:v>
                </c:pt>
                <c:pt idx="6" formatCode="0.0%">
                  <c:v>0.64250302104357571</c:v>
                </c:pt>
                <c:pt idx="7">
                  <c:v>0.64284575964360935</c:v>
                </c:pt>
                <c:pt idx="8">
                  <c:v>0.55909798904155283</c:v>
                </c:pt>
                <c:pt idx="9">
                  <c:v>0.57127297201240401</c:v>
                </c:pt>
                <c:pt idx="10">
                  <c:v>0.62488493150684932</c:v>
                </c:pt>
                <c:pt idx="11">
                  <c:v>0.62473127396209882</c:v>
                </c:pt>
                <c:pt idx="12">
                  <c:v>0.58081506849315079</c:v>
                </c:pt>
                <c:pt idx="13">
                  <c:v>0.61031573009091922</c:v>
                </c:pt>
                <c:pt idx="14">
                  <c:v>0.53440986301369864</c:v>
                </c:pt>
                <c:pt idx="15">
                  <c:v>0.53812794391499619</c:v>
                </c:pt>
                <c:pt idx="16">
                  <c:v>0.51925758242961995</c:v>
                </c:pt>
                <c:pt idx="17">
                  <c:v>0.51925758242961995</c:v>
                </c:pt>
                <c:pt idx="18" formatCode="0.0%">
                  <c:v>0.50264481437299724</c:v>
                </c:pt>
                <c:pt idx="19" formatCode="0.0%">
                  <c:v>0.51050346317123529</c:v>
                </c:pt>
                <c:pt idx="20">
                  <c:v>0.48110012049512546</c:v>
                </c:pt>
                <c:pt idx="21">
                  <c:v>0.48110012049512546</c:v>
                </c:pt>
                <c:pt idx="22">
                  <c:v>0.46267123287671236</c:v>
                </c:pt>
                <c:pt idx="23">
                  <c:v>0.46254518567203423</c:v>
                </c:pt>
                <c:pt idx="24">
                  <c:v>0.46210318764377262</c:v>
                </c:pt>
                <c:pt idx="25">
                  <c:v>0.46210318764377262</c:v>
                </c:pt>
                <c:pt idx="26">
                  <c:v>0.4544464782561069</c:v>
                </c:pt>
                <c:pt idx="27">
                  <c:v>0.45444647825610684</c:v>
                </c:pt>
                <c:pt idx="28">
                  <c:v>0.41217761721053614</c:v>
                </c:pt>
                <c:pt idx="29">
                  <c:v>0.44049427311054778</c:v>
                </c:pt>
                <c:pt idx="30">
                  <c:v>0.43125575277941591</c:v>
                </c:pt>
                <c:pt idx="31">
                  <c:v>0.46121973929236493</c:v>
                </c:pt>
                <c:pt idx="32">
                  <c:v>0.43396335616438358</c:v>
                </c:pt>
                <c:pt idx="33">
                  <c:v>0.43384352064848281</c:v>
                </c:pt>
                <c:pt idx="34">
                  <c:v>0.37662602739726025</c:v>
                </c:pt>
                <c:pt idx="35">
                  <c:v>0.37866480446927381</c:v>
                </c:pt>
                <c:pt idx="36">
                  <c:v>0.27824229452054799</c:v>
                </c:pt>
                <c:pt idx="37">
                  <c:v>0.28701445941505094</c:v>
                </c:pt>
                <c:pt idx="38">
                  <c:v>0.20235888726006285</c:v>
                </c:pt>
                <c:pt idx="39">
                  <c:v>0.21141724175703799</c:v>
                </c:pt>
              </c:numCache>
            </c:numRef>
          </c:val>
          <c:extLst>
            <c:ext xmlns:c16="http://schemas.microsoft.com/office/drawing/2014/chart" uri="{C3380CC4-5D6E-409C-BE32-E72D297353CC}">
              <c16:uniqueId val="{00000007-9533-44DA-AA90-18FEAA451B26}"/>
            </c:ext>
          </c:extLst>
        </c:ser>
        <c:dLbls>
          <c:showLegendKey val="0"/>
          <c:showVal val="0"/>
          <c:showCatName val="0"/>
          <c:showSerName val="0"/>
          <c:showPercent val="0"/>
          <c:showBubbleSize val="0"/>
        </c:dLbls>
        <c:gapWidth val="150"/>
        <c:axId val="334447151"/>
        <c:axId val="334441391"/>
      </c:barChart>
      <c:catAx>
        <c:axId val="232903424"/>
        <c:scaling>
          <c:orientation val="minMax"/>
        </c:scaling>
        <c:delete val="0"/>
        <c:axPos val="b"/>
        <c:numFmt formatCode="General" sourceLinked="0"/>
        <c:majorTickMark val="none"/>
        <c:minorTickMark val="none"/>
        <c:tickLblPos val="nextTo"/>
        <c:txPr>
          <a:bodyPr/>
          <a:lstStyle/>
          <a:p>
            <a:pPr>
              <a:defRPr sz="700"/>
            </a:pPr>
            <a:endParaRPr lang="es-DO"/>
          </a:p>
        </c:txPr>
        <c:crossAx val="232904960"/>
        <c:crosses val="autoZero"/>
        <c:auto val="1"/>
        <c:lblAlgn val="ctr"/>
        <c:lblOffset val="100"/>
        <c:noMultiLvlLbl val="0"/>
      </c:catAx>
      <c:valAx>
        <c:axId val="232904960"/>
        <c:scaling>
          <c:orientation val="minMax"/>
        </c:scaling>
        <c:delete val="0"/>
        <c:axPos val="l"/>
        <c:title>
          <c:tx>
            <c:rich>
              <a:bodyPr rot="-5400000" vert="horz"/>
              <a:lstStyle/>
              <a:p>
                <a:pPr>
                  <a:defRPr/>
                </a:pPr>
                <a:r>
                  <a:rPr lang="en-US"/>
                  <a:t>Cost of salaried labor as % of the average wage of formal workers</a:t>
                </a:r>
              </a:p>
            </c:rich>
          </c:tx>
          <c:layout>
            <c:manualLayout>
              <c:xMode val="edge"/>
              <c:yMode val="edge"/>
              <c:x val="1.0309278350515464E-2"/>
              <c:y val="5.7933234536159166E-2"/>
            </c:manualLayout>
          </c:layout>
          <c:overlay val="0"/>
        </c:title>
        <c:numFmt formatCode="0%" sourceLinked="0"/>
        <c:majorTickMark val="out"/>
        <c:minorTickMark val="none"/>
        <c:tickLblPos val="nextTo"/>
        <c:crossAx val="232903424"/>
        <c:crosses val="autoZero"/>
        <c:crossBetween val="between"/>
      </c:valAx>
      <c:valAx>
        <c:axId val="334441391"/>
        <c:scaling>
          <c:orientation val="minMax"/>
        </c:scaling>
        <c:delete val="0"/>
        <c:axPos val="r"/>
        <c:numFmt formatCode="0.00%" sourceLinked="1"/>
        <c:majorTickMark val="out"/>
        <c:minorTickMark val="none"/>
        <c:tickLblPos val="nextTo"/>
        <c:txPr>
          <a:bodyPr/>
          <a:lstStyle/>
          <a:p>
            <a:pPr>
              <a:defRPr sz="100">
                <a:solidFill>
                  <a:schemeClr val="bg1"/>
                </a:solidFill>
              </a:defRPr>
            </a:pPr>
            <a:endParaRPr lang="es-DO"/>
          </a:p>
        </c:txPr>
        <c:crossAx val="334447151"/>
        <c:crosses val="max"/>
        <c:crossBetween val="between"/>
      </c:valAx>
      <c:catAx>
        <c:axId val="334447151"/>
        <c:scaling>
          <c:orientation val="minMax"/>
        </c:scaling>
        <c:delete val="1"/>
        <c:axPos val="b"/>
        <c:numFmt formatCode="General" sourceLinked="1"/>
        <c:majorTickMark val="out"/>
        <c:minorTickMark val="none"/>
        <c:tickLblPos val="nextTo"/>
        <c:crossAx val="334441391"/>
        <c:crosses val="autoZero"/>
        <c:auto val="1"/>
        <c:lblAlgn val="ctr"/>
        <c:lblOffset val="100"/>
        <c:noMultiLvlLbl val="0"/>
      </c:catAx>
    </c:plotArea>
    <c:legend>
      <c:legendPos val="b"/>
      <c:legendEntry>
        <c:idx val="5"/>
        <c:delete val="1"/>
      </c:legendEntry>
      <c:layout>
        <c:manualLayout>
          <c:xMode val="edge"/>
          <c:yMode val="edge"/>
          <c:x val="5.2136752136752125E-2"/>
          <c:y val="0.92960923971640474"/>
          <c:w val="0.86037167374794421"/>
          <c:h val="5.080363332814556E-2"/>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accent1"/>
            </a:solidFill>
            <a:ln>
              <a:noFill/>
            </a:ln>
            <a:effectLst/>
          </c:spPr>
          <c:invertIfNegative val="0"/>
          <c:dPt>
            <c:idx val="12"/>
            <c:invertIfNegative val="0"/>
            <c:bubble3D val="0"/>
            <c:spPr>
              <a:solidFill>
                <a:schemeClr val="accent2"/>
              </a:solidFill>
              <a:ln>
                <a:noFill/>
              </a:ln>
              <a:effectLst/>
            </c:spPr>
            <c:extLst>
              <c:ext xmlns:c16="http://schemas.microsoft.com/office/drawing/2014/chart" uri="{C3380CC4-5D6E-409C-BE32-E72D297353CC}">
                <c16:uniqueId val="{00000001-53D8-4A93-98BE-D3E9E2787E5E}"/>
              </c:ext>
            </c:extLst>
          </c:dPt>
          <c:cat>
            <c:strRef>
              <c:f>'Figure 2b_2c'!$B$4:$B$23</c:f>
              <c:strCache>
                <c:ptCount val="20"/>
                <c:pt idx="0">
                  <c:v>Brazil</c:v>
                </c:pt>
                <c:pt idx="1">
                  <c:v>Bolivia</c:v>
                </c:pt>
                <c:pt idx="2">
                  <c:v>Guatemala</c:v>
                </c:pt>
                <c:pt idx="3">
                  <c:v>Venezuela</c:v>
                </c:pt>
                <c:pt idx="4">
                  <c:v>Honduras</c:v>
                </c:pt>
                <c:pt idx="5">
                  <c:v>Paraguay</c:v>
                </c:pt>
                <c:pt idx="6">
                  <c:v>Panama</c:v>
                </c:pt>
                <c:pt idx="7">
                  <c:v>Dominican Republic</c:v>
                </c:pt>
                <c:pt idx="8">
                  <c:v>Uruguay</c:v>
                </c:pt>
                <c:pt idx="9">
                  <c:v>Chile</c:v>
                </c:pt>
                <c:pt idx="10">
                  <c:v>Colombia</c:v>
                </c:pt>
                <c:pt idx="11">
                  <c:v>Latin America</c:v>
                </c:pt>
                <c:pt idx="12">
                  <c:v>Jamaica</c:v>
                </c:pt>
                <c:pt idx="13">
                  <c:v>Trinidad and Tobago</c:v>
                </c:pt>
                <c:pt idx="14">
                  <c:v>Argentina</c:v>
                </c:pt>
                <c:pt idx="15">
                  <c:v>Ecuador</c:v>
                </c:pt>
                <c:pt idx="16">
                  <c:v>Peru</c:v>
                </c:pt>
                <c:pt idx="17">
                  <c:v>Mexico</c:v>
                </c:pt>
                <c:pt idx="18">
                  <c:v>Costa Rica</c:v>
                </c:pt>
                <c:pt idx="19">
                  <c:v>El Salvador</c:v>
                </c:pt>
              </c:strCache>
            </c:strRef>
          </c:cat>
          <c:val>
            <c:numRef>
              <c:f>'Figure 2b_2c'!$D$4:$D$23</c:f>
              <c:numCache>
                <c:formatCode>0.0</c:formatCode>
                <c:ptCount val="20"/>
                <c:pt idx="0">
                  <c:v>-6.4469843956571626E-2</c:v>
                </c:pt>
                <c:pt idx="1">
                  <c:v>-1.536575447504962E-2</c:v>
                </c:pt>
                <c:pt idx="2">
                  <c:v>-1.2604720467818131E-2</c:v>
                </c:pt>
                <c:pt idx="3">
                  <c:v>-1.1983551590072361E-2</c:v>
                </c:pt>
                <c:pt idx="4">
                  <c:v>0</c:v>
                </c:pt>
                <c:pt idx="5">
                  <c:v>0</c:v>
                </c:pt>
                <c:pt idx="6">
                  <c:v>0</c:v>
                </c:pt>
                <c:pt idx="7">
                  <c:v>0</c:v>
                </c:pt>
                <c:pt idx="8">
                  <c:v>3.4273860003364298E-2</c:v>
                </c:pt>
                <c:pt idx="9">
                  <c:v>0.20387770720134979</c:v>
                </c:pt>
                <c:pt idx="10">
                  <c:v>0.37180809012975491</c:v>
                </c:pt>
                <c:pt idx="11">
                  <c:v>0.40252453603227822</c:v>
                </c:pt>
                <c:pt idx="12">
                  <c:v>0.87721648945029429</c:v>
                </c:pt>
                <c:pt idx="13">
                  <c:v>0.90583544969751462</c:v>
                </c:pt>
                <c:pt idx="14">
                  <c:v>0.94721629250156258</c:v>
                </c:pt>
                <c:pt idx="15">
                  <c:v>1.2210996457902024</c:v>
                </c:pt>
                <c:pt idx="16">
                  <c:v>1.7000000000000015</c:v>
                </c:pt>
                <c:pt idx="17">
                  <c:v>2.8316655900011645</c:v>
                </c:pt>
                <c:pt idx="18">
                  <c:v>2.9500661597768429</c:v>
                </c:pt>
                <c:pt idx="19">
                  <c:v>2.9963986512949017</c:v>
                </c:pt>
              </c:numCache>
            </c:numRef>
          </c:val>
          <c:extLst>
            <c:ext xmlns:c16="http://schemas.microsoft.com/office/drawing/2014/chart" uri="{C3380CC4-5D6E-409C-BE32-E72D297353CC}">
              <c16:uniqueId val="{00000002-53D8-4A93-98BE-D3E9E2787E5E}"/>
            </c:ext>
          </c:extLst>
        </c:ser>
        <c:dLbls>
          <c:showLegendKey val="0"/>
          <c:showVal val="0"/>
          <c:showCatName val="0"/>
          <c:showSerName val="0"/>
          <c:showPercent val="0"/>
          <c:showBubbleSize val="0"/>
        </c:dLbls>
        <c:gapWidth val="182"/>
        <c:axId val="266043647"/>
        <c:axId val="266025887"/>
      </c:barChart>
      <c:catAx>
        <c:axId val="266043647"/>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bg2">
                    <a:lumMod val="10000"/>
                  </a:schemeClr>
                </a:solidFill>
                <a:latin typeface="Times New Roman" panose="02020603050405020304" pitchFamily="18" charset="0"/>
                <a:ea typeface="+mn-ea"/>
                <a:cs typeface="Times New Roman" panose="02020603050405020304" pitchFamily="18" charset="0"/>
              </a:defRPr>
            </a:pPr>
            <a:endParaRPr lang="es-DO"/>
          </a:p>
        </c:txPr>
        <c:crossAx val="266025887"/>
        <c:crosses val="autoZero"/>
        <c:auto val="1"/>
        <c:lblAlgn val="ctr"/>
        <c:lblOffset val="100"/>
        <c:noMultiLvlLbl val="0"/>
      </c:catAx>
      <c:valAx>
        <c:axId val="266025887"/>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bg2">
                        <a:lumMod val="10000"/>
                      </a:schemeClr>
                    </a:solidFill>
                    <a:latin typeface="Times New Roman" panose="02020603050405020304" pitchFamily="18" charset="0"/>
                    <a:ea typeface="+mn-ea"/>
                    <a:cs typeface="Times New Roman" panose="02020603050405020304" pitchFamily="18" charset="0"/>
                  </a:defRPr>
                </a:pPr>
                <a:r>
                  <a:rPr lang="es-DO" sz="1000" b="1" i="0" u="none" strike="noStrike" kern="1200" baseline="0">
                    <a:solidFill>
                      <a:srgbClr val="E8E8E8">
                        <a:lumMod val="10000"/>
                      </a:srgbClr>
                    </a:solidFill>
                    <a:latin typeface="Times New Roman" panose="02020603050405020304" pitchFamily="18" charset="0"/>
                    <a:cs typeface="Times New Roman" panose="02020603050405020304" pitchFamily="18" charset="0"/>
                  </a:rPr>
                  <a:t>Change in ACSL from 2013 to 2023 (percentage points) </a:t>
                </a:r>
              </a:p>
            </c:rich>
          </c:tx>
          <c:layout>
            <c:manualLayout>
              <c:xMode val="edge"/>
              <c:yMode val="edge"/>
              <c:x val="0.17210026014740512"/>
              <c:y val="0.92367345957556923"/>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bg2">
                      <a:lumMod val="10000"/>
                    </a:schemeClr>
                  </a:solidFill>
                  <a:latin typeface="Times New Roman" panose="02020603050405020304" pitchFamily="18" charset="0"/>
                  <a:ea typeface="+mn-ea"/>
                  <a:cs typeface="Times New Roman" panose="02020603050405020304" pitchFamily="18" charset="0"/>
                </a:defRPr>
              </a:pPr>
              <a:endParaRPr lang="es-D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bg2">
                    <a:lumMod val="10000"/>
                  </a:schemeClr>
                </a:solidFill>
                <a:latin typeface="Times New Roman" panose="02020603050405020304" pitchFamily="18" charset="0"/>
                <a:ea typeface="+mn-ea"/>
                <a:cs typeface="Times New Roman" panose="02020603050405020304" pitchFamily="18" charset="0"/>
              </a:defRPr>
            </a:pPr>
            <a:endParaRPr lang="es-DO"/>
          </a:p>
        </c:txPr>
        <c:crossAx val="266043647"/>
        <c:crosses val="autoZero"/>
        <c:crossBetween val="between"/>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chemeClr val="bg2">
              <a:lumMod val="10000"/>
            </a:schemeClr>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027738545218649E-2"/>
          <c:y val="2.0509133440621153E-2"/>
          <c:w val="0.89021771620965673"/>
          <c:h val="0.68399299289463555"/>
        </c:manualLayout>
      </c:layout>
      <c:barChart>
        <c:barDir val="col"/>
        <c:grouping val="stacked"/>
        <c:varyColors val="0"/>
        <c:ser>
          <c:idx val="0"/>
          <c:order val="0"/>
          <c:tx>
            <c:strRef>
              <c:f>'Figure 3'!$C$83</c:f>
              <c:strCache>
                <c:ptCount val="1"/>
                <c:pt idx="0">
                  <c:v>Minimum wage</c:v>
                </c:pt>
              </c:strCache>
            </c:strRef>
          </c:tx>
          <c:spPr>
            <a:solidFill>
              <a:srgbClr val="93CDDD"/>
            </a:solidFill>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3'!$C$84:$C$125</c:f>
              <c:numCache>
                <c:formatCode>0.0%</c:formatCode>
                <c:ptCount val="40"/>
                <c:pt idx="0">
                  <c:v>0.60360037170655934</c:v>
                </c:pt>
                <c:pt idx="1">
                  <c:v>0.7514074923714763</c:v>
                </c:pt>
                <c:pt idx="2">
                  <c:v>0.47318120928341578</c:v>
                </c:pt>
                <c:pt idx="3">
                  <c:v>0.35294303772197783</c:v>
                </c:pt>
                <c:pt idx="4">
                  <c:v>0.43111527077335021</c:v>
                </c:pt>
                <c:pt idx="5">
                  <c:v>0.35819143483257881</c:v>
                </c:pt>
                <c:pt idx="6">
                  <c:v>0.33260979240199495</c:v>
                </c:pt>
                <c:pt idx="7">
                  <c:v>0.60912005316749462</c:v>
                </c:pt>
                <c:pt idx="8">
                  <c:v>0.2913081494928525</c:v>
                </c:pt>
                <c:pt idx="9">
                  <c:v>0.38760764283361826</c:v>
                </c:pt>
                <c:pt idx="10">
                  <c:v>0.28651801085937356</c:v>
                </c:pt>
                <c:pt idx="11">
                  <c:v>0.23664740855778121</c:v>
                </c:pt>
                <c:pt idx="12">
                  <c:v>0.26411503866993924</c:v>
                </c:pt>
                <c:pt idx="13">
                  <c:v>0.22901326073318545</c:v>
                </c:pt>
                <c:pt idx="14">
                  <c:v>0.25373341501477159</c:v>
                </c:pt>
                <c:pt idx="15">
                  <c:v>0.28636553579646834</c:v>
                </c:pt>
                <c:pt idx="16">
                  <c:v>0.20378784204525005</c:v>
                </c:pt>
                <c:pt idx="17">
                  <c:v>0.17756910344678647</c:v>
                </c:pt>
                <c:pt idx="18">
                  <c:v>0.23729517918828463</c:v>
                </c:pt>
                <c:pt idx="19">
                  <c:v>0.32696399688780686</c:v>
                </c:pt>
                <c:pt idx="20">
                  <c:v>0.22496508801246287</c:v>
                </c:pt>
                <c:pt idx="21">
                  <c:v>0.18973565157016781</c:v>
                </c:pt>
                <c:pt idx="22">
                  <c:v>0.21508332584110071</c:v>
                </c:pt>
                <c:pt idx="23">
                  <c:v>0.23271004888417116</c:v>
                </c:pt>
                <c:pt idx="24">
                  <c:v>0.21637842937200005</c:v>
                </c:pt>
                <c:pt idx="25">
                  <c:v>0.34927186820475431</c:v>
                </c:pt>
                <c:pt idx="26">
                  <c:v>0.18819818749349776</c:v>
                </c:pt>
                <c:pt idx="27">
                  <c:v>6.1986797623778738E-3</c:v>
                </c:pt>
                <c:pt idx="28">
                  <c:v>0.15517232954099469</c:v>
                </c:pt>
                <c:pt idx="29">
                  <c:v>0.15394615942433684</c:v>
                </c:pt>
                <c:pt idx="30">
                  <c:v>0.14994018775599496</c:v>
                </c:pt>
                <c:pt idx="31">
                  <c:v>0.14731482041465788</c:v>
                </c:pt>
                <c:pt idx="32">
                  <c:v>0.14874173741316807</c:v>
                </c:pt>
                <c:pt idx="33">
                  <c:v>0.19568298367505335</c:v>
                </c:pt>
                <c:pt idx="34">
                  <c:v>0.15956032078524277</c:v>
                </c:pt>
                <c:pt idx="35">
                  <c:v>0.17661738487060613</c:v>
                </c:pt>
                <c:pt idx="36">
                  <c:v>7.6071340208097735E-2</c:v>
                </c:pt>
                <c:pt idx="37">
                  <c:v>0.14296248294433631</c:v>
                </c:pt>
                <c:pt idx="38">
                  <c:v>9.7757846915806731E-2</c:v>
                </c:pt>
                <c:pt idx="39">
                  <c:v>0.13687481379564073</c:v>
                </c:pt>
              </c:numCache>
            </c:numRef>
          </c:val>
          <c:extLst>
            <c:ext xmlns:c16="http://schemas.microsoft.com/office/drawing/2014/chart" uri="{C3380CC4-5D6E-409C-BE32-E72D297353CC}">
              <c16:uniqueId val="{00000000-61C6-4B74-BAD6-230C3874F303}"/>
            </c:ext>
          </c:extLst>
        </c:ser>
        <c:ser>
          <c:idx val="1"/>
          <c:order val="1"/>
          <c:tx>
            <c:strRef>
              <c:f>'Figure 3'!$D$83</c:f>
              <c:strCache>
                <c:ptCount val="1"/>
                <c:pt idx="0">
                  <c:v>Mandatory contributions</c:v>
                </c:pt>
              </c:strCache>
            </c:strRef>
          </c:tx>
          <c:spPr>
            <a:solidFill>
              <a:schemeClr val="tx2"/>
            </a:solidFill>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3'!$D$84:$D$125</c:f>
              <c:numCache>
                <c:formatCode>0.0%</c:formatCode>
                <c:ptCount val="40"/>
                <c:pt idx="0">
                  <c:v>4.6477228621405076E-2</c:v>
                </c:pt>
                <c:pt idx="1">
                  <c:v>5.7858376912603676E-2</c:v>
                </c:pt>
                <c:pt idx="2">
                  <c:v>0.13313450140133914</c:v>
                </c:pt>
                <c:pt idx="3">
                  <c:v>9.9304229390996729E-2</c:v>
                </c:pt>
                <c:pt idx="4">
                  <c:v>7.5445172385336295E-2</c:v>
                </c:pt>
                <c:pt idx="5">
                  <c:v>6.2683501095701283E-2</c:v>
                </c:pt>
                <c:pt idx="6">
                  <c:v>8.122331130456717E-2</c:v>
                </c:pt>
                <c:pt idx="7">
                  <c:v>0.14874711698350218</c:v>
                </c:pt>
                <c:pt idx="8">
                  <c:v>9.8321355027826282E-2</c:v>
                </c:pt>
                <c:pt idx="9">
                  <c:v>0.12134741909277841</c:v>
                </c:pt>
                <c:pt idx="10">
                  <c:v>0.11052334146293877</c:v>
                </c:pt>
                <c:pt idx="11">
                  <c:v>9.8261486662932246E-2</c:v>
                </c:pt>
                <c:pt idx="12">
                  <c:v>9.1238153873919231E-2</c:v>
                </c:pt>
                <c:pt idx="13">
                  <c:v>8.3005521450012124E-2</c:v>
                </c:pt>
                <c:pt idx="14">
                  <c:v>6.6760485099831957E-2</c:v>
                </c:pt>
                <c:pt idx="15">
                  <c:v>7.3718518223032228E-2</c:v>
                </c:pt>
                <c:pt idx="16">
                  <c:v>9.0596816376204231E-2</c:v>
                </c:pt>
                <c:pt idx="17">
                  <c:v>8.0629257374318905E-2</c:v>
                </c:pt>
                <c:pt idx="18">
                  <c:v>5.8137318901129727E-2</c:v>
                </c:pt>
                <c:pt idx="19">
                  <c:v>8.9915099144146887E-2</c:v>
                </c:pt>
                <c:pt idx="20">
                  <c:v>6.7397288702945285E-2</c:v>
                </c:pt>
                <c:pt idx="21">
                  <c:v>5.4979536394525609E-2</c:v>
                </c:pt>
                <c:pt idx="22">
                  <c:v>7.376768806963889E-2</c:v>
                </c:pt>
                <c:pt idx="23">
                  <c:v>8.1573934289929845E-2</c:v>
                </c:pt>
                <c:pt idx="24">
                  <c:v>4.0286958818699252E-2</c:v>
                </c:pt>
                <c:pt idx="25">
                  <c:v>6.8108014299927092E-2</c:v>
                </c:pt>
                <c:pt idx="26">
                  <c:v>4.0937810734523107E-2</c:v>
                </c:pt>
                <c:pt idx="27">
                  <c:v>1.3482128483171874E-3</c:v>
                </c:pt>
                <c:pt idx="28">
                  <c:v>7.0864864688187423E-2</c:v>
                </c:pt>
                <c:pt idx="29">
                  <c:v>7.1635301440442584E-2</c:v>
                </c:pt>
                <c:pt idx="30">
                  <c:v>5.9518715647008197E-2</c:v>
                </c:pt>
                <c:pt idx="31">
                  <c:v>5.8854350935993768E-2</c:v>
                </c:pt>
                <c:pt idx="32">
                  <c:v>3.5236917593179512E-2</c:v>
                </c:pt>
                <c:pt idx="33">
                  <c:v>4.6768233098337761E-2</c:v>
                </c:pt>
                <c:pt idx="34">
                  <c:v>3.904048834301229E-2</c:v>
                </c:pt>
                <c:pt idx="35">
                  <c:v>4.3213932644913126E-2</c:v>
                </c:pt>
                <c:pt idx="36">
                  <c:v>1.7310648858482013E-2</c:v>
                </c:pt>
                <c:pt idx="37">
                  <c:v>4.198054138249338E-2</c:v>
                </c:pt>
                <c:pt idx="38">
                  <c:v>1.3167961721156521E-2</c:v>
                </c:pt>
                <c:pt idx="39">
                  <c:v>1.8067475421024576E-2</c:v>
                </c:pt>
              </c:numCache>
            </c:numRef>
          </c:val>
          <c:extLst>
            <c:ext xmlns:c16="http://schemas.microsoft.com/office/drawing/2014/chart" uri="{C3380CC4-5D6E-409C-BE32-E72D297353CC}">
              <c16:uniqueId val="{00000001-61C6-4B74-BAD6-230C3874F303}"/>
            </c:ext>
          </c:extLst>
        </c:ser>
        <c:ser>
          <c:idx val="2"/>
          <c:order val="2"/>
          <c:tx>
            <c:strRef>
              <c:f>'Figure 3'!$E$83</c:f>
              <c:strCache>
                <c:ptCount val="1"/>
                <c:pt idx="0">
                  <c:v>Bonus</c:v>
                </c:pt>
              </c:strCache>
            </c:strRef>
          </c:tx>
          <c:spPr>
            <a:solidFill>
              <a:schemeClr val="accent2">
                <a:lumMod val="40000"/>
                <a:lumOff val="60000"/>
              </a:schemeClr>
            </a:solidFill>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3'!$E$84:$E$125</c:f>
              <c:numCache>
                <c:formatCode>0.0%</c:formatCode>
                <c:ptCount val="40"/>
                <c:pt idx="0">
                  <c:v>9.9276376925420948E-2</c:v>
                </c:pt>
                <c:pt idx="1">
                  <c:v>0.12346491823389356</c:v>
                </c:pt>
                <c:pt idx="2">
                  <c:v>3.8874565337119277E-2</c:v>
                </c:pt>
                <c:pt idx="3">
                  <c:v>2.8996306089547969E-2</c:v>
                </c:pt>
                <c:pt idx="4">
                  <c:v>7.0868263688769903E-2</c:v>
                </c:pt>
                <c:pt idx="5">
                  <c:v>5.885498436289497E-2</c:v>
                </c:pt>
                <c:pt idx="6">
                  <c:v>5.4675582312656706E-2</c:v>
                </c:pt>
                <c:pt idx="7">
                  <c:v>0.10008545073406092</c:v>
                </c:pt>
                <c:pt idx="8">
                  <c:v>4.8551356306754417E-2</c:v>
                </c:pt>
                <c:pt idx="9">
                  <c:v>6.4144840224656455E-2</c:v>
                </c:pt>
                <c:pt idx="10">
                  <c:v>2.3549425550085497E-2</c:v>
                </c:pt>
                <c:pt idx="11">
                  <c:v>1.944194943787227E-2</c:v>
                </c:pt>
                <c:pt idx="12">
                  <c:v>4.3397147333213801E-2</c:v>
                </c:pt>
                <c:pt idx="13">
                  <c:v>3.762952033078959E-2</c:v>
                </c:pt>
                <c:pt idx="14">
                  <c:v>2.8576493211027038E-2</c:v>
                </c:pt>
                <c:pt idx="15">
                  <c:v>3.0230137000569104E-2</c:v>
                </c:pt>
                <c:pt idx="16">
                  <c:v>1.6749685647554798E-2</c:v>
                </c:pt>
                <c:pt idx="17">
                  <c:v>1.4588325948635105E-2</c:v>
                </c:pt>
                <c:pt idx="18">
                  <c:v>1.2346939436349569E-2</c:v>
                </c:pt>
                <c:pt idx="19">
                  <c:v>1.701258610162211E-2</c:v>
                </c:pt>
                <c:pt idx="20">
                  <c:v>1.8482179429219758E-2</c:v>
                </c:pt>
                <c:pt idx="21">
                  <c:v>1.5587878045528079E-2</c:v>
                </c:pt>
                <c:pt idx="22">
                  <c:v>1.7678081575980883E-2</c:v>
                </c:pt>
                <c:pt idx="23">
                  <c:v>1.9118472632613473E-2</c:v>
                </c:pt>
                <c:pt idx="24">
                  <c:v>0</c:v>
                </c:pt>
                <c:pt idx="25">
                  <c:v>0</c:v>
                </c:pt>
                <c:pt idx="26">
                  <c:v>1.5468344177547761E-2</c:v>
                </c:pt>
                <c:pt idx="27">
                  <c:v>5.0925729234126474E-4</c:v>
                </c:pt>
                <c:pt idx="28">
                  <c:v>1.275389009925984E-2</c:v>
                </c:pt>
                <c:pt idx="29">
                  <c:v>1.2647564855762147E-2</c:v>
                </c:pt>
                <c:pt idx="30">
                  <c:v>1.2318451179427783E-2</c:v>
                </c:pt>
                <c:pt idx="31">
                  <c:v>1.2102762110964336E-2</c:v>
                </c:pt>
                <c:pt idx="32">
                  <c:v>0</c:v>
                </c:pt>
                <c:pt idx="33">
                  <c:v>0</c:v>
                </c:pt>
                <c:pt idx="34">
                  <c:v>1.3108800590309133E-2</c:v>
                </c:pt>
                <c:pt idx="35">
                  <c:v>1.451013677872216E-2</c:v>
                </c:pt>
                <c:pt idx="36">
                  <c:v>3.1696391753374058E-3</c:v>
                </c:pt>
                <c:pt idx="37">
                  <c:v>5.9567701226806782E-3</c:v>
                </c:pt>
                <c:pt idx="39">
                  <c:v>0</c:v>
                </c:pt>
              </c:numCache>
            </c:numRef>
          </c:val>
          <c:extLst>
            <c:ext xmlns:c16="http://schemas.microsoft.com/office/drawing/2014/chart" uri="{C3380CC4-5D6E-409C-BE32-E72D297353CC}">
              <c16:uniqueId val="{00000002-61C6-4B74-BAD6-230C3874F303}"/>
            </c:ext>
          </c:extLst>
        </c:ser>
        <c:ser>
          <c:idx val="3"/>
          <c:order val="3"/>
          <c:tx>
            <c:strRef>
              <c:f>'Figure 3'!$F$83</c:f>
              <c:strCache>
                <c:ptCount val="1"/>
                <c:pt idx="0">
                  <c:v>Annual leave</c:v>
                </c:pt>
              </c:strCache>
            </c:strRef>
          </c:tx>
          <c:spPr>
            <a:solidFill>
              <a:schemeClr val="accent2"/>
            </a:solidFill>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3'!$F$84:$F$125</c:f>
              <c:numCache>
                <c:formatCode>0.0%</c:formatCode>
                <c:ptCount val="40"/>
                <c:pt idx="0">
                  <c:v>3.309212564180699E-2</c:v>
                </c:pt>
                <c:pt idx="1">
                  <c:v>4.1154972744631195E-2</c:v>
                </c:pt>
                <c:pt idx="2">
                  <c:v>1.5549826134847712E-2</c:v>
                </c:pt>
                <c:pt idx="3">
                  <c:v>1.1598522435819188E-2</c:v>
                </c:pt>
                <c:pt idx="4">
                  <c:v>1.7717065922192476E-2</c:v>
                </c:pt>
                <c:pt idx="5">
                  <c:v>1.4713746090723743E-2</c:v>
                </c:pt>
                <c:pt idx="6">
                  <c:v>1.8225194104218904E-2</c:v>
                </c:pt>
                <c:pt idx="7">
                  <c:v>3.3361816911353641E-2</c:v>
                </c:pt>
                <c:pt idx="8">
                  <c:v>1.2137839562202187E-2</c:v>
                </c:pt>
                <c:pt idx="9">
                  <c:v>1.6150318451400761E-2</c:v>
                </c:pt>
                <c:pt idx="10">
                  <c:v>1.0989731923373233E-2</c:v>
                </c:pt>
                <c:pt idx="11">
                  <c:v>9.0729097376737247E-3</c:v>
                </c:pt>
                <c:pt idx="12">
                  <c:v>2.16985736666069E-2</c:v>
                </c:pt>
                <c:pt idx="13">
                  <c:v>1.8814760165394795E-2</c:v>
                </c:pt>
                <c:pt idx="14">
                  <c:v>1.2861392295970589E-2</c:v>
                </c:pt>
                <c:pt idx="15">
                  <c:v>1.4576832815799322E-2</c:v>
                </c:pt>
                <c:pt idx="16">
                  <c:v>7.8130950504806135E-3</c:v>
                </c:pt>
                <c:pt idx="17">
                  <c:v>6.8078854426963809E-3</c:v>
                </c:pt>
                <c:pt idx="18">
                  <c:v>1.2346939436349569E-2</c:v>
                </c:pt>
                <c:pt idx="19">
                  <c:v>1.701258610162211E-2</c:v>
                </c:pt>
                <c:pt idx="20">
                  <c:v>1.8482179429219758E-2</c:v>
                </c:pt>
                <c:pt idx="21">
                  <c:v>1.5587878045528079E-2</c:v>
                </c:pt>
                <c:pt idx="22">
                  <c:v>8.8390407879904414E-3</c:v>
                </c:pt>
                <c:pt idx="23">
                  <c:v>9.5592363163067347E-3</c:v>
                </c:pt>
                <c:pt idx="24">
                  <c:v>8.2994466060493152E-3</c:v>
                </c:pt>
                <c:pt idx="25">
                  <c:v>1.3390859225727246E-2</c:v>
                </c:pt>
                <c:pt idx="26">
                  <c:v>9.7966179791135824E-3</c:v>
                </c:pt>
                <c:pt idx="27">
                  <c:v>3.2252961848280095E-4</c:v>
                </c:pt>
                <c:pt idx="28">
                  <c:v>1.7005186799013122E-2</c:v>
                </c:pt>
                <c:pt idx="29">
                  <c:v>1.6863419807682863E-2</c:v>
                </c:pt>
                <c:pt idx="30">
                  <c:v>8.6229158255994483E-3</c:v>
                </c:pt>
                <c:pt idx="31">
                  <c:v>8.4719334776750359E-3</c:v>
                </c:pt>
                <c:pt idx="32">
                  <c:v>6.1126741402671809E-3</c:v>
                </c:pt>
                <c:pt idx="33">
                  <c:v>8.0382428391001202E-3</c:v>
                </c:pt>
                <c:pt idx="34">
                  <c:v>7.8652803541854784E-3</c:v>
                </c:pt>
                <c:pt idx="35">
                  <c:v>8.7060820672332957E-3</c:v>
                </c:pt>
                <c:pt idx="36">
                  <c:v>2.9583298969815788E-3</c:v>
                </c:pt>
                <c:pt idx="37">
                  <c:v>7.8301283242598486E-3</c:v>
                </c:pt>
                <c:pt idx="38">
                  <c:v>3.749616046085738E-3</c:v>
                </c:pt>
                <c:pt idx="39">
                  <c:v>5.2476924995590148E-3</c:v>
                </c:pt>
              </c:numCache>
            </c:numRef>
          </c:val>
          <c:extLst>
            <c:ext xmlns:c16="http://schemas.microsoft.com/office/drawing/2014/chart" uri="{C3380CC4-5D6E-409C-BE32-E72D297353CC}">
              <c16:uniqueId val="{00000003-61C6-4B74-BAD6-230C3874F303}"/>
            </c:ext>
          </c:extLst>
        </c:ser>
        <c:ser>
          <c:idx val="4"/>
          <c:order val="4"/>
          <c:tx>
            <c:strRef>
              <c:f>'Figure 3'!$G$83</c:f>
              <c:strCache>
                <c:ptCount val="1"/>
                <c:pt idx="0">
                  <c:v>Severance payment (flow)</c:v>
                </c:pt>
              </c:strCache>
            </c:strRef>
          </c:tx>
          <c:spPr>
            <a:solidFill>
              <a:schemeClr val="tx2">
                <a:lumMod val="25000"/>
                <a:lumOff val="75000"/>
              </a:schemeClr>
            </a:solidFill>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3'!$G$84:$G$125</c:f>
              <c:numCache>
                <c:formatCode>0.0%</c:formatCode>
                <c:ptCount val="40"/>
                <c:pt idx="0">
                  <c:v>4.9638188462710481E-2</c:v>
                </c:pt>
                <c:pt idx="1">
                  <c:v>6.1732459116946796E-2</c:v>
                </c:pt>
                <c:pt idx="2">
                  <c:v>1.9437282668559638E-2</c:v>
                </c:pt>
                <c:pt idx="3">
                  <c:v>1.4498153044773985E-2</c:v>
                </c:pt>
                <c:pt idx="4">
                  <c:v>3.5434131844384952E-2</c:v>
                </c:pt>
                <c:pt idx="5">
                  <c:v>2.9427492181447492E-2</c:v>
                </c:pt>
                <c:pt idx="6">
                  <c:v>2.733779115632835E-2</c:v>
                </c:pt>
                <c:pt idx="7">
                  <c:v>5.0042725367030458E-2</c:v>
                </c:pt>
                <c:pt idx="8">
                  <c:v>2.4275679124404377E-2</c:v>
                </c:pt>
                <c:pt idx="9">
                  <c:v>3.1858162424680946E-2</c:v>
                </c:pt>
                <c:pt idx="10">
                  <c:v>1.6641594055393751E-2</c:v>
                </c:pt>
                <c:pt idx="11">
                  <c:v>1.3764900202013562E-2</c:v>
                </c:pt>
                <c:pt idx="12">
                  <c:v>3.2547860499910347E-2</c:v>
                </c:pt>
                <c:pt idx="13">
                  <c:v>2.8222140248092192E-2</c:v>
                </c:pt>
                <c:pt idx="14">
                  <c:v>1.8428871659998333E-2</c:v>
                </c:pt>
                <c:pt idx="15">
                  <c:v>2.0987432336352932E-2</c:v>
                </c:pt>
                <c:pt idx="16">
                  <c:v>1.6742346536744172E-2</c:v>
                </c:pt>
                <c:pt idx="17">
                  <c:v>1.4588325948635102E-2</c:v>
                </c:pt>
                <c:pt idx="18">
                  <c:v>1.95037133579412E-2</c:v>
                </c:pt>
                <c:pt idx="19">
                  <c:v>2.6861978055192807E-2</c:v>
                </c:pt>
                <c:pt idx="20">
                  <c:v>1.4662529013847674E-2</c:v>
                </c:pt>
                <c:pt idx="21">
                  <c:v>1.2366383249452278E-2</c:v>
                </c:pt>
                <c:pt idx="22">
                  <c:v>1.2963926489052643E-2</c:v>
                </c:pt>
                <c:pt idx="23">
                  <c:v>1.4020213263916545E-2</c:v>
                </c:pt>
                <c:pt idx="24">
                  <c:v>8.2994466060493169E-3</c:v>
                </c:pt>
                <c:pt idx="25">
                  <c:v>1.3390859225727246E-2</c:v>
                </c:pt>
                <c:pt idx="26">
                  <c:v>1.546834417754776E-2</c:v>
                </c:pt>
                <c:pt idx="27">
                  <c:v>5.0925729234126474E-4</c:v>
                </c:pt>
                <c:pt idx="28">
                  <c:v>4.8974937981157785E-3</c:v>
                </c:pt>
                <c:pt idx="29">
                  <c:v>4.8566649046126635E-3</c:v>
                </c:pt>
                <c:pt idx="30">
                  <c:v>1.4700018407450489E-2</c:v>
                </c:pt>
                <c:pt idx="31">
                  <c:v>1.4442629452417439E-2</c:v>
                </c:pt>
                <c:pt idx="32">
                  <c:v>1.2225348280534362E-2</c:v>
                </c:pt>
                <c:pt idx="33">
                  <c:v>1.6076485678200244E-2</c:v>
                </c:pt>
                <c:pt idx="34">
                  <c:v>1.0050080452570335E-2</c:v>
                </c:pt>
                <c:pt idx="35">
                  <c:v>1.1124438197020321E-2</c:v>
                </c:pt>
                <c:pt idx="36">
                  <c:v>7.9162858141847807E-3</c:v>
                </c:pt>
                <c:pt idx="37">
                  <c:v>1.4877243816093712E-2</c:v>
                </c:pt>
                <c:pt idx="38">
                  <c:v>4.4459733117873743E-3</c:v>
                </c:pt>
                <c:pt idx="39">
                  <c:v>5.6225276780989455E-3</c:v>
                </c:pt>
              </c:numCache>
            </c:numRef>
          </c:val>
          <c:extLst>
            <c:ext xmlns:c16="http://schemas.microsoft.com/office/drawing/2014/chart" uri="{C3380CC4-5D6E-409C-BE32-E72D297353CC}">
              <c16:uniqueId val="{00000004-61C6-4B74-BAD6-230C3874F303}"/>
            </c:ext>
          </c:extLst>
        </c:ser>
        <c:ser>
          <c:idx val="5"/>
          <c:order val="5"/>
          <c:tx>
            <c:strRef>
              <c:f>'Figure 3'!$H$83</c:f>
              <c:strCache>
                <c:ptCount val="1"/>
                <c:pt idx="0">
                  <c:v>Firing notice (flow)</c:v>
                </c:pt>
              </c:strCache>
            </c:strRef>
          </c:tx>
          <c:spPr>
            <a:solidFill>
              <a:srgbClr val="558ED5"/>
            </a:solidFill>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3'!$H$84:$H$125</c:f>
              <c:numCache>
                <c:formatCode>0.0%</c:formatCode>
                <c:ptCount val="40"/>
                <c:pt idx="0">
                  <c:v>9.9276376925420944E-3</c:v>
                </c:pt>
                <c:pt idx="1">
                  <c:v>2.4692983646778712E-2</c:v>
                </c:pt>
                <c:pt idx="2">
                  <c:v>1.1662369601135782E-2</c:v>
                </c:pt>
                <c:pt idx="3">
                  <c:v>8.6988918268643915E-3</c:v>
                </c:pt>
                <c:pt idx="4">
                  <c:v>0</c:v>
                </c:pt>
                <c:pt idx="5">
                  <c:v>0</c:v>
                </c:pt>
                <c:pt idx="6">
                  <c:v>1.6402674693797008E-2</c:v>
                </c:pt>
                <c:pt idx="7">
                  <c:v>3.002563522021828E-2</c:v>
                </c:pt>
                <c:pt idx="8">
                  <c:v>0</c:v>
                </c:pt>
                <c:pt idx="9">
                  <c:v>0</c:v>
                </c:pt>
                <c:pt idx="10">
                  <c:v>4.7098851100170992E-3</c:v>
                </c:pt>
                <c:pt idx="11">
                  <c:v>3.8883898875744531E-3</c:v>
                </c:pt>
                <c:pt idx="12">
                  <c:v>0</c:v>
                </c:pt>
                <c:pt idx="13">
                  <c:v>0</c:v>
                </c:pt>
                <c:pt idx="14">
                  <c:v>3.4481290793055043E-3</c:v>
                </c:pt>
                <c:pt idx="15">
                  <c:v>4.9539790966967555E-3</c:v>
                </c:pt>
                <c:pt idx="16">
                  <c:v>6.696938614697669E-3</c:v>
                </c:pt>
                <c:pt idx="17">
                  <c:v>5.8353303794540417E-3</c:v>
                </c:pt>
                <c:pt idx="18">
                  <c:v>0</c:v>
                </c:pt>
                <c:pt idx="19">
                  <c:v>0</c:v>
                </c:pt>
                <c:pt idx="20">
                  <c:v>0</c:v>
                </c:pt>
                <c:pt idx="21">
                  <c:v>0</c:v>
                </c:pt>
                <c:pt idx="22">
                  <c:v>8.8390407879904414E-4</c:v>
                </c:pt>
                <c:pt idx="23">
                  <c:v>9.5592363163067324E-4</c:v>
                </c:pt>
                <c:pt idx="24">
                  <c:v>3.3197786424197261E-3</c:v>
                </c:pt>
                <c:pt idx="25">
                  <c:v>5.3563436902908977E-3</c:v>
                </c:pt>
                <c:pt idx="26">
                  <c:v>0</c:v>
                </c:pt>
                <c:pt idx="27">
                  <c:v>0</c:v>
                </c:pt>
                <c:pt idx="28">
                  <c:v>3.5710892277927555E-3</c:v>
                </c:pt>
                <c:pt idx="29">
                  <c:v>3.7942694567286443E-3</c:v>
                </c:pt>
                <c:pt idx="30">
                  <c:v>0</c:v>
                </c:pt>
                <c:pt idx="31">
                  <c:v>0</c:v>
                </c:pt>
                <c:pt idx="32">
                  <c:v>2.4450696561068722E-3</c:v>
                </c:pt>
                <c:pt idx="33">
                  <c:v>3.215297135640048E-3</c:v>
                </c:pt>
                <c:pt idx="34">
                  <c:v>2.4469761101910386E-3</c:v>
                </c:pt>
                <c:pt idx="35">
                  <c:v>2.7085588653614698E-3</c:v>
                </c:pt>
                <c:pt idx="36">
                  <c:v>0</c:v>
                </c:pt>
                <c:pt idx="37">
                  <c:v>0</c:v>
                </c:pt>
                <c:pt idx="38">
                  <c:v>0</c:v>
                </c:pt>
                <c:pt idx="39">
                  <c:v>0</c:v>
                </c:pt>
              </c:numCache>
            </c:numRef>
          </c:val>
          <c:extLst>
            <c:ext xmlns:c16="http://schemas.microsoft.com/office/drawing/2014/chart" uri="{C3380CC4-5D6E-409C-BE32-E72D297353CC}">
              <c16:uniqueId val="{00000005-61C6-4B74-BAD6-230C3874F303}"/>
            </c:ext>
          </c:extLst>
        </c:ser>
        <c:dLbls>
          <c:showLegendKey val="0"/>
          <c:showVal val="0"/>
          <c:showCatName val="0"/>
          <c:showSerName val="0"/>
          <c:showPercent val="0"/>
          <c:showBubbleSize val="0"/>
        </c:dLbls>
        <c:gapWidth val="219"/>
        <c:overlap val="100"/>
        <c:axId val="271161888"/>
        <c:axId val="271148448"/>
      </c:barChart>
      <c:barChart>
        <c:barDir val="col"/>
        <c:grouping val="clustered"/>
        <c:varyColors val="0"/>
        <c:ser>
          <c:idx val="6"/>
          <c:order val="6"/>
          <c:tx>
            <c:strRef>
              <c:f>'Figure 3'!$I$83</c:f>
              <c:strCache>
                <c:ptCount val="1"/>
                <c:pt idx="0">
                  <c:v>Total 2023</c:v>
                </c:pt>
              </c:strCache>
            </c:strRef>
          </c:tx>
          <c:spPr>
            <a:noFill/>
            <a:ln>
              <a:noFill/>
            </a:ln>
          </c:spPr>
          <c:invertIfNegative val="0"/>
          <c:cat>
            <c:multiLvlStrRef>
              <c:f>'Figure 3'!$A$84:$B$125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3'!$I$84:$I$125</c:f>
              <c:numCache>
                <c:formatCode>0.0%</c:formatCode>
                <c:ptCount val="40"/>
                <c:pt idx="0">
                  <c:v>0.84201192905044497</c:v>
                </c:pt>
                <c:pt idx="1">
                  <c:v>1.0603112030263302</c:v>
                </c:pt>
                <c:pt idx="2">
                  <c:v>0.69183975442641732</c:v>
                </c:pt>
                <c:pt idx="3">
                  <c:v>0.51603914050998012</c:v>
                </c:pt>
                <c:pt idx="4">
                  <c:v>0.63057990461403379</c:v>
                </c:pt>
                <c:pt idx="5">
                  <c:v>0.52387115856334632</c:v>
                </c:pt>
                <c:pt idx="6">
                  <c:v>0.53047434597356302</c:v>
                </c:pt>
                <c:pt idx="7">
                  <c:v>0.97138279838366015</c:v>
                </c:pt>
                <c:pt idx="8">
                  <c:v>0.47459437951403982</c:v>
                </c:pt>
                <c:pt idx="9">
                  <c:v>0.621108383027135</c:v>
                </c:pt>
                <c:pt idx="10">
                  <c:v>0.45293198896118181</c:v>
                </c:pt>
                <c:pt idx="11">
                  <c:v>0.38107704448584739</c:v>
                </c:pt>
                <c:pt idx="12">
                  <c:v>0.45299677404358951</c:v>
                </c:pt>
                <c:pt idx="13">
                  <c:v>0.39668520292747411</c:v>
                </c:pt>
                <c:pt idx="14">
                  <c:v>0.3838087863609051</c:v>
                </c:pt>
                <c:pt idx="15">
                  <c:v>0.43083243526891862</c:v>
                </c:pt>
                <c:pt idx="16">
                  <c:v>0.34238672427093153</c:v>
                </c:pt>
                <c:pt idx="17">
                  <c:v>0.30001822854052607</c:v>
                </c:pt>
                <c:pt idx="18">
                  <c:v>0.3396300903200547</c:v>
                </c:pt>
                <c:pt idx="19">
                  <c:v>0.47776624629039072</c:v>
                </c:pt>
                <c:pt idx="20">
                  <c:v>0.34398926458769535</c:v>
                </c:pt>
                <c:pt idx="21">
                  <c:v>0.28825732730520182</c:v>
                </c:pt>
                <c:pt idx="22">
                  <c:v>0.3292159668425626</c:v>
                </c:pt>
                <c:pt idx="23">
                  <c:v>0.35793782901856841</c:v>
                </c:pt>
                <c:pt idx="24">
                  <c:v>0.27658406004521763</c:v>
                </c:pt>
                <c:pt idx="25">
                  <c:v>0.4495179446464268</c:v>
                </c:pt>
                <c:pt idx="26">
                  <c:v>0.26986930456222996</c:v>
                </c:pt>
                <c:pt idx="27">
                  <c:v>8.8879368138603931E-3</c:v>
                </c:pt>
                <c:pt idx="28">
                  <c:v>0.26426485415336359</c:v>
                </c:pt>
                <c:pt idx="29">
                  <c:v>0.26374337988956581</c:v>
                </c:pt>
                <c:pt idx="30">
                  <c:v>0.2451002888154809</c:v>
                </c:pt>
                <c:pt idx="31">
                  <c:v>0.24118649639170847</c:v>
                </c:pt>
                <c:pt idx="32">
                  <c:v>0.20476174708325601</c:v>
                </c:pt>
                <c:pt idx="33">
                  <c:v>0.2697812424263315</c:v>
                </c:pt>
                <c:pt idx="34">
                  <c:v>0.23207194663551106</c:v>
                </c:pt>
                <c:pt idx="35">
                  <c:v>0.25688053342385653</c:v>
                </c:pt>
                <c:pt idx="36">
                  <c:v>0.10742624395308351</c:v>
                </c:pt>
                <c:pt idx="37">
                  <c:v>0.21360716658986392</c:v>
                </c:pt>
                <c:pt idx="38">
                  <c:v>0.11912139799483637</c:v>
                </c:pt>
                <c:pt idx="39">
                  <c:v>0.16581250939432327</c:v>
                </c:pt>
              </c:numCache>
            </c:numRef>
          </c:val>
          <c:extLst>
            <c:ext xmlns:c16="http://schemas.microsoft.com/office/drawing/2014/chart" uri="{C3380CC4-5D6E-409C-BE32-E72D297353CC}">
              <c16:uniqueId val="{00000006-61C6-4B74-BAD6-230C3874F303}"/>
            </c:ext>
          </c:extLst>
        </c:ser>
        <c:dLbls>
          <c:showLegendKey val="0"/>
          <c:showVal val="0"/>
          <c:showCatName val="0"/>
          <c:showSerName val="0"/>
          <c:showPercent val="0"/>
          <c:showBubbleSize val="0"/>
        </c:dLbls>
        <c:gapWidth val="219"/>
        <c:axId val="578969456"/>
        <c:axId val="578989136"/>
      </c:barChart>
      <c:catAx>
        <c:axId val="27116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a:pPr>
            <a:endParaRPr lang="es-DO"/>
          </a:p>
        </c:txPr>
        <c:crossAx val="271148448"/>
        <c:crosses val="autoZero"/>
        <c:auto val="1"/>
        <c:lblAlgn val="ctr"/>
        <c:lblOffset val="100"/>
        <c:noMultiLvlLbl val="0"/>
      </c:catAx>
      <c:valAx>
        <c:axId val="271148448"/>
        <c:scaling>
          <c:orientation val="minMax"/>
        </c:scaling>
        <c:delete val="0"/>
        <c:axPos val="l"/>
        <c:title>
          <c:tx>
            <c:rich>
              <a:bodyPr rot="-5400000" vert="horz"/>
              <a:lstStyle/>
              <a:p>
                <a:pPr>
                  <a:defRPr/>
                </a:pPr>
                <a:r>
                  <a:rPr lang="en-US"/>
                  <a:t>Minimum cost of salaried labor as % of GDP per worker</a:t>
                </a:r>
              </a:p>
            </c:rich>
          </c:tx>
          <c:layout>
            <c:manualLayout>
              <c:xMode val="edge"/>
              <c:yMode val="edge"/>
              <c:x val="1.6528158857596433E-3"/>
              <c:y val="0.1267114426659518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DO"/>
          </a:p>
        </c:txPr>
        <c:crossAx val="271161888"/>
        <c:crosses val="autoZero"/>
        <c:crossBetween val="between"/>
      </c:valAx>
      <c:valAx>
        <c:axId val="578989136"/>
        <c:scaling>
          <c:orientation val="minMax"/>
        </c:scaling>
        <c:delete val="1"/>
        <c:axPos val="r"/>
        <c:numFmt formatCode="0.0%" sourceLinked="1"/>
        <c:majorTickMark val="out"/>
        <c:minorTickMark val="none"/>
        <c:tickLblPos val="nextTo"/>
        <c:crossAx val="578969456"/>
        <c:crosses val="max"/>
        <c:crossBetween val="between"/>
      </c:valAx>
      <c:catAx>
        <c:axId val="578969456"/>
        <c:scaling>
          <c:orientation val="minMax"/>
        </c:scaling>
        <c:delete val="1"/>
        <c:axPos val="b"/>
        <c:numFmt formatCode="General" sourceLinked="1"/>
        <c:majorTickMark val="out"/>
        <c:minorTickMark val="none"/>
        <c:tickLblPos val="nextTo"/>
        <c:crossAx val="578989136"/>
        <c:crosses val="autoZero"/>
        <c:auto val="1"/>
        <c:lblAlgn val="ctr"/>
        <c:lblOffset val="100"/>
        <c:noMultiLvlLbl val="0"/>
      </c:catAx>
      <c:spPr>
        <a:ln>
          <a:noFill/>
        </a:ln>
      </c:spPr>
    </c:plotArea>
    <c:legend>
      <c:legendPos val="b"/>
      <c:legendEntry>
        <c:idx val="6"/>
        <c:delete val="1"/>
      </c:legendEntry>
      <c:layout>
        <c:manualLayout>
          <c:xMode val="edge"/>
          <c:yMode val="edge"/>
          <c:x val="6.2692779314597422E-2"/>
          <c:y val="0.88043232708364227"/>
          <c:w val="0.93730722068540262"/>
          <c:h val="0.11956767291635778"/>
        </c:manualLayout>
      </c:layout>
      <c:overlay val="1"/>
      <c:spPr>
        <a:noFill/>
        <a:ln>
          <a:noFill/>
        </a:ln>
        <a:effectLst/>
      </c:spPr>
      <c:txPr>
        <a:bodyPr rot="0" vert="horz"/>
        <a:lstStyle/>
        <a:p>
          <a:pPr>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974864941939796"/>
          <c:y val="0.13273968064320055"/>
          <c:w val="0.88763410070609605"/>
          <c:h val="0.60067152573995242"/>
        </c:manualLayout>
      </c:layout>
      <c:barChart>
        <c:barDir val="col"/>
        <c:grouping val="stacked"/>
        <c:varyColors val="0"/>
        <c:ser>
          <c:idx val="1"/>
          <c:order val="0"/>
          <c:tx>
            <c:strRef>
              <c:f>'Figure 4a'!$C$5</c:f>
              <c:strCache>
                <c:ptCount val="1"/>
                <c:pt idx="0">
                  <c:v>Non-wage labor costs</c:v>
                </c:pt>
              </c:strCache>
            </c:strRef>
          </c:tx>
          <c:spPr>
            <a:solidFill>
              <a:schemeClr val="accent1"/>
            </a:solidFill>
            <a:ln>
              <a:noFill/>
            </a:ln>
            <a:effectLst/>
          </c:spPr>
          <c:invertIfNegative val="0"/>
          <c:cat>
            <c:multiLvlStrRef>
              <c:f>'Figure 4a'!$A$6:$B$41</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1">
                    <c:v>HND</c:v>
                  </c:pt>
                  <c:pt idx="2">
                    <c:v>CRI</c:v>
                  </c:pt>
                  <c:pt idx="3">
                    <c:v>CRI</c:v>
                  </c:pt>
                  <c:pt idx="4">
                    <c:v>ECU</c:v>
                  </c:pt>
                  <c:pt idx="5">
                    <c:v>ECU</c:v>
                  </c:pt>
                  <c:pt idx="6">
                    <c:v>PAN</c:v>
                  </c:pt>
                  <c:pt idx="7">
                    <c:v>PAN</c:v>
                  </c:pt>
                  <c:pt idx="8">
                    <c:v>GTM</c:v>
                  </c:pt>
                  <c:pt idx="9">
                    <c:v>GTM</c:v>
                  </c:pt>
                  <c:pt idx="10">
                    <c:v>ARG</c:v>
                  </c:pt>
                  <c:pt idx="11">
                    <c:v>ARG</c:v>
                  </c:pt>
                  <c:pt idx="12">
                    <c:v>DOM</c:v>
                  </c:pt>
                  <c:pt idx="13">
                    <c:v>DOM</c:v>
                  </c:pt>
                  <c:pt idx="14">
                    <c:v>URY</c:v>
                  </c:pt>
                  <c:pt idx="15">
                    <c:v>URY</c:v>
                  </c:pt>
                  <c:pt idx="16">
                    <c:v>COL</c:v>
                  </c:pt>
                  <c:pt idx="17">
                    <c:v>COL</c:v>
                  </c:pt>
                  <c:pt idx="18">
                    <c:v>PER</c:v>
                  </c:pt>
                  <c:pt idx="19">
                    <c:v>PER</c:v>
                  </c:pt>
                  <c:pt idx="20">
                    <c:v>JAM</c:v>
                  </c:pt>
                  <c:pt idx="21">
                    <c:v>JAM</c:v>
                  </c:pt>
                  <c:pt idx="22">
                    <c:v>PRY</c:v>
                  </c:pt>
                  <c:pt idx="23">
                    <c:v>PRY</c:v>
                  </c:pt>
                  <c:pt idx="24">
                    <c:v>BRA</c:v>
                  </c:pt>
                  <c:pt idx="25">
                    <c:v>BRA</c:v>
                  </c:pt>
                  <c:pt idx="26">
                    <c:v>BOL</c:v>
                  </c:pt>
                  <c:pt idx="27">
                    <c:v>BOL</c:v>
                  </c:pt>
                  <c:pt idx="28">
                    <c:v>SLV</c:v>
                  </c:pt>
                  <c:pt idx="29">
                    <c:v>SLV</c:v>
                  </c:pt>
                  <c:pt idx="30">
                    <c:v>MEX</c:v>
                  </c:pt>
                  <c:pt idx="31">
                    <c:v>MEX</c:v>
                  </c:pt>
                  <c:pt idx="32">
                    <c:v>CHL</c:v>
                  </c:pt>
                  <c:pt idx="33">
                    <c:v>CHL</c:v>
                  </c:pt>
                  <c:pt idx="34">
                    <c:v>TTO</c:v>
                  </c:pt>
                  <c:pt idx="35">
                    <c:v>TTO</c:v>
                  </c:pt>
                </c:lvl>
              </c:multiLvlStrCache>
            </c:multiLvlStrRef>
          </c:cat>
          <c:val>
            <c:numRef>
              <c:f>'Figure 4a'!$C$6:$C$41</c:f>
              <c:numCache>
                <c:formatCode>General</c:formatCode>
                <c:ptCount val="36"/>
                <c:pt idx="0">
                  <c:v>0.39735259557314256</c:v>
                </c:pt>
                <c:pt idx="1">
                  <c:v>0.98930368296870408</c:v>
                </c:pt>
                <c:pt idx="2">
                  <c:v>0.58081506849315079</c:v>
                </c:pt>
                <c:pt idx="3">
                  <c:v>0.97176512311185148</c:v>
                </c:pt>
                <c:pt idx="4">
                  <c:v>0.6291833246570161</c:v>
                </c:pt>
                <c:pt idx="5">
                  <c:v>0.90522284976098333</c:v>
                </c:pt>
                <c:pt idx="6">
                  <c:v>0.50803458162556525</c:v>
                </c:pt>
                <c:pt idx="7">
                  <c:v>0.78446424902689493</c:v>
                </c:pt>
                <c:pt idx="8">
                  <c:v>0.46267123287671236</c:v>
                </c:pt>
                <c:pt idx="9">
                  <c:v>0.70899475736136042</c:v>
                </c:pt>
                <c:pt idx="10">
                  <c:v>0.71719178082191781</c:v>
                </c:pt>
                <c:pt idx="11">
                  <c:v>0.71386841085815833</c:v>
                </c:pt>
                <c:pt idx="12">
                  <c:v>0.45444640944702719</c:v>
                </c:pt>
                <c:pt idx="13">
                  <c:v>0.6295342068542179</c:v>
                </c:pt>
                <c:pt idx="14">
                  <c:v>0.62930821917808222</c:v>
                </c:pt>
                <c:pt idx="15">
                  <c:v>0.73872572849118523</c:v>
                </c:pt>
                <c:pt idx="16">
                  <c:v>0.53158465239675667</c:v>
                </c:pt>
                <c:pt idx="17">
                  <c:v>0.61915696217987637</c:v>
                </c:pt>
                <c:pt idx="18">
                  <c:v>0.71514949149722251</c:v>
                </c:pt>
                <c:pt idx="19">
                  <c:v>0.65853972362930402</c:v>
                </c:pt>
                <c:pt idx="20">
                  <c:v>0.27824229452054788</c:v>
                </c:pt>
                <c:pt idx="21">
                  <c:v>0.33416392149919477</c:v>
                </c:pt>
                <c:pt idx="22">
                  <c:v>0.43062823406052786</c:v>
                </c:pt>
                <c:pt idx="23">
                  <c:v>0.53956927881587935</c:v>
                </c:pt>
                <c:pt idx="24">
                  <c:v>0.70304109589041108</c:v>
                </c:pt>
                <c:pt idx="25">
                  <c:v>0.68146809709878053</c:v>
                </c:pt>
                <c:pt idx="26">
                  <c:v>0.59488493150684929</c:v>
                </c:pt>
                <c:pt idx="27">
                  <c:v>0.5184285553320449</c:v>
                </c:pt>
                <c:pt idx="28">
                  <c:v>0.43404109589041096</c:v>
                </c:pt>
                <c:pt idx="29">
                  <c:v>0.4516132414687426</c:v>
                </c:pt>
                <c:pt idx="30">
                  <c:v>0.41222292751896</c:v>
                </c:pt>
                <c:pt idx="31">
                  <c:v>0.42369129998296806</c:v>
                </c:pt>
                <c:pt idx="32">
                  <c:v>0.37662602739726025</c:v>
                </c:pt>
                <c:pt idx="33">
                  <c:v>0.3309119510928259</c:v>
                </c:pt>
                <c:pt idx="34">
                  <c:v>0.21853540920790576</c:v>
                </c:pt>
                <c:pt idx="35">
                  <c:v>0.21110164129662778</c:v>
                </c:pt>
              </c:numCache>
            </c:numRef>
          </c:val>
          <c:extLst>
            <c:ext xmlns:c16="http://schemas.microsoft.com/office/drawing/2014/chart" uri="{C3380CC4-5D6E-409C-BE32-E72D297353CC}">
              <c16:uniqueId val="{00000001-2B84-4F71-8922-7995652E10F9}"/>
            </c:ext>
          </c:extLst>
        </c:ser>
        <c:ser>
          <c:idx val="2"/>
          <c:order val="1"/>
          <c:tx>
            <c:strRef>
              <c:f>'Figure 4a'!$E$5</c:f>
              <c:strCache>
                <c:ptCount val="1"/>
                <c:pt idx="0">
                  <c:v>Wage Costs</c:v>
                </c:pt>
              </c:strCache>
            </c:strRef>
          </c:tx>
          <c:spPr>
            <a:solidFill>
              <a:schemeClr val="accent2"/>
            </a:solidFill>
            <a:ln>
              <a:noFill/>
            </a:ln>
            <a:effectLst/>
          </c:spPr>
          <c:invertIfNegative val="0"/>
          <c:cat>
            <c:multiLvlStrRef>
              <c:f>'Figure 4a'!$A$6:$B$41</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1">
                    <c:v>HND</c:v>
                  </c:pt>
                  <c:pt idx="2">
                    <c:v>CRI</c:v>
                  </c:pt>
                  <c:pt idx="3">
                    <c:v>CRI</c:v>
                  </c:pt>
                  <c:pt idx="4">
                    <c:v>ECU</c:v>
                  </c:pt>
                  <c:pt idx="5">
                    <c:v>ECU</c:v>
                  </c:pt>
                  <c:pt idx="6">
                    <c:v>PAN</c:v>
                  </c:pt>
                  <c:pt idx="7">
                    <c:v>PAN</c:v>
                  </c:pt>
                  <c:pt idx="8">
                    <c:v>GTM</c:v>
                  </c:pt>
                  <c:pt idx="9">
                    <c:v>GTM</c:v>
                  </c:pt>
                  <c:pt idx="10">
                    <c:v>ARG</c:v>
                  </c:pt>
                  <c:pt idx="11">
                    <c:v>ARG</c:v>
                  </c:pt>
                  <c:pt idx="12">
                    <c:v>DOM</c:v>
                  </c:pt>
                  <c:pt idx="13">
                    <c:v>DOM</c:v>
                  </c:pt>
                  <c:pt idx="14">
                    <c:v>URY</c:v>
                  </c:pt>
                  <c:pt idx="15">
                    <c:v>URY</c:v>
                  </c:pt>
                  <c:pt idx="16">
                    <c:v>COL</c:v>
                  </c:pt>
                  <c:pt idx="17">
                    <c:v>COL</c:v>
                  </c:pt>
                  <c:pt idx="18">
                    <c:v>PER</c:v>
                  </c:pt>
                  <c:pt idx="19">
                    <c:v>PER</c:v>
                  </c:pt>
                  <c:pt idx="20">
                    <c:v>JAM</c:v>
                  </c:pt>
                  <c:pt idx="21">
                    <c:v>JAM</c:v>
                  </c:pt>
                  <c:pt idx="22">
                    <c:v>PRY</c:v>
                  </c:pt>
                  <c:pt idx="23">
                    <c:v>PRY</c:v>
                  </c:pt>
                  <c:pt idx="24">
                    <c:v>BRA</c:v>
                  </c:pt>
                  <c:pt idx="25">
                    <c:v>BRA</c:v>
                  </c:pt>
                  <c:pt idx="26">
                    <c:v>BOL</c:v>
                  </c:pt>
                  <c:pt idx="27">
                    <c:v>BOL</c:v>
                  </c:pt>
                  <c:pt idx="28">
                    <c:v>SLV</c:v>
                  </c:pt>
                  <c:pt idx="29">
                    <c:v>SLV</c:v>
                  </c:pt>
                  <c:pt idx="30">
                    <c:v>MEX</c:v>
                  </c:pt>
                  <c:pt idx="31">
                    <c:v>MEX</c:v>
                  </c:pt>
                  <c:pt idx="32">
                    <c:v>CHL</c:v>
                  </c:pt>
                  <c:pt idx="33">
                    <c:v>CHL</c:v>
                  </c:pt>
                  <c:pt idx="34">
                    <c:v>TTO</c:v>
                  </c:pt>
                  <c:pt idx="35">
                    <c:v>TTO</c:v>
                  </c:pt>
                </c:lvl>
              </c:multiLvlStrCache>
            </c:multiLvlStrRef>
          </c:cat>
          <c:val>
            <c:numRef>
              <c:f>'Figure 4a'!$E$6:$E$41</c:f>
              <c:numCache>
                <c:formatCode>0%</c:formatCode>
                <c:ptCount val="36"/>
                <c:pt idx="0">
                  <c:v>0.6296629462894483</c:v>
                </c:pt>
                <c:pt idx="1">
                  <c:v>1.4064786986128714</c:v>
                </c:pt>
                <c:pt idx="2">
                  <c:v>0.73992424694722003</c:v>
                </c:pt>
                <c:pt idx="3">
                  <c:v>0.59223345425995655</c:v>
                </c:pt>
                <c:pt idx="4">
                  <c:v>0.1348181798834458</c:v>
                </c:pt>
                <c:pt idx="5">
                  <c:v>0.50265602903098516</c:v>
                </c:pt>
                <c:pt idx="6">
                  <c:v>0.23076720799578365</c:v>
                </c:pt>
                <c:pt idx="7">
                  <c:v>0.51074202009023351</c:v>
                </c:pt>
                <c:pt idx="8">
                  <c:v>0.41242956416668375</c:v>
                </c:pt>
                <c:pt idx="9">
                  <c:v>0.53281188373252308</c:v>
                </c:pt>
                <c:pt idx="10">
                  <c:v>9.9487156374702845E-2</c:v>
                </c:pt>
                <c:pt idx="11">
                  <c:v>3.5213388401305057E-2</c:v>
                </c:pt>
                <c:pt idx="12">
                  <c:v>0.10454341361742503</c:v>
                </c:pt>
                <c:pt idx="13">
                  <c:v>0.38527689612645433</c:v>
                </c:pt>
                <c:pt idx="14">
                  <c:v>4.3484238789742502E-2</c:v>
                </c:pt>
                <c:pt idx="15">
                  <c:v>0.15929801929787102</c:v>
                </c:pt>
                <c:pt idx="16">
                  <c:v>0.10707243020471435</c:v>
                </c:pt>
                <c:pt idx="17">
                  <c:v>0.15057574909672367</c:v>
                </c:pt>
                <c:pt idx="18">
                  <c:v>0</c:v>
                </c:pt>
                <c:pt idx="19">
                  <c:v>0</c:v>
                </c:pt>
                <c:pt idx="20">
                  <c:v>0.43735305585072437</c:v>
                </c:pt>
                <c:pt idx="21">
                  <c:v>0.16427556360831685</c:v>
                </c:pt>
                <c:pt idx="22">
                  <c:v>5.8843971527364314E-2</c:v>
                </c:pt>
                <c:pt idx="23">
                  <c:v>0.16763808007276504</c:v>
                </c:pt>
                <c:pt idx="24">
                  <c:v>0</c:v>
                </c:pt>
                <c:pt idx="25">
                  <c:v>0</c:v>
                </c:pt>
                <c:pt idx="26">
                  <c:v>0</c:v>
                </c:pt>
                <c:pt idx="27">
                  <c:v>0</c:v>
                </c:pt>
                <c:pt idx="28">
                  <c:v>0</c:v>
                </c:pt>
                <c:pt idx="29">
                  <c:v>0</c:v>
                </c:pt>
                <c:pt idx="30">
                  <c:v>0</c:v>
                </c:pt>
                <c:pt idx="31">
                  <c:v>0</c:v>
                </c:pt>
                <c:pt idx="32">
                  <c:v>0</c:v>
                </c:pt>
                <c:pt idx="33">
                  <c:v>0</c:v>
                </c:pt>
                <c:pt idx="34">
                  <c:v>5.466678381562784E-2</c:v>
                </c:pt>
                <c:pt idx="35">
                  <c:v>0</c:v>
                </c:pt>
              </c:numCache>
            </c:numRef>
          </c:val>
          <c:extLst>
            <c:ext xmlns:c16="http://schemas.microsoft.com/office/drawing/2014/chart" uri="{C3380CC4-5D6E-409C-BE32-E72D297353CC}">
              <c16:uniqueId val="{00000002-2B84-4F71-8922-7995652E10F9}"/>
            </c:ext>
          </c:extLst>
        </c:ser>
        <c:dLbls>
          <c:showLegendKey val="0"/>
          <c:showVal val="0"/>
          <c:showCatName val="0"/>
          <c:showSerName val="0"/>
          <c:showPercent val="0"/>
          <c:showBubbleSize val="0"/>
        </c:dLbls>
        <c:gapWidth val="150"/>
        <c:overlap val="100"/>
        <c:axId val="828846335"/>
        <c:axId val="828837695"/>
      </c:barChart>
      <c:catAx>
        <c:axId val="828846335"/>
        <c:scaling>
          <c:orientation val="minMax"/>
        </c:scaling>
        <c:delete val="0"/>
        <c:axPos val="b"/>
        <c:numFmt formatCode="General" sourceLinked="1"/>
        <c:majorTickMark val="out"/>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828837695"/>
        <c:crosses val="autoZero"/>
        <c:auto val="1"/>
        <c:lblAlgn val="ctr"/>
        <c:lblOffset val="100"/>
        <c:noMultiLvlLbl val="0"/>
      </c:catAx>
      <c:valAx>
        <c:axId val="828837695"/>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lgn="ctr" rtl="0">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a:t>Axi</a:t>
                </a:r>
                <a:r>
                  <a:rPr lang="es-DO"/>
                  <a:t>Minimum cost of formalization as percentage of the average informal wage</a:t>
                </a:r>
              </a:p>
            </c:rich>
          </c:tx>
          <c:overlay val="0"/>
          <c:spPr>
            <a:noFill/>
            <a:ln>
              <a:noFill/>
            </a:ln>
            <a:effectLst/>
          </c:spPr>
          <c:txPr>
            <a:bodyPr rot="-5400000" spcFirstLastPara="1" vertOverflow="ellipsis" vert="horz" wrap="square" anchor="ctr" anchorCtr="1"/>
            <a:lstStyle/>
            <a:p>
              <a:pPr algn="ctr" rtl="0">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828846335"/>
        <c:crosses val="autoZero"/>
        <c:crossBetween val="between"/>
      </c:valAx>
      <c:spPr>
        <a:noFill/>
        <a:ln>
          <a:noFill/>
        </a:ln>
        <a:effectLst/>
      </c:spPr>
    </c:plotArea>
    <c:legend>
      <c:legendPos val="b"/>
      <c:layout>
        <c:manualLayout>
          <c:xMode val="edge"/>
          <c:yMode val="edge"/>
          <c:x val="0.24445537894141878"/>
          <c:y val="0.93047176781153607"/>
          <c:w val="0.34529567808314676"/>
          <c:h val="5.1362135417523415E-2"/>
        </c:manualLayout>
      </c:layout>
      <c:overlay val="0"/>
      <c:spPr>
        <a:noFill/>
        <a:ln>
          <a:noFill/>
        </a:ln>
        <a:effectLst/>
      </c:spPr>
      <c:txPr>
        <a:bodyPr rot="0" spcFirstLastPara="1" vertOverflow="ellipsis" vert="horz" wrap="square" anchor="ctr" anchorCtr="1"/>
        <a:lstStyle/>
        <a:p>
          <a:pPr>
            <a:defRPr sz="12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120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Relationship</a:t>
            </a:r>
            <a:r>
              <a:rPr lang="en-US" baseline="0"/>
              <a:t> between MCSL and </a:t>
            </a:r>
            <a:r>
              <a:rPr lang="en-US" sz="1400" b="0" i="0" u="none" strike="noStrike" baseline="0">
                <a:effectLst/>
              </a:rPr>
              <a:t>CFIL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Pt>
            <c:idx val="1"/>
            <c:marker>
              <c:symbol val="circle"/>
              <c:size val="5"/>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1-710B-4D7F-A509-97822070231E}"/>
              </c:ext>
            </c:extLst>
          </c:dPt>
          <c:dPt>
            <c:idx val="4"/>
            <c:marker>
              <c:symbol val="circle"/>
              <c:size val="5"/>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3-710B-4D7F-A509-97822070231E}"/>
              </c:ext>
            </c:extLst>
          </c:dPt>
          <c:dPt>
            <c:idx val="6"/>
            <c:marker>
              <c:symbol val="circle"/>
              <c:size val="5"/>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5-710B-4D7F-A509-97822070231E}"/>
              </c:ext>
            </c:extLst>
          </c:dPt>
          <c:dPt>
            <c:idx val="18"/>
            <c:marker>
              <c:symbol val="circle"/>
              <c:size val="5"/>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7-710B-4D7F-A509-97822070231E}"/>
              </c:ext>
            </c:extLst>
          </c:dPt>
          <c:dLbls>
            <c:dLbl>
              <c:idx val="0"/>
              <c:tx>
                <c:rich>
                  <a:bodyPr/>
                  <a:lstStyle/>
                  <a:p>
                    <a:fld id="{E8F35A1F-DE1B-4143-85A5-F7BB45619EF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710B-4D7F-A509-97822070231E}"/>
                </c:ext>
              </c:extLst>
            </c:dLbl>
            <c:dLbl>
              <c:idx val="1"/>
              <c:tx>
                <c:rich>
                  <a:bodyPr/>
                  <a:lstStyle/>
                  <a:p>
                    <a:fld id="{894C062A-5EBB-455C-AF19-3EBAB819F70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710B-4D7F-A509-97822070231E}"/>
                </c:ext>
              </c:extLst>
            </c:dLbl>
            <c:dLbl>
              <c:idx val="2"/>
              <c:tx>
                <c:rich>
                  <a:bodyPr/>
                  <a:lstStyle/>
                  <a:p>
                    <a:fld id="{67C5B7A9-D55C-4B44-A6C0-30DAAD25A94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710B-4D7F-A509-97822070231E}"/>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A-710B-4D7F-A509-97822070231E}"/>
                </c:ext>
              </c:extLst>
            </c:dLbl>
            <c:dLbl>
              <c:idx val="4"/>
              <c:tx>
                <c:rich>
                  <a:bodyPr/>
                  <a:lstStyle/>
                  <a:p>
                    <a:fld id="{E471CB62-ECC0-472D-8E30-DA733731D8D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710B-4D7F-A509-97822070231E}"/>
                </c:ext>
              </c:extLst>
            </c:dLbl>
            <c:dLbl>
              <c:idx val="5"/>
              <c:tx>
                <c:rich>
                  <a:bodyPr/>
                  <a:lstStyle/>
                  <a:p>
                    <a:fld id="{2C605F0A-58EA-4FEA-B19F-46A25EB0F83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710B-4D7F-A509-97822070231E}"/>
                </c:ext>
              </c:extLst>
            </c:dLbl>
            <c:dLbl>
              <c:idx val="6"/>
              <c:tx>
                <c:rich>
                  <a:bodyPr/>
                  <a:lstStyle/>
                  <a:p>
                    <a:fld id="{8941479E-5F0A-4E05-8981-3C7BA3E2328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710B-4D7F-A509-97822070231E}"/>
                </c:ext>
              </c:extLst>
            </c:dLbl>
            <c:dLbl>
              <c:idx val="7"/>
              <c:tx>
                <c:rich>
                  <a:bodyPr/>
                  <a:lstStyle/>
                  <a:p>
                    <a:fld id="{FF9B661B-F5ED-4FE1-BFDF-2DB6995E913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710B-4D7F-A509-97822070231E}"/>
                </c:ext>
              </c:extLst>
            </c:dLbl>
            <c:dLbl>
              <c:idx val="8"/>
              <c:tx>
                <c:rich>
                  <a:bodyPr/>
                  <a:lstStyle/>
                  <a:p>
                    <a:fld id="{EE6B43B7-971A-46DB-9AA1-8744932D312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710B-4D7F-A509-97822070231E}"/>
                </c:ext>
              </c:extLst>
            </c:dLbl>
            <c:dLbl>
              <c:idx val="9"/>
              <c:tx>
                <c:rich>
                  <a:bodyPr/>
                  <a:lstStyle/>
                  <a:p>
                    <a:fld id="{8E2DAE04-DEA2-478E-8495-ECB3CE5AD73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E-710B-4D7F-A509-97822070231E}"/>
                </c:ext>
              </c:extLst>
            </c:dLbl>
            <c:dLbl>
              <c:idx val="10"/>
              <c:tx>
                <c:rich>
                  <a:bodyPr/>
                  <a:lstStyle/>
                  <a:p>
                    <a:fld id="{AD6B70C0-099F-447C-A0CB-57C7E3ADDEF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710B-4D7F-A509-97822070231E}"/>
                </c:ext>
              </c:extLst>
            </c:dLbl>
            <c:dLbl>
              <c:idx val="11"/>
              <c:tx>
                <c:rich>
                  <a:bodyPr/>
                  <a:lstStyle/>
                  <a:p>
                    <a:fld id="{F58514EC-B278-4BC8-9CE0-E5CA1352CEE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710B-4D7F-A509-97822070231E}"/>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11-710B-4D7F-A509-97822070231E}"/>
                </c:ext>
              </c:extLst>
            </c:dLbl>
            <c:dLbl>
              <c:idx val="13"/>
              <c:tx>
                <c:rich>
                  <a:bodyPr/>
                  <a:lstStyle/>
                  <a:p>
                    <a:fld id="{3473E378-6E66-4D25-8F67-5F0772B432A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710B-4D7F-A509-97822070231E}"/>
                </c:ext>
              </c:extLst>
            </c:dLbl>
            <c:dLbl>
              <c:idx val="14"/>
              <c:tx>
                <c:rich>
                  <a:bodyPr/>
                  <a:lstStyle/>
                  <a:p>
                    <a:fld id="{AEEDE604-19FA-4998-A59B-B5B4D4B32F2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710B-4D7F-A509-97822070231E}"/>
                </c:ext>
              </c:extLst>
            </c:dLbl>
            <c:dLbl>
              <c:idx val="15"/>
              <c:tx>
                <c:rich>
                  <a:bodyPr/>
                  <a:lstStyle/>
                  <a:p>
                    <a:fld id="{99D2AB46-4459-4C86-AC90-F248B17975F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710B-4D7F-A509-97822070231E}"/>
                </c:ext>
              </c:extLst>
            </c:dLbl>
            <c:dLbl>
              <c:idx val="16"/>
              <c:tx>
                <c:rich>
                  <a:bodyPr/>
                  <a:lstStyle/>
                  <a:p>
                    <a:fld id="{18409817-6104-4251-A343-69696145AD7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710B-4D7F-A509-97822070231E}"/>
                </c:ext>
              </c:extLst>
            </c:dLbl>
            <c:dLbl>
              <c:idx val="17"/>
              <c:tx>
                <c:rich>
                  <a:bodyPr/>
                  <a:lstStyle/>
                  <a:p>
                    <a:fld id="{DFE27A0B-0E74-42F3-875C-359C110A999F}"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6-710B-4D7F-A509-97822070231E}"/>
                </c:ext>
              </c:extLst>
            </c:dLbl>
            <c:dLbl>
              <c:idx val="18"/>
              <c:tx>
                <c:rich>
                  <a:bodyPr/>
                  <a:lstStyle/>
                  <a:p>
                    <a:fld id="{92E897B5-AAD7-4030-8B11-8CCF3F77AAD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710B-4D7F-A509-97822070231E}"/>
                </c:ext>
              </c:extLst>
            </c:dLbl>
            <c:dLbl>
              <c:idx val="19"/>
              <c:tx>
                <c:rich>
                  <a:bodyPr/>
                  <a:lstStyle/>
                  <a:p>
                    <a:fld id="{5B9EEC39-5726-4015-BFD8-48D141D192A3}"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7-710B-4D7F-A509-97822070231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 ab_4c'!$E$4:$E$23</c:f>
              <c:numCache>
                <c:formatCode>0%</c:formatCode>
                <c:ptCount val="20"/>
                <c:pt idx="0">
                  <c:v>0.68146809709878053</c:v>
                </c:pt>
                <c:pt idx="1">
                  <c:v>0.5184285553320449</c:v>
                </c:pt>
                <c:pt idx="2">
                  <c:v>1.2418066410938835</c:v>
                </c:pt>
                <c:pt idx="4">
                  <c:v>2.3957823815815757</c:v>
                </c:pt>
                <c:pt idx="5">
                  <c:v>0.70720735888864439</c:v>
                </c:pt>
                <c:pt idx="6">
                  <c:v>1.2952062691171284</c:v>
                </c:pt>
                <c:pt idx="7">
                  <c:v>1.4078788787919685</c:v>
                </c:pt>
                <c:pt idx="8">
                  <c:v>1.0148111029806723</c:v>
                </c:pt>
                <c:pt idx="9">
                  <c:v>0.89802374778905625</c:v>
                </c:pt>
                <c:pt idx="10">
                  <c:v>0.3309119510928259</c:v>
                </c:pt>
                <c:pt idx="11">
                  <c:v>0.76973271127660003</c:v>
                </c:pt>
                <c:pt idx="13">
                  <c:v>0.49843948510751163</c:v>
                </c:pt>
                <c:pt idx="14">
                  <c:v>0.21110164129662778</c:v>
                </c:pt>
                <c:pt idx="15">
                  <c:v>0.74908179925946339</c:v>
                </c:pt>
                <c:pt idx="16">
                  <c:v>0.65853972362930402</c:v>
                </c:pt>
                <c:pt idx="17">
                  <c:v>0.42369129998296806</c:v>
                </c:pt>
                <c:pt idx="18">
                  <c:v>1.5639985773718079</c:v>
                </c:pt>
                <c:pt idx="19">
                  <c:v>0.4516132414687426</c:v>
                </c:pt>
              </c:numCache>
            </c:numRef>
          </c:xVal>
          <c:yVal>
            <c:numRef>
              <c:f>'Figure ab_4c'!$D$4:$D$23</c:f>
              <c:numCache>
                <c:formatCode>0%</c:formatCode>
                <c:ptCount val="20"/>
                <c:pt idx="0">
                  <c:v>0.26374337988956575</c:v>
                </c:pt>
                <c:pt idx="1">
                  <c:v>0.97138279838366004</c:v>
                </c:pt>
                <c:pt idx="2">
                  <c:v>0.52387115856334632</c:v>
                </c:pt>
                <c:pt idx="3">
                  <c:v>0</c:v>
                </c:pt>
                <c:pt idx="4">
                  <c:v>1.0603112030263302</c:v>
                </c:pt>
                <c:pt idx="5">
                  <c:v>0.51603914050998012</c:v>
                </c:pt>
                <c:pt idx="6">
                  <c:v>0.28825732730520182</c:v>
                </c:pt>
                <c:pt idx="7">
                  <c:v>0.62110838302713489</c:v>
                </c:pt>
                <c:pt idx="8">
                  <c:v>0.25688053342385653</c:v>
                </c:pt>
                <c:pt idx="9">
                  <c:v>0.24118649639170847</c:v>
                </c:pt>
                <c:pt idx="10">
                  <c:v>0.2697812424263315</c:v>
                </c:pt>
                <c:pt idx="11">
                  <c:v>0.35793782901856841</c:v>
                </c:pt>
                <c:pt idx="12">
                  <c:v>0.43140885333660756</c:v>
                </c:pt>
                <c:pt idx="13">
                  <c:v>0.4495179446464268</c:v>
                </c:pt>
                <c:pt idx="14">
                  <c:v>0.16581250939432327</c:v>
                </c:pt>
                <c:pt idx="15">
                  <c:v>0.30001822854052601</c:v>
                </c:pt>
                <c:pt idx="16">
                  <c:v>0.39668520292747417</c:v>
                </c:pt>
                <c:pt idx="17">
                  <c:v>0.21360716658986392</c:v>
                </c:pt>
                <c:pt idx="18">
                  <c:v>0.38107704448584745</c:v>
                </c:pt>
                <c:pt idx="19">
                  <c:v>0.47776624629039077</c:v>
                </c:pt>
              </c:numCache>
            </c:numRef>
          </c:yVal>
          <c:smooth val="0"/>
          <c:extLst>
            <c:ext xmlns:c15="http://schemas.microsoft.com/office/drawing/2012/chart" uri="{02D57815-91ED-43cb-92C2-25804820EDAC}">
              <c15:filteredSeriesTitle>
                <c15:tx>
                  <c:strRef>
                    <c:extLst>
                      <c:ext uri="{02D57815-91ED-43cb-92C2-25804820EDAC}">
                        <c15:formulaRef>
                          <c15:sqref>'Figure ab_4c'!#REF!</c15:sqref>
                        </c15:formulaRef>
                      </c:ext>
                    </c:extLst>
                    <c:strCache>
                      <c:ptCount val="1"/>
                      <c:pt idx="0">
                        <c:v>#REF!</c:v>
                      </c:pt>
                    </c:strCache>
                  </c:strRef>
                </c15:tx>
              </c15:filteredSeriesTitle>
            </c:ext>
            <c:ext xmlns:c15="http://schemas.microsoft.com/office/drawing/2012/chart" uri="{02D57815-91ED-43cb-92C2-25804820EDAC}">
              <c15:datalabelsRange>
                <c15:f>'Figure ab_4c'!$A$4:$A$23</c15:f>
                <c15:dlblRangeCache>
                  <c:ptCount val="20"/>
                  <c:pt idx="0">
                    <c:v>BRA</c:v>
                  </c:pt>
                  <c:pt idx="1">
                    <c:v>BOL</c:v>
                  </c:pt>
                  <c:pt idx="2">
                    <c:v>GTM</c:v>
                  </c:pt>
                  <c:pt idx="3">
                    <c:v>VEN</c:v>
                  </c:pt>
                  <c:pt idx="4">
                    <c:v>HND</c:v>
                  </c:pt>
                  <c:pt idx="5">
                    <c:v>PRY</c:v>
                  </c:pt>
                  <c:pt idx="6">
                    <c:v>PAN</c:v>
                  </c:pt>
                  <c:pt idx="7">
                    <c:v>ECU</c:v>
                  </c:pt>
                  <c:pt idx="8">
                    <c:v>DOM</c:v>
                  </c:pt>
                  <c:pt idx="9">
                    <c:v>URY</c:v>
                  </c:pt>
                  <c:pt idx="10">
                    <c:v>CHL</c:v>
                  </c:pt>
                  <c:pt idx="11">
                    <c:v>COL</c:v>
                  </c:pt>
                  <c:pt idx="12">
                    <c:v>LAC</c:v>
                  </c:pt>
                  <c:pt idx="13">
                    <c:v>JAM</c:v>
                  </c:pt>
                  <c:pt idx="14">
                    <c:v>TTO</c:v>
                  </c:pt>
                  <c:pt idx="15">
                    <c:v>ARG</c:v>
                  </c:pt>
                  <c:pt idx="16">
                    <c:v>PER</c:v>
                  </c:pt>
                  <c:pt idx="17">
                    <c:v>MEX</c:v>
                  </c:pt>
                  <c:pt idx="18">
                    <c:v>CRI</c:v>
                  </c:pt>
                  <c:pt idx="19">
                    <c:v>SLV</c:v>
                  </c:pt>
                </c15:dlblRangeCache>
              </c15:datalabelsRange>
            </c:ext>
            <c:ext xmlns:c16="http://schemas.microsoft.com/office/drawing/2014/chart" uri="{C3380CC4-5D6E-409C-BE32-E72D297353CC}">
              <c16:uniqueId val="{00000019-710B-4D7F-A509-97822070231E}"/>
            </c:ext>
          </c:extLst>
        </c:ser>
        <c:dLbls>
          <c:showLegendKey val="0"/>
          <c:showVal val="0"/>
          <c:showCatName val="0"/>
          <c:showSerName val="0"/>
          <c:showPercent val="0"/>
          <c:showBubbleSize val="0"/>
        </c:dLbls>
        <c:axId val="1634012096"/>
        <c:axId val="1634028416"/>
      </c:scatterChart>
      <c:valAx>
        <c:axId val="16340120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of Formalizing Informal Labor</a:t>
                </a:r>
              </a:p>
            </c:rich>
          </c:tx>
          <c:layout>
            <c:manualLayout>
              <c:xMode val="edge"/>
              <c:yMode val="edge"/>
              <c:x val="0.31716574638386424"/>
              <c:y val="0.907536362666476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028416"/>
        <c:crosses val="autoZero"/>
        <c:crossBetween val="midCat"/>
      </c:valAx>
      <c:valAx>
        <c:axId val="1634028416"/>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Minimum Cost of Salaried Labor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01209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Relationship</a:t>
            </a:r>
            <a:r>
              <a:rPr lang="en-US" baseline="0"/>
              <a:t> between ACSL and </a:t>
            </a:r>
            <a:r>
              <a:rPr lang="en-US" sz="1400" b="0" i="0" u="none" strike="noStrike" baseline="0">
                <a:effectLst/>
              </a:rPr>
              <a:t>CFIL</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scatterChart>
        <c:scatterStyle val="lineMarker"/>
        <c:varyColors val="0"/>
        <c:ser>
          <c:idx val="0"/>
          <c:order val="0"/>
          <c:spPr>
            <a:ln w="25400" cap="rnd">
              <a:noFill/>
              <a:round/>
            </a:ln>
            <a:effectLst/>
          </c:spPr>
          <c:marker>
            <c:symbol val="circle"/>
            <c:size val="5"/>
            <c:spPr>
              <a:solidFill>
                <a:schemeClr val="accent1"/>
              </a:solidFill>
              <a:ln w="9525">
                <a:solidFill>
                  <a:schemeClr val="accent1"/>
                </a:solidFill>
              </a:ln>
              <a:effectLst/>
            </c:spPr>
          </c:marker>
          <c:dPt>
            <c:idx val="1"/>
            <c:marker>
              <c:symbol val="circle"/>
              <c:size val="5"/>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1-EF83-4474-A36B-59EA9CBD38B4}"/>
              </c:ext>
            </c:extLst>
          </c:dPt>
          <c:dPt>
            <c:idx val="4"/>
            <c:marker>
              <c:symbol val="circle"/>
              <c:size val="5"/>
              <c:spPr>
                <a:solidFill>
                  <a:schemeClr val="accent1"/>
                </a:solidFill>
                <a:ln w="9525">
                  <a:noFill/>
                </a:ln>
                <a:effectLst/>
              </c:spPr>
            </c:marker>
            <c:bubble3D val="0"/>
            <c:spPr>
              <a:ln w="25400" cap="rnd">
                <a:noFill/>
                <a:round/>
              </a:ln>
              <a:effectLst/>
            </c:spPr>
            <c:extLst>
              <c:ext xmlns:c16="http://schemas.microsoft.com/office/drawing/2014/chart" uri="{C3380CC4-5D6E-409C-BE32-E72D297353CC}">
                <c16:uniqueId val="{00000003-EF83-4474-A36B-59EA9CBD38B4}"/>
              </c:ext>
            </c:extLst>
          </c:dPt>
          <c:dLbls>
            <c:dLbl>
              <c:idx val="0"/>
              <c:tx>
                <c:rich>
                  <a:bodyPr/>
                  <a:lstStyle/>
                  <a:p>
                    <a:fld id="{40E0FC17-7B89-4238-984F-A622FFCD6C66}"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4-EF83-4474-A36B-59EA9CBD38B4}"/>
                </c:ext>
              </c:extLst>
            </c:dLbl>
            <c:dLbl>
              <c:idx val="1"/>
              <c:tx>
                <c:rich>
                  <a:bodyPr/>
                  <a:lstStyle/>
                  <a:p>
                    <a:fld id="{A0CF3803-2636-440E-A5C5-8AE7DA7F5C7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1-EF83-4474-A36B-59EA9CBD38B4}"/>
                </c:ext>
              </c:extLst>
            </c:dLbl>
            <c:dLbl>
              <c:idx val="2"/>
              <c:tx>
                <c:rich>
                  <a:bodyPr/>
                  <a:lstStyle/>
                  <a:p>
                    <a:fld id="{EFDCD8CD-709C-4334-BF00-64EAAA349C2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5-EF83-4474-A36B-59EA9CBD38B4}"/>
                </c:ext>
              </c:extLst>
            </c:dLbl>
            <c:dLbl>
              <c:idx val="3"/>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6-EF83-4474-A36B-59EA9CBD38B4}"/>
                </c:ext>
              </c:extLst>
            </c:dLbl>
            <c:dLbl>
              <c:idx val="4"/>
              <c:tx>
                <c:rich>
                  <a:bodyPr/>
                  <a:lstStyle/>
                  <a:p>
                    <a:fld id="{A1720880-629E-4181-9636-F3D70DD6D34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3-EF83-4474-A36B-59EA9CBD38B4}"/>
                </c:ext>
              </c:extLst>
            </c:dLbl>
            <c:dLbl>
              <c:idx val="5"/>
              <c:tx>
                <c:rich>
                  <a:bodyPr/>
                  <a:lstStyle/>
                  <a:p>
                    <a:fld id="{6DA9288A-D6CD-4178-B16B-956EA7A187E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7-EF83-4474-A36B-59EA9CBD38B4}"/>
                </c:ext>
              </c:extLst>
            </c:dLbl>
            <c:dLbl>
              <c:idx val="6"/>
              <c:tx>
                <c:rich>
                  <a:bodyPr/>
                  <a:lstStyle/>
                  <a:p>
                    <a:fld id="{E4CC572B-0E7B-4657-B905-01C9B08D135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8-EF83-4474-A36B-59EA9CBD38B4}"/>
                </c:ext>
              </c:extLst>
            </c:dLbl>
            <c:dLbl>
              <c:idx val="7"/>
              <c:tx>
                <c:rich>
                  <a:bodyPr/>
                  <a:lstStyle/>
                  <a:p>
                    <a:fld id="{AE0B57CA-A324-459B-B7A7-A5DD31B41F74}"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9-EF83-4474-A36B-59EA9CBD38B4}"/>
                </c:ext>
              </c:extLst>
            </c:dLbl>
            <c:dLbl>
              <c:idx val="8"/>
              <c:tx>
                <c:rich>
                  <a:bodyPr/>
                  <a:lstStyle/>
                  <a:p>
                    <a:fld id="{8342540A-982B-4843-81AB-A47FA8A567D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A-EF83-4474-A36B-59EA9CBD38B4}"/>
                </c:ext>
              </c:extLst>
            </c:dLbl>
            <c:dLbl>
              <c:idx val="9"/>
              <c:tx>
                <c:rich>
                  <a:bodyPr/>
                  <a:lstStyle/>
                  <a:p>
                    <a:fld id="{F10F2E4A-733B-469D-8DA9-70C485AABCF0}"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B-EF83-4474-A36B-59EA9CBD38B4}"/>
                </c:ext>
              </c:extLst>
            </c:dLbl>
            <c:dLbl>
              <c:idx val="10"/>
              <c:tx>
                <c:rich>
                  <a:bodyPr/>
                  <a:lstStyle/>
                  <a:p>
                    <a:fld id="{3D6CF5A9-B0AB-4E9B-B151-0FE110E99B5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C-EF83-4474-A36B-59EA9CBD38B4}"/>
                </c:ext>
              </c:extLst>
            </c:dLbl>
            <c:dLbl>
              <c:idx val="11"/>
              <c:tx>
                <c:rich>
                  <a:bodyPr/>
                  <a:lstStyle/>
                  <a:p>
                    <a:fld id="{442FDE78-F7E0-4FD4-AC38-3E23C9037B3C}"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D-EF83-4474-A36B-59EA9CBD38B4}"/>
                </c:ext>
              </c:extLst>
            </c:dLbl>
            <c:dLbl>
              <c:idx val="12"/>
              <c:tx>
                <c:rich>
                  <a:bodyPr/>
                  <a:lstStyle/>
                  <a:p>
                    <a:endParaRPr lang="en-US"/>
                  </a:p>
                </c:rich>
              </c:tx>
              <c:showLegendKey val="0"/>
              <c:showVal val="0"/>
              <c:showCatName val="0"/>
              <c:showSerName val="0"/>
              <c:showPercent val="0"/>
              <c:showBubbleSize val="0"/>
              <c:extLst>
                <c:ext xmlns:c15="http://schemas.microsoft.com/office/drawing/2012/chart" uri="{CE6537A1-D6FC-4f65-9D91-7224C49458BB}">
                  <c15:xForSave val="1"/>
                  <c15:showDataLabelsRange val="1"/>
                </c:ext>
                <c:ext xmlns:c16="http://schemas.microsoft.com/office/drawing/2014/chart" uri="{C3380CC4-5D6E-409C-BE32-E72D297353CC}">
                  <c16:uniqueId val="{0000000E-EF83-4474-A36B-59EA9CBD38B4}"/>
                </c:ext>
              </c:extLst>
            </c:dLbl>
            <c:dLbl>
              <c:idx val="13"/>
              <c:tx>
                <c:rich>
                  <a:bodyPr/>
                  <a:lstStyle/>
                  <a:p>
                    <a:fld id="{65536081-C03D-4DC0-B5D0-A2BFAFD75688}"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0F-EF83-4474-A36B-59EA9CBD38B4}"/>
                </c:ext>
              </c:extLst>
            </c:dLbl>
            <c:dLbl>
              <c:idx val="14"/>
              <c:tx>
                <c:rich>
                  <a:bodyPr/>
                  <a:lstStyle/>
                  <a:p>
                    <a:fld id="{E718B3F4-DF25-4A1C-A25C-61E85B30971B}"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0-EF83-4474-A36B-59EA9CBD38B4}"/>
                </c:ext>
              </c:extLst>
            </c:dLbl>
            <c:dLbl>
              <c:idx val="15"/>
              <c:tx>
                <c:rich>
                  <a:bodyPr/>
                  <a:lstStyle/>
                  <a:p>
                    <a:fld id="{14E1468E-C241-4D8B-B5DA-EA793217AB52}"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1-EF83-4474-A36B-59EA9CBD38B4}"/>
                </c:ext>
              </c:extLst>
            </c:dLbl>
            <c:dLbl>
              <c:idx val="16"/>
              <c:tx>
                <c:rich>
                  <a:bodyPr/>
                  <a:lstStyle/>
                  <a:p>
                    <a:fld id="{3C2127C1-3CD4-4E4D-851C-66DBAF5949C1}"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2-EF83-4474-A36B-59EA9CBD38B4}"/>
                </c:ext>
              </c:extLst>
            </c:dLbl>
            <c:dLbl>
              <c:idx val="17"/>
              <c:tx>
                <c:rich>
                  <a:bodyPr/>
                  <a:lstStyle/>
                  <a:p>
                    <a:fld id="{3E828DA2-2F1A-430B-8517-A52E7F7543A5}"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3-EF83-4474-A36B-59EA9CBD38B4}"/>
                </c:ext>
              </c:extLst>
            </c:dLbl>
            <c:dLbl>
              <c:idx val="18"/>
              <c:tx>
                <c:rich>
                  <a:bodyPr/>
                  <a:lstStyle/>
                  <a:p>
                    <a:fld id="{B15A2A63-4D4D-4D05-A95F-2781C0A5DE67}"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4-EF83-4474-A36B-59EA9CBD38B4}"/>
                </c:ext>
              </c:extLst>
            </c:dLbl>
            <c:dLbl>
              <c:idx val="19"/>
              <c:tx>
                <c:rich>
                  <a:bodyPr/>
                  <a:lstStyle/>
                  <a:p>
                    <a:fld id="{204FC424-F869-4BFC-A44D-2A0234D8272D}" type="CELLRANGE">
                      <a:rPr lang="en-US"/>
                      <a:pPr/>
                      <a:t>[CELLRANGE]</a:t>
                    </a:fld>
                    <a:endParaRPr lang="en-US"/>
                  </a:p>
                </c:rich>
              </c:tx>
              <c:showLegendKey val="0"/>
              <c:showVal val="0"/>
              <c:showCatName val="0"/>
              <c:showSerName val="0"/>
              <c:showPercent val="0"/>
              <c:showBubbleSize val="0"/>
              <c:extLst>
                <c:ext xmlns:c15="http://schemas.microsoft.com/office/drawing/2012/chart" uri="{CE6537A1-D6FC-4f65-9D91-7224C49458BB}">
                  <c15:dlblFieldTable/>
                  <c15:xForSave val="1"/>
                  <c15:showDataLabelsRange val="1"/>
                </c:ext>
                <c:ext xmlns:c16="http://schemas.microsoft.com/office/drawing/2014/chart" uri="{C3380CC4-5D6E-409C-BE32-E72D297353CC}">
                  <c16:uniqueId val="{00000015-EF83-4474-A36B-59EA9CBD38B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showLegendKey val="0"/>
            <c:showVal val="0"/>
            <c:showCatName val="0"/>
            <c:showSerName val="0"/>
            <c:showPercent val="0"/>
            <c:showBubbleSize val="0"/>
            <c:showLeaderLines val="0"/>
            <c:extLst>
              <c:ext xmlns:c15="http://schemas.microsoft.com/office/drawing/2012/chart" uri="{CE6537A1-D6FC-4f65-9D91-7224C49458BB}">
                <c15:showDataLabelsRange val="1"/>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 ab_4c'!$E$4:$E$23</c:f>
              <c:numCache>
                <c:formatCode>0%</c:formatCode>
                <c:ptCount val="20"/>
                <c:pt idx="0">
                  <c:v>0.68146809709878053</c:v>
                </c:pt>
                <c:pt idx="1">
                  <c:v>0.5184285553320449</c:v>
                </c:pt>
                <c:pt idx="2">
                  <c:v>1.2418066410938835</c:v>
                </c:pt>
                <c:pt idx="4">
                  <c:v>2.3957823815815757</c:v>
                </c:pt>
                <c:pt idx="5">
                  <c:v>0.70720735888864439</c:v>
                </c:pt>
                <c:pt idx="6">
                  <c:v>1.2952062691171284</c:v>
                </c:pt>
                <c:pt idx="7">
                  <c:v>1.4078788787919685</c:v>
                </c:pt>
                <c:pt idx="8">
                  <c:v>1.0148111029806723</c:v>
                </c:pt>
                <c:pt idx="9">
                  <c:v>0.89802374778905625</c:v>
                </c:pt>
                <c:pt idx="10">
                  <c:v>0.3309119510928259</c:v>
                </c:pt>
                <c:pt idx="11">
                  <c:v>0.76973271127660003</c:v>
                </c:pt>
                <c:pt idx="13">
                  <c:v>0.49843948510751163</c:v>
                </c:pt>
                <c:pt idx="14">
                  <c:v>0.21110164129662778</c:v>
                </c:pt>
                <c:pt idx="15">
                  <c:v>0.74908179925946339</c:v>
                </c:pt>
                <c:pt idx="16">
                  <c:v>0.65853972362930402</c:v>
                </c:pt>
                <c:pt idx="17">
                  <c:v>0.42369129998296806</c:v>
                </c:pt>
                <c:pt idx="18">
                  <c:v>1.5639985773718079</c:v>
                </c:pt>
                <c:pt idx="19">
                  <c:v>0.4516132414687426</c:v>
                </c:pt>
              </c:numCache>
            </c:numRef>
          </c:xVal>
          <c:yVal>
            <c:numRef>
              <c:f>'Figure ab_4c'!$C$4:$C$23</c:f>
              <c:numCache>
                <c:formatCode>0.0%</c:formatCode>
                <c:ptCount val="20"/>
                <c:pt idx="0">
                  <c:v>0.71321831525906454</c:v>
                </c:pt>
                <c:pt idx="1">
                  <c:v>0.62473127396209882</c:v>
                </c:pt>
                <c:pt idx="2">
                  <c:v>0.46254518567203418</c:v>
                </c:pt>
                <c:pt idx="3">
                  <c:v>0.43384352064848286</c:v>
                </c:pt>
                <c:pt idx="4">
                  <c:v>0.48110012049512541</c:v>
                </c:pt>
                <c:pt idx="5">
                  <c:v>0.46210318764377262</c:v>
                </c:pt>
                <c:pt idx="6">
                  <c:v>0.51925758242961995</c:v>
                </c:pt>
                <c:pt idx="7">
                  <c:v>0.57130898549945486</c:v>
                </c:pt>
                <c:pt idx="8">
                  <c:v>0.45444647825610684</c:v>
                </c:pt>
                <c:pt idx="9">
                  <c:v>0.64284575964360935</c:v>
                </c:pt>
                <c:pt idx="10">
                  <c:v>0.37866480446927375</c:v>
                </c:pt>
                <c:pt idx="11">
                  <c:v>0.53812794391499619</c:v>
                </c:pt>
                <c:pt idx="12">
                  <c:v>0.51355137647258253</c:v>
                </c:pt>
                <c:pt idx="13">
                  <c:v>0.28701445941505094</c:v>
                </c:pt>
                <c:pt idx="14">
                  <c:v>0.21141724175703799</c:v>
                </c:pt>
                <c:pt idx="15">
                  <c:v>0.68958575966699531</c:v>
                </c:pt>
                <c:pt idx="16">
                  <c:v>0.71736145251396655</c:v>
                </c:pt>
                <c:pt idx="17">
                  <c:v>0.44049427311054778</c:v>
                </c:pt>
                <c:pt idx="18">
                  <c:v>0.61031573009091922</c:v>
                </c:pt>
                <c:pt idx="19">
                  <c:v>0.46121973929236493</c:v>
                </c:pt>
              </c:numCache>
            </c:numRef>
          </c:yVal>
          <c:smooth val="0"/>
          <c:extLst>
            <c:ext xmlns:c15="http://schemas.microsoft.com/office/drawing/2012/chart" uri="{02D57815-91ED-43cb-92C2-25804820EDAC}">
              <c15:filteredSeriesTitle>
                <c15:tx>
                  <c:strRef>
                    <c:extLst>
                      <c:ext uri="{02D57815-91ED-43cb-92C2-25804820EDAC}">
                        <c15:formulaRef>
                          <c15:sqref>'Figure ab_4c'!#REF!</c15:sqref>
                        </c15:formulaRef>
                      </c:ext>
                    </c:extLst>
                    <c:strCache>
                      <c:ptCount val="1"/>
                      <c:pt idx="0">
                        <c:v>#REF!</c:v>
                      </c:pt>
                    </c:strCache>
                  </c:strRef>
                </c15:tx>
              </c15:filteredSeriesTitle>
            </c:ext>
            <c:ext xmlns:c15="http://schemas.microsoft.com/office/drawing/2012/chart" uri="{02D57815-91ED-43cb-92C2-25804820EDAC}">
              <c15:datalabelsRange>
                <c15:f>'Figure ab_4c'!$A$4:$A$23</c15:f>
                <c15:dlblRangeCache>
                  <c:ptCount val="20"/>
                  <c:pt idx="0">
                    <c:v>BRA</c:v>
                  </c:pt>
                  <c:pt idx="1">
                    <c:v>BOL</c:v>
                  </c:pt>
                  <c:pt idx="2">
                    <c:v>GTM</c:v>
                  </c:pt>
                  <c:pt idx="3">
                    <c:v>VEN</c:v>
                  </c:pt>
                  <c:pt idx="4">
                    <c:v>HND</c:v>
                  </c:pt>
                  <c:pt idx="5">
                    <c:v>PRY</c:v>
                  </c:pt>
                  <c:pt idx="6">
                    <c:v>PAN</c:v>
                  </c:pt>
                  <c:pt idx="7">
                    <c:v>ECU</c:v>
                  </c:pt>
                  <c:pt idx="8">
                    <c:v>DOM</c:v>
                  </c:pt>
                  <c:pt idx="9">
                    <c:v>URY</c:v>
                  </c:pt>
                  <c:pt idx="10">
                    <c:v>CHL</c:v>
                  </c:pt>
                  <c:pt idx="11">
                    <c:v>COL</c:v>
                  </c:pt>
                  <c:pt idx="12">
                    <c:v>LAC</c:v>
                  </c:pt>
                  <c:pt idx="13">
                    <c:v>JAM</c:v>
                  </c:pt>
                  <c:pt idx="14">
                    <c:v>TTO</c:v>
                  </c:pt>
                  <c:pt idx="15">
                    <c:v>ARG</c:v>
                  </c:pt>
                  <c:pt idx="16">
                    <c:v>PER</c:v>
                  </c:pt>
                  <c:pt idx="17">
                    <c:v>MEX</c:v>
                  </c:pt>
                  <c:pt idx="18">
                    <c:v>CRI</c:v>
                  </c:pt>
                  <c:pt idx="19">
                    <c:v>SLV</c:v>
                  </c:pt>
                </c15:dlblRangeCache>
              </c15:datalabelsRange>
            </c:ext>
            <c:ext xmlns:c16="http://schemas.microsoft.com/office/drawing/2014/chart" uri="{C3380CC4-5D6E-409C-BE32-E72D297353CC}">
              <c16:uniqueId val="{00000017-EF83-4474-A36B-59EA9CBD38B4}"/>
            </c:ext>
          </c:extLst>
        </c:ser>
        <c:dLbls>
          <c:showLegendKey val="0"/>
          <c:showVal val="0"/>
          <c:showCatName val="0"/>
          <c:showSerName val="0"/>
          <c:showPercent val="0"/>
          <c:showBubbleSize val="0"/>
        </c:dLbls>
        <c:axId val="1634012096"/>
        <c:axId val="1634028416"/>
      </c:scatterChart>
      <c:valAx>
        <c:axId val="16340120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Cost of Formalizing Informal Labor</a:t>
                </a:r>
              </a:p>
            </c:rich>
          </c:tx>
          <c:layout>
            <c:manualLayout>
              <c:xMode val="edge"/>
              <c:yMode val="edge"/>
              <c:x val="0.31716574638386424"/>
              <c:y val="0.90753636266647697"/>
            </c:manualLayout>
          </c:layout>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028416"/>
        <c:crosses val="autoZero"/>
        <c:crossBetween val="midCat"/>
      </c:valAx>
      <c:valAx>
        <c:axId val="1634028416"/>
        <c:scaling>
          <c:orientation val="minMax"/>
          <c:max val="1.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Average Cost of Salaried Labor</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n-US"/>
            </a:p>
          </c:txPr>
        </c:title>
        <c:numFmt formatCode="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634012096"/>
        <c:crosses val="autoZero"/>
        <c:crossBetween val="midCat"/>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8.6232564167124812E-2"/>
          <c:y val="1.2823117349179994E-2"/>
          <c:w val="0.90793864242740829"/>
          <c:h val="0.68964223080782405"/>
        </c:manualLayout>
      </c:layout>
      <c:barChart>
        <c:barDir val="col"/>
        <c:grouping val="stacked"/>
        <c:varyColors val="0"/>
        <c:ser>
          <c:idx val="0"/>
          <c:order val="0"/>
          <c:tx>
            <c:strRef>
              <c:f>'Figure 5'!$M$32</c:f>
              <c:strCache>
                <c:ptCount val="1"/>
                <c:pt idx="0">
                  <c:v>Employees</c:v>
                </c:pt>
              </c:strCache>
            </c:strRef>
          </c:tx>
          <c:spPr>
            <a:solidFill>
              <a:srgbClr val="31859C"/>
            </a:solidFill>
            <a:ln>
              <a:noFill/>
            </a:ln>
            <a:effectLst/>
          </c:spPr>
          <c:invertIfNegative val="0"/>
          <c:cat>
            <c:multiLvlStrRef>
              <c:f>'Figure 5'!$K$33:$L$70</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ARG</c:v>
                  </c:pt>
                  <c:pt idx="2">
                    <c:v>BRA</c:v>
                  </c:pt>
                  <c:pt idx="4">
                    <c:v>URY</c:v>
                  </c:pt>
                  <c:pt idx="6">
                    <c:v>CRI</c:v>
                  </c:pt>
                  <c:pt idx="8">
                    <c:v>COL</c:v>
                  </c:pt>
                  <c:pt idx="10">
                    <c:v>PER</c:v>
                  </c:pt>
                  <c:pt idx="12">
                    <c:v>ECU</c:v>
                  </c:pt>
                  <c:pt idx="14">
                    <c:v>PAN</c:v>
                  </c:pt>
                  <c:pt idx="16">
                    <c:v>BOL</c:v>
                  </c:pt>
                  <c:pt idx="18">
                    <c:v>PRY</c:v>
                  </c:pt>
                  <c:pt idx="20">
                    <c:v>MEX</c:v>
                  </c:pt>
                  <c:pt idx="22">
                    <c:v>SLV</c:v>
                  </c:pt>
                  <c:pt idx="24">
                    <c:v>DOM</c:v>
                  </c:pt>
                  <c:pt idx="26">
                    <c:v>CHL</c:v>
                  </c:pt>
                  <c:pt idx="28">
                    <c:v>VEN</c:v>
                  </c:pt>
                  <c:pt idx="30">
                    <c:v>JAM</c:v>
                  </c:pt>
                  <c:pt idx="32">
                    <c:v>GTM</c:v>
                  </c:pt>
                  <c:pt idx="34">
                    <c:v>TTO</c:v>
                  </c:pt>
                  <c:pt idx="36">
                    <c:v>HND</c:v>
                  </c:pt>
                </c:lvl>
              </c:multiLvlStrCache>
            </c:multiLvlStrRef>
          </c:cat>
          <c:val>
            <c:numRef>
              <c:f>'Figure 5'!$M$33:$M$70</c:f>
              <c:numCache>
                <c:formatCode>0%</c:formatCode>
                <c:ptCount val="38"/>
                <c:pt idx="0">
                  <c:v>0.2002054794520548</c:v>
                </c:pt>
                <c:pt idx="1">
                  <c:v>0.1839664804469274</c:v>
                </c:pt>
                <c:pt idx="2" formatCode="0.0%">
                  <c:v>9.7397260273972608E-2</c:v>
                </c:pt>
                <c:pt idx="3" formatCode="0.0%">
                  <c:v>9.7394019060138018E-2</c:v>
                </c:pt>
                <c:pt idx="4">
                  <c:v>0.20349100088802746</c:v>
                </c:pt>
                <c:pt idx="5">
                  <c:v>0.20389790117061121</c:v>
                </c:pt>
                <c:pt idx="6" formatCode="0.0%">
                  <c:v>9.9236986301369859E-2</c:v>
                </c:pt>
                <c:pt idx="7" formatCode="0.0%">
                  <c:v>0.12661222477817943</c:v>
                </c:pt>
                <c:pt idx="8">
                  <c:v>0.08</c:v>
                </c:pt>
                <c:pt idx="9">
                  <c:v>0.08</c:v>
                </c:pt>
                <c:pt idx="10">
                  <c:v>0.1513604995070654</c:v>
                </c:pt>
                <c:pt idx="11">
                  <c:v>0.15136049950706543</c:v>
                </c:pt>
                <c:pt idx="12">
                  <c:v>0.10226790000000001</c:v>
                </c:pt>
                <c:pt idx="13">
                  <c:v>0.10226372001314495</c:v>
                </c:pt>
                <c:pt idx="14">
                  <c:v>0.11706861375835251</c:v>
                </c:pt>
                <c:pt idx="15">
                  <c:v>0.11706861375835249</c:v>
                </c:pt>
                <c:pt idx="16">
                  <c:v>0.12709999999999999</c:v>
                </c:pt>
                <c:pt idx="17">
                  <c:v>0.12709999999999999</c:v>
                </c:pt>
                <c:pt idx="18">
                  <c:v>9.7394019060138018E-2</c:v>
                </c:pt>
                <c:pt idx="19">
                  <c:v>9.7394019060138018E-2</c:v>
                </c:pt>
                <c:pt idx="20">
                  <c:v>1.022262058886925E-2</c:v>
                </c:pt>
                <c:pt idx="21">
                  <c:v>2.2118122929805063E-2</c:v>
                </c:pt>
                <c:pt idx="22">
                  <c:v>9.2499999999999999E-2</c:v>
                </c:pt>
                <c:pt idx="23">
                  <c:v>0.10249999999999999</c:v>
                </c:pt>
                <c:pt idx="24">
                  <c:v>6.9366184686164969E-2</c:v>
                </c:pt>
                <c:pt idx="25">
                  <c:v>6.9366184686164969E-2</c:v>
                </c:pt>
                <c:pt idx="26">
                  <c:v>0.1908</c:v>
                </c:pt>
                <c:pt idx="27">
                  <c:v>0.191</c:v>
                </c:pt>
                <c:pt idx="28">
                  <c:v>0.10604325649442674</c:v>
                </c:pt>
                <c:pt idx="29">
                  <c:v>0.06</c:v>
                </c:pt>
                <c:pt idx="30">
                  <c:v>6.6937499999999997E-2</c:v>
                </c:pt>
                <c:pt idx="31">
                  <c:v>7.0000000000000007E-2</c:v>
                </c:pt>
                <c:pt idx="32">
                  <c:v>4.8300000000000003E-2</c:v>
                </c:pt>
                <c:pt idx="33">
                  <c:v>4.8300000000000003E-2</c:v>
                </c:pt>
                <c:pt idx="34">
                  <c:v>4.5308415327465018E-2</c:v>
                </c:pt>
                <c:pt idx="35">
                  <c:v>4.3999999999999997E-2</c:v>
                </c:pt>
                <c:pt idx="36">
                  <c:v>3.6509645310425706E-2</c:v>
                </c:pt>
                <c:pt idx="37">
                  <c:v>0.05</c:v>
                </c:pt>
              </c:numCache>
            </c:numRef>
          </c:val>
          <c:extLst>
            <c:ext xmlns:c16="http://schemas.microsoft.com/office/drawing/2014/chart" uri="{C3380CC4-5D6E-409C-BE32-E72D297353CC}">
              <c16:uniqueId val="{00000001-6A3F-46BB-8BE8-E1FDA60D7642}"/>
            </c:ext>
          </c:extLst>
        </c:ser>
        <c:ser>
          <c:idx val="1"/>
          <c:order val="1"/>
          <c:tx>
            <c:strRef>
              <c:f>'Figure 5'!$N$32</c:f>
              <c:strCache>
                <c:ptCount val="1"/>
                <c:pt idx="0">
                  <c:v>Employers</c:v>
                </c:pt>
              </c:strCache>
            </c:strRef>
          </c:tx>
          <c:spPr>
            <a:solidFill>
              <a:srgbClr val="93CDDD"/>
            </a:solidFill>
            <a:ln>
              <a:noFill/>
            </a:ln>
            <a:effectLst/>
          </c:spPr>
          <c:invertIfNegative val="0"/>
          <c:cat>
            <c:multiLvlStrRef>
              <c:f>'Figure 5'!$K$33:$L$70</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ARG</c:v>
                  </c:pt>
                  <c:pt idx="2">
                    <c:v>BRA</c:v>
                  </c:pt>
                  <c:pt idx="4">
                    <c:v>URY</c:v>
                  </c:pt>
                  <c:pt idx="6">
                    <c:v>CRI</c:v>
                  </c:pt>
                  <c:pt idx="8">
                    <c:v>COL</c:v>
                  </c:pt>
                  <c:pt idx="10">
                    <c:v>PER</c:v>
                  </c:pt>
                  <c:pt idx="12">
                    <c:v>ECU</c:v>
                  </c:pt>
                  <c:pt idx="14">
                    <c:v>PAN</c:v>
                  </c:pt>
                  <c:pt idx="16">
                    <c:v>BOL</c:v>
                  </c:pt>
                  <c:pt idx="18">
                    <c:v>PRY</c:v>
                  </c:pt>
                  <c:pt idx="20">
                    <c:v>MEX</c:v>
                  </c:pt>
                  <c:pt idx="22">
                    <c:v>SLV</c:v>
                  </c:pt>
                  <c:pt idx="24">
                    <c:v>DOM</c:v>
                  </c:pt>
                  <c:pt idx="26">
                    <c:v>CHL</c:v>
                  </c:pt>
                  <c:pt idx="28">
                    <c:v>VEN</c:v>
                  </c:pt>
                  <c:pt idx="30">
                    <c:v>JAM</c:v>
                  </c:pt>
                  <c:pt idx="32">
                    <c:v>GTM</c:v>
                  </c:pt>
                  <c:pt idx="34">
                    <c:v>TTO</c:v>
                  </c:pt>
                  <c:pt idx="36">
                    <c:v>HND</c:v>
                  </c:pt>
                </c:lvl>
              </c:multiLvlStrCache>
            </c:multiLvlStrRef>
          </c:cat>
          <c:val>
            <c:numRef>
              <c:f>'Figure 5'!$N$33:$N$70</c:f>
              <c:numCache>
                <c:formatCode>0%</c:formatCode>
                <c:ptCount val="38"/>
                <c:pt idx="0">
                  <c:v>0.28136986301369865</c:v>
                </c:pt>
                <c:pt idx="1">
                  <c:v>0.27010607952678278</c:v>
                </c:pt>
                <c:pt idx="2">
                  <c:v>0.37010958904109592</c:v>
                </c:pt>
                <c:pt idx="3">
                  <c:v>0.36793296089385474</c:v>
                </c:pt>
                <c:pt idx="4">
                  <c:v>0.20349100088802746</c:v>
                </c:pt>
                <c:pt idx="5">
                  <c:v>0.20124383831744988</c:v>
                </c:pt>
                <c:pt idx="6">
                  <c:v>0.28650958904109597</c:v>
                </c:pt>
                <c:pt idx="7">
                  <c:v>0.28861094314820906</c:v>
                </c:pt>
                <c:pt idx="8">
                  <c:v>0.26673863013698629</c:v>
                </c:pt>
                <c:pt idx="9">
                  <c:v>0.27053894183371674</c:v>
                </c:pt>
                <c:pt idx="10">
                  <c:v>0.17930000000000001</c:v>
                </c:pt>
                <c:pt idx="11">
                  <c:v>0.19630000000000003</c:v>
                </c:pt>
                <c:pt idx="12">
                  <c:v>0.21081255999999998</c:v>
                </c:pt>
                <c:pt idx="13">
                  <c:v>0.2108039434768321</c:v>
                </c:pt>
                <c:pt idx="14">
                  <c:v>0.17270052524920584</c:v>
                </c:pt>
                <c:pt idx="15">
                  <c:v>0.17270052524920584</c:v>
                </c:pt>
                <c:pt idx="16">
                  <c:v>0.14710000000000001</c:v>
                </c:pt>
                <c:pt idx="17">
                  <c:v>0.14710000000000001</c:v>
                </c:pt>
                <c:pt idx="18">
                  <c:v>0.18396648044692737</c:v>
                </c:pt>
                <c:pt idx="19">
                  <c:v>0.18396648044692737</c:v>
                </c:pt>
                <c:pt idx="20">
                  <c:v>0.21733546910861323</c:v>
                </c:pt>
                <c:pt idx="21">
                  <c:v>0.21787500000000001</c:v>
                </c:pt>
                <c:pt idx="22">
                  <c:v>0.1525</c:v>
                </c:pt>
                <c:pt idx="23">
                  <c:v>0.17249999999999999</c:v>
                </c:pt>
                <c:pt idx="24">
                  <c:v>0.17530923430824844</c:v>
                </c:pt>
                <c:pt idx="25">
                  <c:v>0.17530923430824841</c:v>
                </c:pt>
                <c:pt idx="26">
                  <c:v>4.6100000000000002E-2</c:v>
                </c:pt>
                <c:pt idx="27">
                  <c:v>4.8000000000000001E-2</c:v>
                </c:pt>
                <c:pt idx="28">
                  <c:v>0.12444799141173792</c:v>
                </c:pt>
                <c:pt idx="29">
                  <c:v>0.1575</c:v>
                </c:pt>
                <c:pt idx="30">
                  <c:v>0.11924999999999999</c:v>
                </c:pt>
                <c:pt idx="31">
                  <c:v>0.12499999999999999</c:v>
                </c:pt>
                <c:pt idx="32">
                  <c:v>0.12670000000000001</c:v>
                </c:pt>
                <c:pt idx="33">
                  <c:v>0.12670000000000001</c:v>
                </c:pt>
                <c:pt idx="34">
                  <c:v>7.3214855494241657E-2</c:v>
                </c:pt>
                <c:pt idx="35">
                  <c:v>8.7999999999999995E-2</c:v>
                </c:pt>
                <c:pt idx="36">
                  <c:v>7.0828711902225866E-2</c:v>
                </c:pt>
                <c:pt idx="37">
                  <c:v>9.7000000000000003E-2</c:v>
                </c:pt>
              </c:numCache>
            </c:numRef>
          </c:val>
          <c:extLst>
            <c:ext xmlns:c16="http://schemas.microsoft.com/office/drawing/2014/chart" uri="{C3380CC4-5D6E-409C-BE32-E72D297353CC}">
              <c16:uniqueId val="{00000003-6A3F-46BB-8BE8-E1FDA60D7642}"/>
            </c:ext>
          </c:extLst>
        </c:ser>
        <c:dLbls>
          <c:showLegendKey val="0"/>
          <c:showVal val="0"/>
          <c:showCatName val="0"/>
          <c:showSerName val="0"/>
          <c:showPercent val="0"/>
          <c:showBubbleSize val="0"/>
        </c:dLbls>
        <c:gapWidth val="150"/>
        <c:overlap val="100"/>
        <c:axId val="318704272"/>
        <c:axId val="318705712"/>
      </c:barChart>
      <c:catAx>
        <c:axId val="31870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a:lstStyle/>
          <a:p>
            <a:pPr>
              <a:defRPr sz="1200"/>
            </a:pPr>
            <a:endParaRPr lang="es-DO"/>
          </a:p>
        </c:txPr>
        <c:crossAx val="318705712"/>
        <c:crosses val="autoZero"/>
        <c:auto val="1"/>
        <c:lblAlgn val="ctr"/>
        <c:lblOffset val="100"/>
        <c:noMultiLvlLbl val="0"/>
      </c:catAx>
      <c:valAx>
        <c:axId val="318705712"/>
        <c:scaling>
          <c:orientation val="minMax"/>
        </c:scaling>
        <c:delete val="0"/>
        <c:axPos val="l"/>
        <c:title>
          <c:tx>
            <c:rich>
              <a:bodyPr rot="-5400000" vert="horz"/>
              <a:lstStyle/>
              <a:p>
                <a:pPr>
                  <a:defRPr/>
                </a:pPr>
                <a:r>
                  <a:rPr lang="en-US"/>
                  <a:t>Mandatory contributions as % of average annual wage of formal workers</a:t>
                </a:r>
              </a:p>
            </c:rich>
          </c:tx>
          <c:layout>
            <c:manualLayout>
              <c:xMode val="edge"/>
              <c:yMode val="edge"/>
              <c:x val="6.6420663701479655E-3"/>
              <c:y val="0.11876459907945507"/>
            </c:manualLayout>
          </c:layout>
          <c:overlay val="0"/>
          <c:spPr>
            <a:noFill/>
            <a:ln>
              <a:noFill/>
            </a:ln>
            <a:effectLst/>
          </c:spPr>
        </c:title>
        <c:numFmt formatCode="0%" sourceLinked="1"/>
        <c:majorTickMark val="out"/>
        <c:minorTickMark val="none"/>
        <c:tickLblPos val="nextTo"/>
        <c:txPr>
          <a:bodyPr/>
          <a:lstStyle/>
          <a:p>
            <a:pPr>
              <a:defRPr sz="1100"/>
            </a:pPr>
            <a:endParaRPr lang="en-US"/>
          </a:p>
        </c:txPr>
        <c:crossAx val="318704272"/>
        <c:crosses val="autoZero"/>
        <c:crossBetween val="between"/>
      </c:valAx>
      <c:spPr>
        <a:noFill/>
        <a:ln w="25400">
          <a:noFill/>
        </a:ln>
      </c:spPr>
    </c:plotArea>
    <c:legend>
      <c:legendPos val="b"/>
      <c:layout>
        <c:manualLayout>
          <c:xMode val="edge"/>
          <c:yMode val="edge"/>
          <c:x val="0.3125659532942997"/>
          <c:y val="0.94586678293877757"/>
          <c:w val="0.44625571618590842"/>
          <c:h val="5.4133074526877066E-2"/>
        </c:manualLayout>
      </c:layout>
      <c:overlay val="0"/>
      <c:spPr>
        <a:noFill/>
        <a:ln>
          <a:noFill/>
        </a:ln>
        <a:effectLst/>
      </c:spPr>
      <c:txPr>
        <a:bodyPr rot="0" vert="horz"/>
        <a:lstStyle/>
        <a:p>
          <a:pPr>
            <a:defRPr sz="1100"/>
          </a:pPr>
          <a:endParaRPr lang="es-DO"/>
        </a:p>
      </c:txPr>
    </c:legend>
    <c:plotVisOnly val="1"/>
    <c:dispBlanksAs val="gap"/>
    <c:showDLblsOverMax val="0"/>
    <c:extLst/>
  </c:chart>
  <c:spPr>
    <a:solidFill>
      <a:schemeClr val="bg1"/>
    </a:solidFill>
    <a:ln w="9525" cap="flat" cmpd="sng" algn="ctr">
      <a:noFill/>
      <a:round/>
    </a:ln>
    <a:effectLst/>
  </c:spPr>
  <c:txPr>
    <a:bodyPr/>
    <a:lstStyle/>
    <a:p>
      <a:pPr>
        <a:defRPr sz="1000">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0506443906050206"/>
          <c:y val="1.36750592575816E-2"/>
          <c:w val="0.89453916818090051"/>
          <c:h val="0.73911362368179279"/>
        </c:manualLayout>
      </c:layout>
      <c:barChart>
        <c:barDir val="col"/>
        <c:grouping val="stacked"/>
        <c:varyColors val="0"/>
        <c:ser>
          <c:idx val="0"/>
          <c:order val="0"/>
          <c:tx>
            <c:strRef>
              <c:f>'Figure 6_7_8'!$D$9</c:f>
              <c:strCache>
                <c:ptCount val="1"/>
                <c:pt idx="0">
                  <c:v>Employees</c:v>
                </c:pt>
              </c:strCache>
            </c:strRef>
          </c:tx>
          <c:spPr>
            <a:solidFill>
              <a:srgbClr val="31859C"/>
            </a:solidFill>
            <a:ln>
              <a:noFill/>
            </a:ln>
            <a:effectLst/>
          </c:spPr>
          <c:invertIfNegative val="0"/>
          <c:dLbls>
            <c:delete val="1"/>
          </c:dLbls>
          <c:cat>
            <c:multiLvlStrRef>
              <c:f>'Figure 6_7_8'!$B$10:$C$47</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BRA</c:v>
                  </c:pt>
                  <c:pt idx="2">
                    <c:v>PRY</c:v>
                  </c:pt>
                  <c:pt idx="4">
                    <c:v>ARG</c:v>
                  </c:pt>
                  <c:pt idx="6">
                    <c:v>URY</c:v>
                  </c:pt>
                  <c:pt idx="8">
                    <c:v>COL</c:v>
                  </c:pt>
                  <c:pt idx="10">
                    <c:v>BOL</c:v>
                  </c:pt>
                  <c:pt idx="12">
                    <c:v>PER</c:v>
                  </c:pt>
                  <c:pt idx="14">
                    <c:v>PAN</c:v>
                  </c:pt>
                  <c:pt idx="16">
                    <c:v>SLV</c:v>
                  </c:pt>
                  <c:pt idx="18">
                    <c:v>VEN</c:v>
                  </c:pt>
                  <c:pt idx="20">
                    <c:v>ECU</c:v>
                  </c:pt>
                  <c:pt idx="22">
                    <c:v>TTO</c:v>
                  </c:pt>
                  <c:pt idx="24">
                    <c:v>DOM</c:v>
                  </c:pt>
                  <c:pt idx="26">
                    <c:v>CHL</c:v>
                  </c:pt>
                  <c:pt idx="28">
                    <c:v>CRI</c:v>
                  </c:pt>
                  <c:pt idx="30">
                    <c:v>MEX</c:v>
                  </c:pt>
                  <c:pt idx="32">
                    <c:v>GTM</c:v>
                  </c:pt>
                  <c:pt idx="34">
                    <c:v>JAM</c:v>
                  </c:pt>
                  <c:pt idx="36">
                    <c:v>HND</c:v>
                  </c:pt>
                </c:lvl>
              </c:multiLvlStrCache>
            </c:multiLvlStrRef>
          </c:cat>
          <c:val>
            <c:numRef>
              <c:f>'Figure 6_7_8'!$D$10:$D$47</c:f>
              <c:numCache>
                <c:formatCode>0%</c:formatCode>
                <c:ptCount val="38"/>
                <c:pt idx="0">
                  <c:v>9.7397260273972608E-2</c:v>
                </c:pt>
                <c:pt idx="1">
                  <c:v>9.7394019060138018E-2</c:v>
                </c:pt>
                <c:pt idx="2">
                  <c:v>9.7397260273972594E-2</c:v>
                </c:pt>
                <c:pt idx="3">
                  <c:v>9.7394019060138018E-2</c:v>
                </c:pt>
                <c:pt idx="4">
                  <c:v>0.11904109589041093</c:v>
                </c:pt>
                <c:pt idx="5">
                  <c:v>0.11903713440683537</c:v>
                </c:pt>
                <c:pt idx="6" formatCode="0.00%">
                  <c:v>0.16232336510023004</c:v>
                </c:pt>
                <c:pt idx="7">
                  <c:v>0.16232336510023004</c:v>
                </c:pt>
                <c:pt idx="8">
                  <c:v>0.04</c:v>
                </c:pt>
                <c:pt idx="9">
                  <c:v>0.04</c:v>
                </c:pt>
                <c:pt idx="10">
                  <c:v>0.12709999999999999</c:v>
                </c:pt>
                <c:pt idx="11">
                  <c:v>0.12709999999999999</c:v>
                </c:pt>
                <c:pt idx="12" formatCode="0.00%">
                  <c:v>0.1513604995070654</c:v>
                </c:pt>
                <c:pt idx="13">
                  <c:v>0.15136049950706543</c:v>
                </c:pt>
                <c:pt idx="14" formatCode="0.00%">
                  <c:v>9.8541666666666666E-2</c:v>
                </c:pt>
                <c:pt idx="15">
                  <c:v>9.8541666666666652E-2</c:v>
                </c:pt>
                <c:pt idx="16">
                  <c:v>6.25E-2</c:v>
                </c:pt>
                <c:pt idx="17">
                  <c:v>7.2499999999999995E-2</c:v>
                </c:pt>
                <c:pt idx="18">
                  <c:v>0.04</c:v>
                </c:pt>
                <c:pt idx="19">
                  <c:v>0.04</c:v>
                </c:pt>
                <c:pt idx="20" formatCode="0.00%">
                  <c:v>7.7466666223999989E-2</c:v>
                </c:pt>
                <c:pt idx="21">
                  <c:v>7.1855142951035178E-2</c:v>
                </c:pt>
                <c:pt idx="22">
                  <c:v>4.53074277471208E-2</c:v>
                </c:pt>
                <c:pt idx="23">
                  <c:v>4.3999999999999997E-2</c:v>
                </c:pt>
                <c:pt idx="24" formatCode="0.00%">
                  <c:v>3.1057870522510682E-2</c:v>
                </c:pt>
                <c:pt idx="25">
                  <c:v>3.1057870522510678E-2</c:v>
                </c:pt>
                <c:pt idx="26">
                  <c:v>0.1</c:v>
                </c:pt>
                <c:pt idx="27">
                  <c:v>0.1</c:v>
                </c:pt>
                <c:pt idx="28">
                  <c:v>2.889452054794521E-2</c:v>
                </c:pt>
                <c:pt idx="29">
                  <c:v>5.6272099901413089E-2</c:v>
                </c:pt>
                <c:pt idx="30" formatCode="0.00%">
                  <c:v>0</c:v>
                </c:pt>
                <c:pt idx="31" formatCode="0.00%">
                  <c:v>1.171875E-2</c:v>
                </c:pt>
                <c:pt idx="32">
                  <c:v>1.83E-2</c:v>
                </c:pt>
                <c:pt idx="33">
                  <c:v>1.83E-2</c:v>
                </c:pt>
                <c:pt idx="34">
                  <c:v>2.5000000000000001E-2</c:v>
                </c:pt>
                <c:pt idx="35">
                  <c:v>0.03</c:v>
                </c:pt>
                <c:pt idx="36">
                  <c:v>7.3019290620851404E-3</c:v>
                </c:pt>
                <c:pt idx="37">
                  <c:v>0.01</c:v>
                </c:pt>
              </c:numCache>
            </c:numRef>
          </c:val>
          <c:extLst>
            <c:ext xmlns:c16="http://schemas.microsoft.com/office/drawing/2014/chart" uri="{C3380CC4-5D6E-409C-BE32-E72D297353CC}">
              <c16:uniqueId val="{00000001-0F83-4B3C-B851-5615FB74147B}"/>
            </c:ext>
          </c:extLst>
        </c:ser>
        <c:ser>
          <c:idx val="1"/>
          <c:order val="1"/>
          <c:tx>
            <c:strRef>
              <c:f>'Figure 6_7_8'!$E$9</c:f>
              <c:strCache>
                <c:ptCount val="1"/>
                <c:pt idx="0">
                  <c:v>Employers</c:v>
                </c:pt>
              </c:strCache>
            </c:strRef>
          </c:tx>
          <c:spPr>
            <a:solidFill>
              <a:srgbClr val="93CDDD"/>
            </a:solidFill>
            <a:ln>
              <a:noFill/>
            </a:ln>
            <a:effectLst/>
          </c:spPr>
          <c:invertIfNegative val="0"/>
          <c:dLbls>
            <c:delete val="1"/>
          </c:dLbls>
          <c:cat>
            <c:multiLvlStrRef>
              <c:f>'Figure 6_7_8'!$B$10:$C$47</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BRA</c:v>
                  </c:pt>
                  <c:pt idx="2">
                    <c:v>PRY</c:v>
                  </c:pt>
                  <c:pt idx="4">
                    <c:v>ARG</c:v>
                  </c:pt>
                  <c:pt idx="6">
                    <c:v>URY</c:v>
                  </c:pt>
                  <c:pt idx="8">
                    <c:v>COL</c:v>
                  </c:pt>
                  <c:pt idx="10">
                    <c:v>BOL</c:v>
                  </c:pt>
                  <c:pt idx="12">
                    <c:v>PER</c:v>
                  </c:pt>
                  <c:pt idx="14">
                    <c:v>PAN</c:v>
                  </c:pt>
                  <c:pt idx="16">
                    <c:v>SLV</c:v>
                  </c:pt>
                  <c:pt idx="18">
                    <c:v>VEN</c:v>
                  </c:pt>
                  <c:pt idx="20">
                    <c:v>ECU</c:v>
                  </c:pt>
                  <c:pt idx="22">
                    <c:v>TTO</c:v>
                  </c:pt>
                  <c:pt idx="24">
                    <c:v>DOM</c:v>
                  </c:pt>
                  <c:pt idx="26">
                    <c:v>CHL</c:v>
                  </c:pt>
                  <c:pt idx="28">
                    <c:v>CRI</c:v>
                  </c:pt>
                  <c:pt idx="30">
                    <c:v>MEX</c:v>
                  </c:pt>
                  <c:pt idx="32">
                    <c:v>GTM</c:v>
                  </c:pt>
                  <c:pt idx="34">
                    <c:v>JAM</c:v>
                  </c:pt>
                  <c:pt idx="36">
                    <c:v>HND</c:v>
                  </c:pt>
                </c:lvl>
              </c:multiLvlStrCache>
            </c:multiLvlStrRef>
          </c:cat>
          <c:val>
            <c:numRef>
              <c:f>'Figure 6_7_8'!$E$10:$E$47</c:f>
              <c:numCache>
                <c:formatCode>0%</c:formatCode>
                <c:ptCount val="38"/>
                <c:pt idx="0">
                  <c:v>0.21643835616438356</c:v>
                </c:pt>
                <c:pt idx="1">
                  <c:v>0.21643115346697342</c:v>
                </c:pt>
                <c:pt idx="2">
                  <c:v>0.15150684931506853</c:v>
                </c:pt>
                <c:pt idx="3">
                  <c:v>0.15150180742688138</c:v>
                </c:pt>
                <c:pt idx="4">
                  <c:v>0.11005890410958902</c:v>
                </c:pt>
                <c:pt idx="5">
                  <c:v>0.11654817614196518</c:v>
                </c:pt>
                <c:pt idx="6" formatCode="0.00%">
                  <c:v>7.4999999999999997E-2</c:v>
                </c:pt>
                <c:pt idx="7">
                  <c:v>8.1161682550115022E-2</c:v>
                </c:pt>
                <c:pt idx="8">
                  <c:v>0.1298630136986301</c:v>
                </c:pt>
                <c:pt idx="9">
                  <c:v>0.12985869208018402</c:v>
                </c:pt>
                <c:pt idx="10">
                  <c:v>0.03</c:v>
                </c:pt>
                <c:pt idx="11">
                  <c:v>3.0000000000000002E-2</c:v>
                </c:pt>
                <c:pt idx="12" formatCode="0.00%">
                  <c:v>0</c:v>
                </c:pt>
                <c:pt idx="13">
                  <c:v>0</c:v>
                </c:pt>
                <c:pt idx="14" formatCode="0.00%">
                  <c:v>5.1458333333333342E-2</c:v>
                </c:pt>
                <c:pt idx="15">
                  <c:v>5.1458333333333342E-2</c:v>
                </c:pt>
                <c:pt idx="16">
                  <c:v>6.7500000000000004E-2</c:v>
                </c:pt>
                <c:pt idx="17">
                  <c:v>8.7499999999999994E-2</c:v>
                </c:pt>
                <c:pt idx="18">
                  <c:v>7.0000000000000007E-2</c:v>
                </c:pt>
                <c:pt idx="19">
                  <c:v>0.09</c:v>
                </c:pt>
                <c:pt idx="20" formatCode="0.00%">
                  <c:v>3.6166666459999997E-2</c:v>
                </c:pt>
                <c:pt idx="21">
                  <c:v>4.1338350312191914E-2</c:v>
                </c:pt>
                <c:pt idx="22">
                  <c:v>7.3214855494241657E-2</c:v>
                </c:pt>
                <c:pt idx="23">
                  <c:v>8.7999999999999995E-2</c:v>
                </c:pt>
                <c:pt idx="24" formatCode="0.00%">
                  <c:v>7.6833059480775553E-2</c:v>
                </c:pt>
                <c:pt idx="25">
                  <c:v>7.683305948077554E-2</c:v>
                </c:pt>
                <c:pt idx="28">
                  <c:v>6.9476712328767121E-2</c:v>
                </c:pt>
                <c:pt idx="29">
                  <c:v>9.3822905027932973E-2</c:v>
                </c:pt>
                <c:pt idx="30" formatCode="0.00%">
                  <c:v>5.3645833333333337E-2</c:v>
                </c:pt>
                <c:pt idx="31" formatCode="0.00%">
                  <c:v>6.2666666666666676E-2</c:v>
                </c:pt>
                <c:pt idx="32">
                  <c:v>3.6700000000000003E-2</c:v>
                </c:pt>
                <c:pt idx="33">
                  <c:v>3.6700000000000003E-2</c:v>
                </c:pt>
                <c:pt idx="34">
                  <c:v>2.5000000000000001E-2</c:v>
                </c:pt>
                <c:pt idx="35">
                  <c:v>0.03</c:v>
                </c:pt>
                <c:pt idx="36">
                  <c:v>1.4603858124170281E-2</c:v>
                </c:pt>
                <c:pt idx="37">
                  <c:v>0.02</c:v>
                </c:pt>
              </c:numCache>
            </c:numRef>
          </c:val>
          <c:extLst>
            <c:ext xmlns:c16="http://schemas.microsoft.com/office/drawing/2014/chart" uri="{C3380CC4-5D6E-409C-BE32-E72D297353CC}">
              <c16:uniqueId val="{00000003-0F83-4B3C-B851-5615FB74147B}"/>
            </c:ext>
          </c:extLst>
        </c:ser>
        <c:dLbls>
          <c:dLblPos val="ctr"/>
          <c:showLegendKey val="0"/>
          <c:showVal val="1"/>
          <c:showCatName val="0"/>
          <c:showSerName val="0"/>
          <c:showPercent val="0"/>
          <c:showBubbleSize val="0"/>
        </c:dLbls>
        <c:gapWidth val="150"/>
        <c:overlap val="100"/>
        <c:axId val="271127328"/>
        <c:axId val="271126848"/>
      </c:barChart>
      <c:catAx>
        <c:axId val="2711273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71126848"/>
        <c:crosses val="autoZero"/>
        <c:auto val="1"/>
        <c:lblAlgn val="ctr"/>
        <c:lblOffset val="100"/>
        <c:noMultiLvlLbl val="0"/>
      </c:catAx>
      <c:valAx>
        <c:axId val="271126848"/>
        <c:scaling>
          <c:orientation val="minMax"/>
        </c:scaling>
        <c:delete val="0"/>
        <c:axPos val="l"/>
        <c:title>
          <c:tx>
            <c:rich>
              <a:bodyPr rot="-5400000" vert="horz"/>
              <a:lstStyle/>
              <a:p>
                <a:pPr>
                  <a:defRPr/>
                </a:pPr>
                <a:r>
                  <a:rPr lang="en-US"/>
                  <a:t>Pension contributions as % of average annual wage of formal workers</a:t>
                </a:r>
              </a:p>
            </c:rich>
          </c:tx>
          <c:layout>
            <c:manualLayout>
              <c:xMode val="edge"/>
              <c:yMode val="edge"/>
              <c:x val="0"/>
              <c:y val="4.0327405882775287E-2"/>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DO"/>
          </a:p>
        </c:txPr>
        <c:crossAx val="271127328"/>
        <c:crosses val="autoZero"/>
        <c:crossBetween val="between"/>
      </c:valAx>
    </c:plotArea>
    <c:legend>
      <c:legendPos val="b"/>
      <c:layout>
        <c:manualLayout>
          <c:xMode val="edge"/>
          <c:yMode val="edge"/>
          <c:x val="0.3606004778248873"/>
          <c:y val="0.9427592309730074"/>
          <c:w val="0.28580944208896969"/>
          <c:h val="5.7240769026992599E-2"/>
        </c:manualLayout>
      </c:layout>
      <c:overlay val="0"/>
      <c:spPr>
        <a:noFill/>
        <a:ln>
          <a:noFill/>
        </a:ln>
        <a:effectLst/>
      </c:spPr>
      <c:txPr>
        <a:bodyPr rot="0" vert="horz"/>
        <a:lstStyle/>
        <a:p>
          <a:pPr>
            <a:defRPr/>
          </a:pPr>
          <a:endParaRPr lang="es-DO"/>
        </a:p>
      </c:txPr>
    </c:legend>
    <c:plotVisOnly val="1"/>
    <c:dispBlanksAs val="gap"/>
    <c:showDLblsOverMax val="0"/>
    <c:extLst/>
  </c:chart>
  <c:spPr>
    <a:solidFill>
      <a:schemeClr val="bg1"/>
    </a:solidFill>
    <a:ln w="9525" cap="flat" cmpd="sng" algn="ctr">
      <a:noFill/>
      <a:round/>
    </a:ln>
    <a:effectLst/>
  </c:spPr>
  <c:txPr>
    <a:bodyPr/>
    <a:lstStyle/>
    <a:p>
      <a:pPr>
        <a:defRPr sz="1050">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6.9189356481616546E-2"/>
          <c:y val="2.6072839796124386E-2"/>
          <c:w val="0.92012686231401775"/>
          <c:h val="0.73553525589521085"/>
        </c:manualLayout>
      </c:layout>
      <c:barChart>
        <c:barDir val="col"/>
        <c:grouping val="stacked"/>
        <c:varyColors val="0"/>
        <c:ser>
          <c:idx val="0"/>
          <c:order val="0"/>
          <c:tx>
            <c:strRef>
              <c:f>'Figure 6_7_8'!$D$53</c:f>
              <c:strCache>
                <c:ptCount val="1"/>
                <c:pt idx="0">
                  <c:v>Employees</c:v>
                </c:pt>
              </c:strCache>
            </c:strRef>
          </c:tx>
          <c:spPr>
            <a:solidFill>
              <a:srgbClr val="31859C"/>
            </a:solidFill>
            <a:ln>
              <a:noFill/>
            </a:ln>
            <a:effectLst/>
          </c:spPr>
          <c:invertIfNegative val="0"/>
          <c:dLbls>
            <c:delete val="1"/>
          </c:dLbls>
          <c:cat>
            <c:multiLvlStrRef>
              <c:f>'Figure 6_7_8'!$B$54:$C$89</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ARG</c:v>
                  </c:pt>
                  <c:pt idx="2">
                    <c:v>CRI</c:v>
                  </c:pt>
                  <c:pt idx="4">
                    <c:v>DOM</c:v>
                  </c:pt>
                  <c:pt idx="6">
                    <c:v>SLV</c:v>
                  </c:pt>
                  <c:pt idx="8">
                    <c:v>BOL</c:v>
                  </c:pt>
                  <c:pt idx="10">
                    <c:v>PAN</c:v>
                  </c:pt>
                  <c:pt idx="12">
                    <c:v>URY</c:v>
                  </c:pt>
                  <c:pt idx="14">
                    <c:v>MEX</c:v>
                  </c:pt>
                  <c:pt idx="16">
                    <c:v>CHL</c:v>
                  </c:pt>
                  <c:pt idx="18">
                    <c:v>ECU</c:v>
                  </c:pt>
                  <c:pt idx="20">
                    <c:v>GTM</c:v>
                  </c:pt>
                  <c:pt idx="22">
                    <c:v>HND</c:v>
                  </c:pt>
                  <c:pt idx="24">
                    <c:v>COL</c:v>
                  </c:pt>
                  <c:pt idx="26">
                    <c:v>TTO</c:v>
                  </c:pt>
                  <c:pt idx="28">
                    <c:v>BRA</c:v>
                  </c:pt>
                  <c:pt idx="30">
                    <c:v>JAM</c:v>
                  </c:pt>
                  <c:pt idx="32">
                    <c:v>PRY</c:v>
                  </c:pt>
                  <c:pt idx="34">
                    <c:v>VEN</c:v>
                  </c:pt>
                </c:lvl>
              </c:multiLvlStrCache>
            </c:multiLvlStrRef>
          </c:cat>
          <c:val>
            <c:numRef>
              <c:f>'Figure 6_7_8'!$D$54:$D$89</c:f>
              <c:numCache>
                <c:formatCode>0%</c:formatCode>
                <c:ptCount val="36"/>
                <c:pt idx="0">
                  <c:v>6.4931506849315049E-2</c:v>
                </c:pt>
                <c:pt idx="1">
                  <c:v>6.4929346040092026E-2</c:v>
                </c:pt>
                <c:pt idx="2">
                  <c:v>5.9520547945205476E-2</c:v>
                </c:pt>
                <c:pt idx="3">
                  <c:v>5.9518567203417687E-2</c:v>
                </c:pt>
                <c:pt idx="4">
                  <c:v>3.2897535326979956E-2</c:v>
                </c:pt>
                <c:pt idx="5">
                  <c:v>3.2897535326979956E-2</c:v>
                </c:pt>
                <c:pt idx="6">
                  <c:v>0.03</c:v>
                </c:pt>
                <c:pt idx="7">
                  <c:v>0.03</c:v>
                </c:pt>
                <c:pt idx="10">
                  <c:v>5.0000000000000001E-3</c:v>
                </c:pt>
                <c:pt idx="11">
                  <c:v>5.0000000000000001E-3</c:v>
                </c:pt>
                <c:pt idx="12">
                  <c:v>4.0084635787797446E-2</c:v>
                </c:pt>
                <c:pt idx="13">
                  <c:v>4.0492380303046319E-2</c:v>
                </c:pt>
                <c:pt idx="14">
                  <c:v>1.022262058886925E-2</c:v>
                </c:pt>
                <c:pt idx="15">
                  <c:v>1.0399372929805063E-2</c:v>
                </c:pt>
                <c:pt idx="16">
                  <c:v>7.0000000000000007E-2</c:v>
                </c:pt>
                <c:pt idx="17">
                  <c:v>7.0000000000000007E-2</c:v>
                </c:pt>
                <c:pt idx="20">
                  <c:v>0.02</c:v>
                </c:pt>
                <c:pt idx="21">
                  <c:v>0.02</c:v>
                </c:pt>
                <c:pt idx="22">
                  <c:v>1.8254822655212853E-2</c:v>
                </c:pt>
                <c:pt idx="23">
                  <c:v>2.5000000000000001E-2</c:v>
                </c:pt>
                <c:pt idx="24">
                  <c:v>0.04</c:v>
                </c:pt>
                <c:pt idx="25">
                  <c:v>0.04</c:v>
                </c:pt>
              </c:numCache>
            </c:numRef>
          </c:val>
          <c:extLst>
            <c:ext xmlns:c16="http://schemas.microsoft.com/office/drawing/2014/chart" uri="{C3380CC4-5D6E-409C-BE32-E72D297353CC}">
              <c16:uniqueId val="{00000001-3F04-4355-88DB-1749727C4E3C}"/>
            </c:ext>
          </c:extLst>
        </c:ser>
        <c:ser>
          <c:idx val="1"/>
          <c:order val="1"/>
          <c:tx>
            <c:strRef>
              <c:f>'Figure 6_7_8'!$E$53</c:f>
              <c:strCache>
                <c:ptCount val="1"/>
                <c:pt idx="0">
                  <c:v>Employers</c:v>
                </c:pt>
              </c:strCache>
            </c:strRef>
          </c:tx>
          <c:spPr>
            <a:solidFill>
              <a:srgbClr val="93CDDD"/>
            </a:solidFill>
            <a:ln>
              <a:noFill/>
            </a:ln>
            <a:effectLst/>
          </c:spPr>
          <c:invertIfNegative val="0"/>
          <c:dLbls>
            <c:delete val="1"/>
          </c:dLbls>
          <c:cat>
            <c:multiLvlStrRef>
              <c:f>'Figure 6_7_8'!$B$54:$C$89</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ARG</c:v>
                  </c:pt>
                  <c:pt idx="2">
                    <c:v>CRI</c:v>
                  </c:pt>
                  <c:pt idx="4">
                    <c:v>DOM</c:v>
                  </c:pt>
                  <c:pt idx="6">
                    <c:v>SLV</c:v>
                  </c:pt>
                  <c:pt idx="8">
                    <c:v>BOL</c:v>
                  </c:pt>
                  <c:pt idx="10">
                    <c:v>PAN</c:v>
                  </c:pt>
                  <c:pt idx="12">
                    <c:v>URY</c:v>
                  </c:pt>
                  <c:pt idx="14">
                    <c:v>MEX</c:v>
                  </c:pt>
                  <c:pt idx="16">
                    <c:v>CHL</c:v>
                  </c:pt>
                  <c:pt idx="18">
                    <c:v>ECU</c:v>
                  </c:pt>
                  <c:pt idx="20">
                    <c:v>GTM</c:v>
                  </c:pt>
                  <c:pt idx="22">
                    <c:v>HND</c:v>
                  </c:pt>
                  <c:pt idx="24">
                    <c:v>COL</c:v>
                  </c:pt>
                  <c:pt idx="26">
                    <c:v>TTO</c:v>
                  </c:pt>
                  <c:pt idx="28">
                    <c:v>BRA</c:v>
                  </c:pt>
                  <c:pt idx="30">
                    <c:v>JAM</c:v>
                  </c:pt>
                  <c:pt idx="32">
                    <c:v>PRY</c:v>
                  </c:pt>
                  <c:pt idx="34">
                    <c:v>VEN</c:v>
                  </c:pt>
                </c:lvl>
              </c:multiLvlStrCache>
            </c:multiLvlStrRef>
          </c:cat>
          <c:val>
            <c:numRef>
              <c:f>'Figure 6_7_8'!$E$54:$E$89</c:f>
              <c:numCache>
                <c:formatCode>0%</c:formatCode>
                <c:ptCount val="36"/>
                <c:pt idx="0">
                  <c:v>8.1921917808219155E-2</c:v>
                </c:pt>
                <c:pt idx="1">
                  <c:v>8.2135622740716396E-2</c:v>
                </c:pt>
                <c:pt idx="2">
                  <c:v>0.1001027397260274</c:v>
                </c:pt>
                <c:pt idx="3">
                  <c:v>0.1000994084784752</c:v>
                </c:pt>
                <c:pt idx="4">
                  <c:v>7.6833059480775553E-2</c:v>
                </c:pt>
                <c:pt idx="5">
                  <c:v>7.683305948077554E-2</c:v>
                </c:pt>
                <c:pt idx="6">
                  <c:v>7.4999999999999997E-2</c:v>
                </c:pt>
                <c:pt idx="7">
                  <c:v>7.4999999999999997E-2</c:v>
                </c:pt>
                <c:pt idx="8">
                  <c:v>0.1</c:v>
                </c:pt>
                <c:pt idx="9">
                  <c:v>0.1</c:v>
                </c:pt>
                <c:pt idx="10">
                  <c:v>0.08</c:v>
                </c:pt>
                <c:pt idx="11">
                  <c:v>0.08</c:v>
                </c:pt>
                <c:pt idx="12">
                  <c:v>0.05</c:v>
                </c:pt>
                <c:pt idx="13">
                  <c:v>0.05</c:v>
                </c:pt>
                <c:pt idx="14">
                  <c:v>8.0564635775279864E-2</c:v>
                </c:pt>
                <c:pt idx="15">
                  <c:v>7.2083333333333333E-2</c:v>
                </c:pt>
                <c:pt idx="18">
                  <c:v>6.179362E-2</c:v>
                </c:pt>
                <c:pt idx="19">
                  <c:v>5.5839237594479132E-2</c:v>
                </c:pt>
                <c:pt idx="20">
                  <c:v>0.04</c:v>
                </c:pt>
                <c:pt idx="21">
                  <c:v>0.04</c:v>
                </c:pt>
                <c:pt idx="22">
                  <c:v>3.6509645310425706E-2</c:v>
                </c:pt>
                <c:pt idx="23">
                  <c:v>0.05</c:v>
                </c:pt>
              </c:numCache>
            </c:numRef>
          </c:val>
          <c:extLst>
            <c:ext xmlns:c16="http://schemas.microsoft.com/office/drawing/2014/chart" uri="{C3380CC4-5D6E-409C-BE32-E72D297353CC}">
              <c16:uniqueId val="{00000003-3F04-4355-88DB-1749727C4E3C}"/>
            </c:ext>
          </c:extLst>
        </c:ser>
        <c:dLbls>
          <c:dLblPos val="ctr"/>
          <c:showLegendKey val="0"/>
          <c:showVal val="1"/>
          <c:showCatName val="0"/>
          <c:showSerName val="0"/>
          <c:showPercent val="0"/>
          <c:showBubbleSize val="0"/>
        </c:dLbls>
        <c:gapWidth val="150"/>
        <c:overlap val="100"/>
        <c:axId val="271101888"/>
        <c:axId val="271115328"/>
      </c:barChart>
      <c:catAx>
        <c:axId val="27110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71115328"/>
        <c:crosses val="autoZero"/>
        <c:auto val="1"/>
        <c:lblAlgn val="ctr"/>
        <c:lblOffset val="100"/>
        <c:noMultiLvlLbl val="0"/>
      </c:catAx>
      <c:valAx>
        <c:axId val="271115328"/>
        <c:scaling>
          <c:orientation val="minMax"/>
        </c:scaling>
        <c:delete val="0"/>
        <c:axPos val="l"/>
        <c:title>
          <c:tx>
            <c:rich>
              <a:bodyPr rot="-5400000" vert="horz"/>
              <a:lstStyle/>
              <a:p>
                <a:pPr>
                  <a:defRPr/>
                </a:pPr>
                <a:r>
                  <a:rPr lang="en-US"/>
                  <a:t>Health contributions as % of average annual wage of formal workers</a:t>
                </a:r>
              </a:p>
            </c:rich>
          </c:tx>
          <c:layout>
            <c:manualLayout>
              <c:xMode val="edge"/>
              <c:yMode val="edge"/>
              <c:x val="3.9975772259236825E-4"/>
              <c:y val="6.4388105332987222E-2"/>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DO"/>
          </a:p>
        </c:txPr>
        <c:crossAx val="271101888"/>
        <c:crosses val="autoZero"/>
        <c:crossBetween val="between"/>
      </c:valAx>
    </c:plotArea>
    <c:legend>
      <c:legendPos val="b"/>
      <c:layout>
        <c:manualLayout>
          <c:xMode val="edge"/>
          <c:yMode val="edge"/>
          <c:x val="0.36894188707180825"/>
          <c:y val="0.93714673028508799"/>
          <c:w val="0.25481896493707518"/>
          <c:h val="4.4056706747504712E-2"/>
        </c:manualLayout>
      </c:layout>
      <c:overlay val="0"/>
      <c:spPr>
        <a:noFill/>
        <a:ln>
          <a:noFill/>
        </a:ln>
        <a:effectLst/>
      </c:spPr>
      <c:txPr>
        <a:bodyPr rot="0" vert="horz"/>
        <a:lstStyle/>
        <a:p>
          <a:pPr>
            <a:defRPr/>
          </a:pPr>
          <a:endParaRPr lang="es-DO"/>
        </a:p>
      </c:txPr>
    </c:legend>
    <c:plotVisOnly val="1"/>
    <c:dispBlanksAs val="gap"/>
    <c:showDLblsOverMax val="0"/>
  </c:chart>
  <c:spPr>
    <a:solidFill>
      <a:schemeClr val="bg1"/>
    </a:solidFill>
    <a:ln w="9525" cap="flat" cmpd="sng" algn="ctr">
      <a:noFill/>
      <a:round/>
    </a:ln>
    <a:effectLst/>
  </c:spPr>
  <c:txPr>
    <a:bodyPr/>
    <a:lstStyle/>
    <a:p>
      <a:pPr>
        <a:defRPr sz="1050">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9.8024429638602861E-2"/>
          <c:y val="1.3565791343902608E-2"/>
          <c:w val="0.88714146308634512"/>
          <c:h val="0.79355153077082474"/>
        </c:manualLayout>
      </c:layout>
      <c:barChart>
        <c:barDir val="col"/>
        <c:grouping val="stacked"/>
        <c:varyColors val="0"/>
        <c:ser>
          <c:idx val="0"/>
          <c:order val="0"/>
          <c:tx>
            <c:strRef>
              <c:f>'Figure 6_7_8'!$D$95</c:f>
              <c:strCache>
                <c:ptCount val="1"/>
                <c:pt idx="0">
                  <c:v>Employees</c:v>
                </c:pt>
              </c:strCache>
            </c:strRef>
          </c:tx>
          <c:spPr>
            <a:solidFill>
              <a:srgbClr val="31859C"/>
            </a:solidFill>
            <a:ln>
              <a:noFill/>
            </a:ln>
            <a:effectLst/>
          </c:spPr>
          <c:invertIfNegative val="0"/>
          <c:dLbls>
            <c:delete val="1"/>
          </c:dLbls>
          <c:cat>
            <c:multiLvlStrRef>
              <c:f>'Figure 6_7_8'!$B$96:$C$133</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ECU</c:v>
                  </c:pt>
                  <c:pt idx="2">
                    <c:v>BRA</c:v>
                  </c:pt>
                  <c:pt idx="4">
                    <c:v>COL</c:v>
                  </c:pt>
                  <c:pt idx="6">
                    <c:v>JAM</c:v>
                  </c:pt>
                  <c:pt idx="8">
                    <c:v>CRI</c:v>
                  </c:pt>
                  <c:pt idx="10">
                    <c:v>PER</c:v>
                  </c:pt>
                  <c:pt idx="12">
                    <c:v>VEN</c:v>
                  </c:pt>
                  <c:pt idx="14">
                    <c:v>MEX</c:v>
                  </c:pt>
                  <c:pt idx="16">
                    <c:v>URY</c:v>
                  </c:pt>
                  <c:pt idx="18">
                    <c:v>CHL</c:v>
                  </c:pt>
                  <c:pt idx="20">
                    <c:v>GTM</c:v>
                  </c:pt>
                  <c:pt idx="22">
                    <c:v>ARG</c:v>
                  </c:pt>
                  <c:pt idx="24">
                    <c:v>PAN</c:v>
                  </c:pt>
                  <c:pt idx="26">
                    <c:v>HND</c:v>
                  </c:pt>
                  <c:pt idx="28">
                    <c:v>DOM</c:v>
                  </c:pt>
                  <c:pt idx="30">
                    <c:v>BOL</c:v>
                  </c:pt>
                  <c:pt idx="32">
                    <c:v>PRY</c:v>
                  </c:pt>
                  <c:pt idx="34">
                    <c:v>SLV</c:v>
                  </c:pt>
                  <c:pt idx="36">
                    <c:v>TTO</c:v>
                  </c:pt>
                </c:lvl>
              </c:multiLvlStrCache>
            </c:multiLvlStrRef>
          </c:cat>
          <c:val>
            <c:numRef>
              <c:f>'Figure 6_7_8'!$D$96:$D$133</c:f>
              <c:numCache>
                <c:formatCode>0.0%</c:formatCode>
                <c:ptCount val="38"/>
                <c:pt idx="0" formatCode="0.00%">
                  <c:v>3.2783333145999995E-2</c:v>
                </c:pt>
                <c:pt idx="1">
                  <c:v>3.0408577062109768E-2</c:v>
                </c:pt>
                <c:pt idx="6" formatCode="0%">
                  <c:v>4.1937500000000003E-2</c:v>
                </c:pt>
                <c:pt idx="7" formatCode="0%">
                  <c:v>0.04</c:v>
                </c:pt>
                <c:pt idx="8" formatCode="0.00%">
                  <c:v>1.0821917808219178E-2</c:v>
                </c:pt>
                <c:pt idx="9">
                  <c:v>1.0821557673348671E-2</c:v>
                </c:pt>
                <c:pt idx="12" formatCode="0%">
                  <c:v>2.0000000000000004E-2</c:v>
                </c:pt>
                <c:pt idx="13" formatCode="0%">
                  <c:v>0.02</c:v>
                </c:pt>
                <c:pt idx="16" formatCode="0.00%">
                  <c:v>1.083E-3</c:v>
                </c:pt>
                <c:pt idx="17">
                  <c:v>1.0821557673348669E-3</c:v>
                </c:pt>
                <c:pt idx="18" formatCode="0%">
                  <c:v>2.0799999999999999E-2</c:v>
                </c:pt>
                <c:pt idx="19" formatCode="0%">
                  <c:v>2.1000000000000001E-2</c:v>
                </c:pt>
                <c:pt idx="20" formatCode="0.00%">
                  <c:v>0.01</c:v>
                </c:pt>
                <c:pt idx="21">
                  <c:v>0.01</c:v>
                </c:pt>
                <c:pt idx="24" formatCode="0.00%">
                  <c:v>1.3526947091685837E-2</c:v>
                </c:pt>
                <c:pt idx="25">
                  <c:v>1.3526947091685837E-2</c:v>
                </c:pt>
                <c:pt idx="26" formatCode="0%">
                  <c:v>1.0952893593127712E-2</c:v>
                </c:pt>
                <c:pt idx="27" formatCode="0%">
                  <c:v>1.4999999999999999E-2</c:v>
                </c:pt>
                <c:pt idx="28">
                  <c:v>5.4107788366743355E-3</c:v>
                </c:pt>
                <c:pt idx="29">
                  <c:v>5.4107788366743355E-3</c:v>
                </c:pt>
              </c:numCache>
            </c:numRef>
          </c:val>
          <c:extLst>
            <c:ext xmlns:c16="http://schemas.microsoft.com/office/drawing/2014/chart" uri="{C3380CC4-5D6E-409C-BE32-E72D297353CC}">
              <c16:uniqueId val="{00000001-6CB8-4D84-A8BF-E8A3DC363553}"/>
            </c:ext>
          </c:extLst>
        </c:ser>
        <c:ser>
          <c:idx val="1"/>
          <c:order val="1"/>
          <c:tx>
            <c:strRef>
              <c:f>'Figure 6_7_8'!$E$95</c:f>
              <c:strCache>
                <c:ptCount val="1"/>
                <c:pt idx="0">
                  <c:v>Employers</c:v>
                </c:pt>
              </c:strCache>
            </c:strRef>
          </c:tx>
          <c:spPr>
            <a:solidFill>
              <a:srgbClr val="93CDDD"/>
            </a:solidFill>
            <a:ln>
              <a:noFill/>
            </a:ln>
            <a:effectLst/>
          </c:spPr>
          <c:invertIfNegative val="0"/>
          <c:dLbls>
            <c:delete val="1"/>
          </c:dLbls>
          <c:cat>
            <c:multiLvlStrRef>
              <c:f>'Figure 6_7_8'!$B$96:$C$133</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ECU</c:v>
                  </c:pt>
                  <c:pt idx="2">
                    <c:v>BRA</c:v>
                  </c:pt>
                  <c:pt idx="4">
                    <c:v>COL</c:v>
                  </c:pt>
                  <c:pt idx="6">
                    <c:v>JAM</c:v>
                  </c:pt>
                  <c:pt idx="8">
                    <c:v>CRI</c:v>
                  </c:pt>
                  <c:pt idx="10">
                    <c:v>PER</c:v>
                  </c:pt>
                  <c:pt idx="12">
                    <c:v>VEN</c:v>
                  </c:pt>
                  <c:pt idx="14">
                    <c:v>MEX</c:v>
                  </c:pt>
                  <c:pt idx="16">
                    <c:v>URY</c:v>
                  </c:pt>
                  <c:pt idx="18">
                    <c:v>CHL</c:v>
                  </c:pt>
                  <c:pt idx="20">
                    <c:v>GTM</c:v>
                  </c:pt>
                  <c:pt idx="22">
                    <c:v>ARG</c:v>
                  </c:pt>
                  <c:pt idx="24">
                    <c:v>PAN</c:v>
                  </c:pt>
                  <c:pt idx="26">
                    <c:v>HND</c:v>
                  </c:pt>
                  <c:pt idx="28">
                    <c:v>DOM</c:v>
                  </c:pt>
                  <c:pt idx="30">
                    <c:v>BOL</c:v>
                  </c:pt>
                  <c:pt idx="32">
                    <c:v>PRY</c:v>
                  </c:pt>
                  <c:pt idx="34">
                    <c:v>SLV</c:v>
                  </c:pt>
                  <c:pt idx="36">
                    <c:v>TTO</c:v>
                  </c:pt>
                </c:lvl>
              </c:multiLvlStrCache>
            </c:multiLvlStrRef>
          </c:cat>
          <c:val>
            <c:numRef>
              <c:f>'Figure 6_7_8'!$E$96:$E$133</c:f>
              <c:numCache>
                <c:formatCode>0.0%</c:formatCode>
                <c:ptCount val="38"/>
                <c:pt idx="0" formatCode="0.00%">
                  <c:v>0.11547074</c:v>
                </c:pt>
                <c:pt idx="1">
                  <c:v>0.11362635557016104</c:v>
                </c:pt>
                <c:pt idx="2" formatCode="0%">
                  <c:v>0.1536712328767123</c:v>
                </c:pt>
                <c:pt idx="3" formatCode="0%">
                  <c:v>0.15150180742688135</c:v>
                </c:pt>
                <c:pt idx="4" formatCode="0%">
                  <c:v>0.13687561643835616</c:v>
                </c:pt>
                <c:pt idx="5" formatCode="0%">
                  <c:v>0.14068024975353272</c:v>
                </c:pt>
                <c:pt idx="6" formatCode="0%">
                  <c:v>9.4249999999999987E-2</c:v>
                </c:pt>
                <c:pt idx="7" formatCode="0%">
                  <c:v>9.4999999999999987E-2</c:v>
                </c:pt>
                <c:pt idx="8" formatCode="0%">
                  <c:v>0.11693013698630138</c:v>
                </c:pt>
                <c:pt idx="9">
                  <c:v>9.4688629641800887E-2</c:v>
                </c:pt>
                <c:pt idx="10" formatCode="0.00%">
                  <c:v>8.9300000000000004E-2</c:v>
                </c:pt>
                <c:pt idx="11" formatCode="0%">
                  <c:v>0.10630000000000002</c:v>
                </c:pt>
                <c:pt idx="12" formatCode="0%">
                  <c:v>6.7525000000000002E-2</c:v>
                </c:pt>
                <c:pt idx="13" formatCode="0%">
                  <c:v>6.7500000000000004E-2</c:v>
                </c:pt>
                <c:pt idx="14" formatCode="0.00%">
                  <c:v>8.3125000000000018E-2</c:v>
                </c:pt>
                <c:pt idx="15">
                  <c:v>8.3125000000000004E-2</c:v>
                </c:pt>
                <c:pt idx="16" formatCode="0.00%">
                  <c:v>7.0083000000000006E-2</c:v>
                </c:pt>
                <c:pt idx="17">
                  <c:v>7.0082155767334869E-2</c:v>
                </c:pt>
                <c:pt idx="18" formatCode="0%">
                  <c:v>4.6100000000000002E-2</c:v>
                </c:pt>
                <c:pt idx="19" formatCode="0%">
                  <c:v>4.8000000000000001E-2</c:v>
                </c:pt>
                <c:pt idx="20" formatCode="0%">
                  <c:v>0.05</c:v>
                </c:pt>
                <c:pt idx="21">
                  <c:v>0.05</c:v>
                </c:pt>
                <c:pt idx="22" formatCode="0%">
                  <c:v>6.8610958904109579E-2</c:v>
                </c:pt>
                <c:pt idx="23">
                  <c:v>7.1422280644101221E-2</c:v>
                </c:pt>
                <c:pt idx="24" formatCode="0.00%">
                  <c:v>4.1242191915872493E-2</c:v>
                </c:pt>
                <c:pt idx="25">
                  <c:v>4.1242191915872493E-2</c:v>
                </c:pt>
                <c:pt idx="26" formatCode="0%">
                  <c:v>1.9715208467629881E-2</c:v>
                </c:pt>
                <c:pt idx="27" formatCode="0%">
                  <c:v>2.7000000000000003E-2</c:v>
                </c:pt>
                <c:pt idx="28">
                  <c:v>2.1643115346697342E-2</c:v>
                </c:pt>
                <c:pt idx="29">
                  <c:v>2.1643115346697342E-2</c:v>
                </c:pt>
                <c:pt idx="30" formatCode="0%">
                  <c:v>1.7100000000000001E-2</c:v>
                </c:pt>
                <c:pt idx="31">
                  <c:v>1.7100000000000001E-2</c:v>
                </c:pt>
                <c:pt idx="32" formatCode="0%">
                  <c:v>3.2464673020046006E-2</c:v>
                </c:pt>
                <c:pt idx="33">
                  <c:v>3.2464673020046006E-2</c:v>
                </c:pt>
                <c:pt idx="34" formatCode="0%">
                  <c:v>0.01</c:v>
                </c:pt>
                <c:pt idx="35">
                  <c:v>0.01</c:v>
                </c:pt>
              </c:numCache>
            </c:numRef>
          </c:val>
          <c:extLst>
            <c:ext xmlns:c16="http://schemas.microsoft.com/office/drawing/2014/chart" uri="{C3380CC4-5D6E-409C-BE32-E72D297353CC}">
              <c16:uniqueId val="{00000003-6CB8-4D84-A8BF-E8A3DC363553}"/>
            </c:ext>
          </c:extLst>
        </c:ser>
        <c:dLbls>
          <c:dLblPos val="ctr"/>
          <c:showLegendKey val="0"/>
          <c:showVal val="1"/>
          <c:showCatName val="0"/>
          <c:showSerName val="0"/>
          <c:showPercent val="0"/>
          <c:showBubbleSize val="0"/>
        </c:dLbls>
        <c:gapWidth val="150"/>
        <c:overlap val="100"/>
        <c:axId val="271120128"/>
        <c:axId val="271101408"/>
      </c:barChart>
      <c:catAx>
        <c:axId val="2711201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7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71101408"/>
        <c:crosses val="autoZero"/>
        <c:auto val="1"/>
        <c:lblAlgn val="ctr"/>
        <c:lblOffset val="100"/>
        <c:noMultiLvlLbl val="0"/>
      </c:catAx>
      <c:valAx>
        <c:axId val="271101408"/>
        <c:scaling>
          <c:orientation val="minMax"/>
        </c:scaling>
        <c:delete val="0"/>
        <c:axPos val="l"/>
        <c:title>
          <c:tx>
            <c:rich>
              <a:bodyPr rot="-54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n-US" sz="900">
                    <a:solidFill>
                      <a:sysClr val="windowText" lastClr="000000"/>
                    </a:solidFill>
                  </a:rPr>
                  <a:t>Other contributions as % of average annual wage of formal workers</a:t>
                </a:r>
              </a:p>
            </c:rich>
          </c:tx>
          <c:layout>
            <c:manualLayout>
              <c:xMode val="edge"/>
              <c:yMode val="edge"/>
              <c:x val="1.5133770615889648E-3"/>
              <c:y val="8.3806454425666338E-2"/>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71120128"/>
        <c:crosses val="autoZero"/>
        <c:crossBetween val="between"/>
      </c:valAx>
    </c:plotArea>
    <c:legend>
      <c:legendPos val="b"/>
      <c:layout>
        <c:manualLayout>
          <c:xMode val="edge"/>
          <c:yMode val="edge"/>
          <c:x val="0.36667777104784977"/>
          <c:y val="0.95413677217157067"/>
          <c:w val="0.24979843865670637"/>
          <c:h val="4.3196234044738081E-2"/>
        </c:manualLayout>
      </c:layout>
      <c:overlay val="0"/>
      <c:spPr>
        <a:noFill/>
        <a:ln>
          <a:noFill/>
        </a:ln>
        <a:effectLst/>
      </c:spPr>
      <c:txPr>
        <a:bodyPr rot="0" spcFirstLastPara="1" vertOverflow="ellipsis" vert="horz" wrap="square" anchor="ctr" anchorCtr="1"/>
        <a:lstStyle/>
        <a:p>
          <a:pPr>
            <a:defRPr sz="10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Sheet1!$B$30</c:f>
              <c:strCache>
                <c:ptCount val="1"/>
                <c:pt idx="0">
                  <c:v>Seguridad Social del empleado</c:v>
                </c:pt>
              </c:strCache>
            </c:strRef>
          </c:tx>
          <c:spPr>
            <a:solidFill>
              <a:schemeClr val="tx2">
                <a:lumMod val="50000"/>
              </a:schemeClr>
            </a:solidFill>
          </c:spPr>
          <c:invertIfNegative val="0"/>
          <c:cat>
            <c:strRef>
              <c:f>Sheet1!$A$32:$A$52</c:f>
              <c:strCache>
                <c:ptCount val="21"/>
                <c:pt idx="0">
                  <c:v>ARG</c:v>
                </c:pt>
                <c:pt idx="1">
                  <c:v>BOL</c:v>
                </c:pt>
                <c:pt idx="2">
                  <c:v>PER</c:v>
                </c:pt>
                <c:pt idx="3">
                  <c:v>URY</c:v>
                </c:pt>
                <c:pt idx="4">
                  <c:v>BRA</c:v>
                </c:pt>
                <c:pt idx="5">
                  <c:v>COL</c:v>
                </c:pt>
                <c:pt idx="6">
                  <c:v>MEX</c:v>
                </c:pt>
                <c:pt idx="7">
                  <c:v>ECU</c:v>
                </c:pt>
                <c:pt idx="8">
                  <c:v>HND</c:v>
                </c:pt>
                <c:pt idx="9">
                  <c:v>CRI</c:v>
                </c:pt>
                <c:pt idx="10">
                  <c:v>CHL</c:v>
                </c:pt>
                <c:pt idx="11">
                  <c:v>GTM</c:v>
                </c:pt>
                <c:pt idx="12">
                  <c:v>VEN</c:v>
                </c:pt>
                <c:pt idx="13">
                  <c:v>SLV</c:v>
                </c:pt>
                <c:pt idx="14">
                  <c:v>PAN</c:v>
                </c:pt>
                <c:pt idx="15">
                  <c:v>NIC</c:v>
                </c:pt>
                <c:pt idx="16">
                  <c:v>DOM</c:v>
                </c:pt>
                <c:pt idx="17">
                  <c:v>PRY</c:v>
                </c:pt>
                <c:pt idx="18">
                  <c:v>JAM</c:v>
                </c:pt>
                <c:pt idx="19">
                  <c:v>TTO</c:v>
                </c:pt>
                <c:pt idx="20">
                  <c:v>BRB</c:v>
                </c:pt>
              </c:strCache>
            </c:strRef>
          </c:cat>
          <c:val>
            <c:numRef>
              <c:f>Sheet1!$B$32:$B$52</c:f>
              <c:numCache>
                <c:formatCode>0%</c:formatCode>
                <c:ptCount val="21"/>
                <c:pt idx="0">
                  <c:v>0.20156716417910442</c:v>
                </c:pt>
                <c:pt idx="1">
                  <c:v>0.12709999999999999</c:v>
                </c:pt>
                <c:pt idx="2">
                  <c:v>9.7500000000000003E-2</c:v>
                </c:pt>
                <c:pt idx="3">
                  <c:v>0.1999489427672575</c:v>
                </c:pt>
                <c:pt idx="4">
                  <c:v>9.3343162397179269E-2</c:v>
                </c:pt>
                <c:pt idx="5">
                  <c:v>7.6417910447761195E-2</c:v>
                </c:pt>
                <c:pt idx="6">
                  <c:v>2.631684824878975E-2</c:v>
                </c:pt>
                <c:pt idx="7">
                  <c:v>0.11309016393442625</c:v>
                </c:pt>
                <c:pt idx="8">
                  <c:v>2.3739741707387369E-2</c:v>
                </c:pt>
                <c:pt idx="9">
                  <c:v>7.4933955223880605E-2</c:v>
                </c:pt>
                <c:pt idx="10">
                  <c:v>0.19078356181553863</c:v>
                </c:pt>
                <c:pt idx="11">
                  <c:v>3.8725000000000002E-2</c:v>
                </c:pt>
                <c:pt idx="12">
                  <c:v>5.5447761194029846E-2</c:v>
                </c:pt>
                <c:pt idx="13">
                  <c:v>8.9110480164062547E-2</c:v>
                </c:pt>
                <c:pt idx="14">
                  <c:v>0.11111940298507461</c:v>
                </c:pt>
                <c:pt idx="15">
                  <c:v>4.6875E-2</c:v>
                </c:pt>
                <c:pt idx="16">
                  <c:v>4.8702985074626864E-2</c:v>
                </c:pt>
                <c:pt idx="17">
                  <c:v>9.8059701492537302E-2</c:v>
                </c:pt>
                <c:pt idx="18">
                  <c:v>6.6997479834238233E-2</c:v>
                </c:pt>
                <c:pt idx="19">
                  <c:v>4.7832083585207824E-2</c:v>
                </c:pt>
                <c:pt idx="20">
                  <c:v>9.0069550010344293E-2</c:v>
                </c:pt>
              </c:numCache>
            </c:numRef>
          </c:val>
          <c:extLst>
            <c:ext xmlns:c16="http://schemas.microsoft.com/office/drawing/2014/chart" uri="{C3380CC4-5D6E-409C-BE32-E72D297353CC}">
              <c16:uniqueId val="{00000000-65FA-43C4-802C-64777FF93C1E}"/>
            </c:ext>
          </c:extLst>
        </c:ser>
        <c:ser>
          <c:idx val="1"/>
          <c:order val="1"/>
          <c:tx>
            <c:strRef>
              <c:f>Sheet1!$C$30</c:f>
              <c:strCache>
                <c:ptCount val="1"/>
                <c:pt idx="0">
                  <c:v>Seguridad Social del empleador</c:v>
                </c:pt>
              </c:strCache>
            </c:strRef>
          </c:tx>
          <c:spPr>
            <a:solidFill>
              <a:schemeClr val="accent1">
                <a:lumMod val="75000"/>
              </a:schemeClr>
            </a:solidFill>
          </c:spPr>
          <c:invertIfNegative val="0"/>
          <c:cat>
            <c:strRef>
              <c:f>Sheet1!$A$32:$A$52</c:f>
              <c:strCache>
                <c:ptCount val="21"/>
                <c:pt idx="0">
                  <c:v>ARG</c:v>
                </c:pt>
                <c:pt idx="1">
                  <c:v>BOL</c:v>
                </c:pt>
                <c:pt idx="2">
                  <c:v>PER</c:v>
                </c:pt>
                <c:pt idx="3">
                  <c:v>URY</c:v>
                </c:pt>
                <c:pt idx="4">
                  <c:v>BRA</c:v>
                </c:pt>
                <c:pt idx="5">
                  <c:v>COL</c:v>
                </c:pt>
                <c:pt idx="6">
                  <c:v>MEX</c:v>
                </c:pt>
                <c:pt idx="7">
                  <c:v>ECU</c:v>
                </c:pt>
                <c:pt idx="8">
                  <c:v>HND</c:v>
                </c:pt>
                <c:pt idx="9">
                  <c:v>CRI</c:v>
                </c:pt>
                <c:pt idx="10">
                  <c:v>CHL</c:v>
                </c:pt>
                <c:pt idx="11">
                  <c:v>GTM</c:v>
                </c:pt>
                <c:pt idx="12">
                  <c:v>VEN</c:v>
                </c:pt>
                <c:pt idx="13">
                  <c:v>SLV</c:v>
                </c:pt>
                <c:pt idx="14">
                  <c:v>PAN</c:v>
                </c:pt>
                <c:pt idx="15">
                  <c:v>NIC</c:v>
                </c:pt>
                <c:pt idx="16">
                  <c:v>DOM</c:v>
                </c:pt>
                <c:pt idx="17">
                  <c:v>PRY</c:v>
                </c:pt>
                <c:pt idx="18">
                  <c:v>JAM</c:v>
                </c:pt>
                <c:pt idx="19">
                  <c:v>TTO</c:v>
                </c:pt>
                <c:pt idx="20">
                  <c:v>BRB</c:v>
                </c:pt>
              </c:strCache>
            </c:strRef>
          </c:cat>
          <c:val>
            <c:numRef>
              <c:f>Sheet1!$C$32:$C$52</c:f>
              <c:numCache>
                <c:formatCode>0%</c:formatCode>
                <c:ptCount val="21"/>
                <c:pt idx="0">
                  <c:v>0.28328358208955223</c:v>
                </c:pt>
                <c:pt idx="1">
                  <c:v>0.16710000000000003</c:v>
                </c:pt>
                <c:pt idx="2">
                  <c:v>7.2224999999999998E-2</c:v>
                </c:pt>
                <c:pt idx="3">
                  <c:v>0.19525000000000001</c:v>
                </c:pt>
                <c:pt idx="4">
                  <c:v>0.3410251320446358</c:v>
                </c:pt>
                <c:pt idx="5">
                  <c:v>0.35926895522388058</c:v>
                </c:pt>
                <c:pt idx="6">
                  <c:v>0.21273418204389907</c:v>
                </c:pt>
                <c:pt idx="7">
                  <c:v>0.13097745901639346</c:v>
                </c:pt>
                <c:pt idx="8">
                  <c:v>4.6055098912331498E-2</c:v>
                </c:pt>
                <c:pt idx="9">
                  <c:v>0.2138518656716418</c:v>
                </c:pt>
                <c:pt idx="10">
                  <c:v>4.6100000000000002E-2</c:v>
                </c:pt>
                <c:pt idx="11">
                  <c:v>0.10752500000000001</c:v>
                </c:pt>
                <c:pt idx="12">
                  <c:v>0.15749999999999997</c:v>
                </c:pt>
                <c:pt idx="13">
                  <c:v>0.14402620041015635</c:v>
                </c:pt>
                <c:pt idx="14">
                  <c:v>0.13923528358208956</c:v>
                </c:pt>
                <c:pt idx="15">
                  <c:v>0.1417910447761194</c:v>
                </c:pt>
                <c:pt idx="16">
                  <c:v>0.13573116776012031</c:v>
                </c:pt>
                <c:pt idx="17">
                  <c:v>0.16343283582089554</c:v>
                </c:pt>
                <c:pt idx="18">
                  <c:v>0.11999742840228392</c:v>
                </c:pt>
                <c:pt idx="19">
                  <c:v>7.7724540107612206E-2</c:v>
                </c:pt>
                <c:pt idx="20">
                  <c:v>0.10476030901090666</c:v>
                </c:pt>
              </c:numCache>
            </c:numRef>
          </c:val>
          <c:extLst>
            <c:ext xmlns:c16="http://schemas.microsoft.com/office/drawing/2014/chart" uri="{C3380CC4-5D6E-409C-BE32-E72D297353CC}">
              <c16:uniqueId val="{00000001-65FA-43C4-802C-64777FF93C1E}"/>
            </c:ext>
          </c:extLst>
        </c:ser>
        <c:ser>
          <c:idx val="2"/>
          <c:order val="2"/>
          <c:tx>
            <c:strRef>
              <c:f>Sheet1!$D$30</c:f>
              <c:strCache>
                <c:ptCount val="1"/>
                <c:pt idx="0">
                  <c:v>Vacaciones</c:v>
                </c:pt>
              </c:strCache>
            </c:strRef>
          </c:tx>
          <c:spPr>
            <a:solidFill>
              <a:schemeClr val="accent1">
                <a:lumMod val="60000"/>
                <a:lumOff val="40000"/>
              </a:schemeClr>
            </a:solidFill>
          </c:spPr>
          <c:invertIfNegative val="0"/>
          <c:cat>
            <c:strRef>
              <c:f>Sheet1!$A$32:$A$52</c:f>
              <c:strCache>
                <c:ptCount val="21"/>
                <c:pt idx="0">
                  <c:v>ARG</c:v>
                </c:pt>
                <c:pt idx="1">
                  <c:v>BOL</c:v>
                </c:pt>
                <c:pt idx="2">
                  <c:v>PER</c:v>
                </c:pt>
                <c:pt idx="3">
                  <c:v>URY</c:v>
                </c:pt>
                <c:pt idx="4">
                  <c:v>BRA</c:v>
                </c:pt>
                <c:pt idx="5">
                  <c:v>COL</c:v>
                </c:pt>
                <c:pt idx="6">
                  <c:v>MEX</c:v>
                </c:pt>
                <c:pt idx="7">
                  <c:v>ECU</c:v>
                </c:pt>
                <c:pt idx="8">
                  <c:v>HND</c:v>
                </c:pt>
                <c:pt idx="9">
                  <c:v>CRI</c:v>
                </c:pt>
                <c:pt idx="10">
                  <c:v>CHL</c:v>
                </c:pt>
                <c:pt idx="11">
                  <c:v>GTM</c:v>
                </c:pt>
                <c:pt idx="12">
                  <c:v>VEN</c:v>
                </c:pt>
                <c:pt idx="13">
                  <c:v>SLV</c:v>
                </c:pt>
                <c:pt idx="14">
                  <c:v>PAN</c:v>
                </c:pt>
                <c:pt idx="15">
                  <c:v>NIC</c:v>
                </c:pt>
                <c:pt idx="16">
                  <c:v>DOM</c:v>
                </c:pt>
                <c:pt idx="17">
                  <c:v>PRY</c:v>
                </c:pt>
                <c:pt idx="18">
                  <c:v>JAM</c:v>
                </c:pt>
                <c:pt idx="19">
                  <c:v>TTO</c:v>
                </c:pt>
                <c:pt idx="20">
                  <c:v>BRB</c:v>
                </c:pt>
              </c:strCache>
            </c:strRef>
          </c:cat>
          <c:val>
            <c:numRef>
              <c:f>Sheet1!$D$32:$D$52</c:f>
              <c:numCache>
                <c:formatCode>0%</c:formatCode>
                <c:ptCount val="21"/>
                <c:pt idx="0">
                  <c:v>3.888888888888889E-2</c:v>
                </c:pt>
                <c:pt idx="1">
                  <c:v>5.5555555555555552E-2</c:v>
                </c:pt>
                <c:pt idx="2">
                  <c:v>8.3333333333333329E-2</c:v>
                </c:pt>
                <c:pt idx="3">
                  <c:v>5.8333333333333334E-2</c:v>
                </c:pt>
                <c:pt idx="4">
                  <c:v>0.1111111111111111</c:v>
                </c:pt>
                <c:pt idx="5">
                  <c:v>4.1666666666666664E-2</c:v>
                </c:pt>
                <c:pt idx="6">
                  <c:v>3.888888888888889E-2</c:v>
                </c:pt>
                <c:pt idx="7">
                  <c:v>4.1666666666666664E-2</c:v>
                </c:pt>
                <c:pt idx="8">
                  <c:v>5.5555555555555552E-2</c:v>
                </c:pt>
                <c:pt idx="9">
                  <c:v>3.888888888888889E-2</c:v>
                </c:pt>
                <c:pt idx="10">
                  <c:v>4.1666666666666699E-2</c:v>
                </c:pt>
                <c:pt idx="11">
                  <c:v>4.1666666666666664E-2</c:v>
                </c:pt>
                <c:pt idx="12">
                  <c:v>5.2777777777777778E-2</c:v>
                </c:pt>
                <c:pt idx="13">
                  <c:v>6.6666666666666666E-2</c:v>
                </c:pt>
                <c:pt idx="14">
                  <c:v>8.3333333333333329E-2</c:v>
                </c:pt>
                <c:pt idx="15">
                  <c:v>8.3333333333333329E-2</c:v>
                </c:pt>
                <c:pt idx="16">
                  <c:v>0.05</c:v>
                </c:pt>
                <c:pt idx="17">
                  <c:v>3.3333333333333333E-2</c:v>
                </c:pt>
                <c:pt idx="18">
                  <c:v>3.888888888888889E-2</c:v>
                </c:pt>
                <c:pt idx="19">
                  <c:v>0</c:v>
                </c:pt>
                <c:pt idx="20">
                  <c:v>0</c:v>
                </c:pt>
              </c:numCache>
            </c:numRef>
          </c:val>
          <c:extLst>
            <c:ext xmlns:c16="http://schemas.microsoft.com/office/drawing/2014/chart" uri="{C3380CC4-5D6E-409C-BE32-E72D297353CC}">
              <c16:uniqueId val="{00000002-65FA-43C4-802C-64777FF93C1E}"/>
            </c:ext>
          </c:extLst>
        </c:ser>
        <c:ser>
          <c:idx val="3"/>
          <c:order val="3"/>
          <c:tx>
            <c:strRef>
              <c:f>Sheet1!$E$30</c:f>
              <c:strCache>
                <c:ptCount val="1"/>
                <c:pt idx="0">
                  <c:v>Aguinaldo</c:v>
                </c:pt>
              </c:strCache>
            </c:strRef>
          </c:tx>
          <c:spPr>
            <a:solidFill>
              <a:schemeClr val="accent1">
                <a:lumMod val="20000"/>
                <a:lumOff val="80000"/>
              </a:schemeClr>
            </a:solidFill>
          </c:spPr>
          <c:invertIfNegative val="0"/>
          <c:cat>
            <c:strRef>
              <c:f>Sheet1!$A$32:$A$52</c:f>
              <c:strCache>
                <c:ptCount val="21"/>
                <c:pt idx="0">
                  <c:v>ARG</c:v>
                </c:pt>
                <c:pt idx="1">
                  <c:v>BOL</c:v>
                </c:pt>
                <c:pt idx="2">
                  <c:v>PER</c:v>
                </c:pt>
                <c:pt idx="3">
                  <c:v>URY</c:v>
                </c:pt>
                <c:pt idx="4">
                  <c:v>BRA</c:v>
                </c:pt>
                <c:pt idx="5">
                  <c:v>COL</c:v>
                </c:pt>
                <c:pt idx="6">
                  <c:v>MEX</c:v>
                </c:pt>
                <c:pt idx="7">
                  <c:v>ECU</c:v>
                </c:pt>
                <c:pt idx="8">
                  <c:v>HND</c:v>
                </c:pt>
                <c:pt idx="9">
                  <c:v>CRI</c:v>
                </c:pt>
                <c:pt idx="10">
                  <c:v>CHL</c:v>
                </c:pt>
                <c:pt idx="11">
                  <c:v>GTM</c:v>
                </c:pt>
                <c:pt idx="12">
                  <c:v>VEN</c:v>
                </c:pt>
                <c:pt idx="13">
                  <c:v>SLV</c:v>
                </c:pt>
                <c:pt idx="14">
                  <c:v>PAN</c:v>
                </c:pt>
                <c:pt idx="15">
                  <c:v>NIC</c:v>
                </c:pt>
                <c:pt idx="16">
                  <c:v>DOM</c:v>
                </c:pt>
                <c:pt idx="17">
                  <c:v>PRY</c:v>
                </c:pt>
                <c:pt idx="18">
                  <c:v>JAM</c:v>
                </c:pt>
                <c:pt idx="19">
                  <c:v>TTO</c:v>
                </c:pt>
                <c:pt idx="20">
                  <c:v>BRB</c:v>
                </c:pt>
              </c:strCache>
            </c:strRef>
          </c:cat>
          <c:val>
            <c:numRef>
              <c:f>Sheet1!$E$32:$E$52</c:f>
              <c:numCache>
                <c:formatCode>0%</c:formatCode>
                <c:ptCount val="21"/>
                <c:pt idx="0">
                  <c:v>8.3333333333333329E-2</c:v>
                </c:pt>
                <c:pt idx="1">
                  <c:v>0.16666666666666666</c:v>
                </c:pt>
                <c:pt idx="2">
                  <c:v>0.16666666666666666</c:v>
                </c:pt>
                <c:pt idx="3">
                  <c:v>8.3333333333333329E-2</c:v>
                </c:pt>
                <c:pt idx="4">
                  <c:v>8.3333333333333329E-2</c:v>
                </c:pt>
                <c:pt idx="5">
                  <c:v>8.3333333333333329E-2</c:v>
                </c:pt>
                <c:pt idx="6">
                  <c:v>4.1666666666666664E-2</c:v>
                </c:pt>
                <c:pt idx="7">
                  <c:v>0.13271380530798838</c:v>
                </c:pt>
                <c:pt idx="8">
                  <c:v>0.16666666666666666</c:v>
                </c:pt>
                <c:pt idx="9">
                  <c:v>8.3333333333333329E-2</c:v>
                </c:pt>
                <c:pt idx="10">
                  <c:v>0</c:v>
                </c:pt>
                <c:pt idx="11">
                  <c:v>0.16666666666666666</c:v>
                </c:pt>
                <c:pt idx="12">
                  <c:v>8.3333333333333329E-2</c:v>
                </c:pt>
                <c:pt idx="13">
                  <c:v>4.1666666666666664E-2</c:v>
                </c:pt>
                <c:pt idx="14">
                  <c:v>8.3333333333333329E-2</c:v>
                </c:pt>
                <c:pt idx="15">
                  <c:v>8.3333333333333329E-2</c:v>
                </c:pt>
                <c:pt idx="16">
                  <c:v>8.3333333333333329E-2</c:v>
                </c:pt>
                <c:pt idx="17">
                  <c:v>8.3333333333333329E-2</c:v>
                </c:pt>
                <c:pt idx="18">
                  <c:v>0</c:v>
                </c:pt>
                <c:pt idx="19">
                  <c:v>3.7433155080213901E-2</c:v>
                </c:pt>
                <c:pt idx="20">
                  <c:v>3.7433155080213901E-2</c:v>
                </c:pt>
              </c:numCache>
            </c:numRef>
          </c:val>
          <c:extLst>
            <c:ext xmlns:c16="http://schemas.microsoft.com/office/drawing/2014/chart" uri="{C3380CC4-5D6E-409C-BE32-E72D297353CC}">
              <c16:uniqueId val="{00000003-65FA-43C4-802C-64777FF93C1E}"/>
            </c:ext>
          </c:extLst>
        </c:ser>
        <c:ser>
          <c:idx val="4"/>
          <c:order val="4"/>
          <c:tx>
            <c:strRef>
              <c:f>Sheet1!$F$31</c:f>
              <c:strCache>
                <c:ptCount val="1"/>
                <c:pt idx="0">
                  <c:v>Despido (stock)</c:v>
                </c:pt>
              </c:strCache>
            </c:strRef>
          </c:tx>
          <c:spPr>
            <a:solidFill>
              <a:schemeClr val="bg1">
                <a:lumMod val="50000"/>
              </a:schemeClr>
            </a:solidFill>
          </c:spPr>
          <c:invertIfNegative val="0"/>
          <c:cat>
            <c:strRef>
              <c:f>Sheet1!$A$32:$A$52</c:f>
              <c:strCache>
                <c:ptCount val="21"/>
                <c:pt idx="0">
                  <c:v>ARG</c:v>
                </c:pt>
                <c:pt idx="1">
                  <c:v>BOL</c:v>
                </c:pt>
                <c:pt idx="2">
                  <c:v>PER</c:v>
                </c:pt>
                <c:pt idx="3">
                  <c:v>URY</c:v>
                </c:pt>
                <c:pt idx="4">
                  <c:v>BRA</c:v>
                </c:pt>
                <c:pt idx="5">
                  <c:v>COL</c:v>
                </c:pt>
                <c:pt idx="6">
                  <c:v>MEX</c:v>
                </c:pt>
                <c:pt idx="7">
                  <c:v>ECU</c:v>
                </c:pt>
                <c:pt idx="8">
                  <c:v>HND</c:v>
                </c:pt>
                <c:pt idx="9">
                  <c:v>CRI</c:v>
                </c:pt>
                <c:pt idx="10">
                  <c:v>CHL</c:v>
                </c:pt>
                <c:pt idx="11">
                  <c:v>GTM</c:v>
                </c:pt>
                <c:pt idx="12">
                  <c:v>VEN</c:v>
                </c:pt>
                <c:pt idx="13">
                  <c:v>SLV</c:v>
                </c:pt>
                <c:pt idx="14">
                  <c:v>PAN</c:v>
                </c:pt>
                <c:pt idx="15">
                  <c:v>NIC</c:v>
                </c:pt>
                <c:pt idx="16">
                  <c:v>DOM</c:v>
                </c:pt>
                <c:pt idx="17">
                  <c:v>PRY</c:v>
                </c:pt>
                <c:pt idx="18">
                  <c:v>JAM</c:v>
                </c:pt>
                <c:pt idx="19">
                  <c:v>TTO</c:v>
                </c:pt>
                <c:pt idx="20">
                  <c:v>BRB</c:v>
                </c:pt>
              </c:strCache>
            </c:strRef>
          </c:cat>
          <c:val>
            <c:numRef>
              <c:f>Sheet1!$F$32:$F$52</c:f>
              <c:numCache>
                <c:formatCode>0%</c:formatCode>
                <c:ptCount val="21"/>
                <c:pt idx="0">
                  <c:v>0.41666666666666674</c:v>
                </c:pt>
                <c:pt idx="1">
                  <c:v>0.41666666666666696</c:v>
                </c:pt>
                <c:pt idx="2">
                  <c:v>0.625</c:v>
                </c:pt>
                <c:pt idx="3">
                  <c:v>0.49722222222222223</c:v>
                </c:pt>
                <c:pt idx="4">
                  <c:v>0.16</c:v>
                </c:pt>
                <c:pt idx="5">
                  <c:v>0.30555555555555602</c:v>
                </c:pt>
                <c:pt idx="6">
                  <c:v>0.52777777777777779</c:v>
                </c:pt>
                <c:pt idx="7">
                  <c:v>0.41666666666666674</c:v>
                </c:pt>
                <c:pt idx="8">
                  <c:v>0.41666666666666674</c:v>
                </c:pt>
                <c:pt idx="9">
                  <c:v>0.29499999999999998</c:v>
                </c:pt>
                <c:pt idx="10">
                  <c:v>0.41666666666666674</c:v>
                </c:pt>
                <c:pt idx="11">
                  <c:v>0.41666666666666674</c:v>
                </c:pt>
                <c:pt idx="12">
                  <c:v>0.41666666666666674</c:v>
                </c:pt>
                <c:pt idx="13">
                  <c:v>0.41666666666666674</c:v>
                </c:pt>
                <c:pt idx="14">
                  <c:v>0.33055555555555605</c:v>
                </c:pt>
                <c:pt idx="15">
                  <c:v>0.36111111111111105</c:v>
                </c:pt>
                <c:pt idx="16">
                  <c:v>0.31944444444444442</c:v>
                </c:pt>
                <c:pt idx="17">
                  <c:v>0.20833333333333301</c:v>
                </c:pt>
                <c:pt idx="18">
                  <c:v>0.19444444444444445</c:v>
                </c:pt>
                <c:pt idx="19">
                  <c:v>0.3125</c:v>
                </c:pt>
                <c:pt idx="20">
                  <c:v>0.19444444444444448</c:v>
                </c:pt>
              </c:numCache>
            </c:numRef>
          </c:val>
          <c:extLst>
            <c:ext xmlns:c16="http://schemas.microsoft.com/office/drawing/2014/chart" uri="{C3380CC4-5D6E-409C-BE32-E72D297353CC}">
              <c16:uniqueId val="{00000004-65FA-43C4-802C-64777FF93C1E}"/>
            </c:ext>
          </c:extLst>
        </c:ser>
        <c:ser>
          <c:idx val="5"/>
          <c:order val="5"/>
          <c:tx>
            <c:strRef>
              <c:f>Sheet1!$G$31</c:f>
              <c:strCache>
                <c:ptCount val="1"/>
                <c:pt idx="0">
                  <c:v>Aviso Previo (Stock)</c:v>
                </c:pt>
              </c:strCache>
            </c:strRef>
          </c:tx>
          <c:spPr>
            <a:solidFill>
              <a:schemeClr val="tx1"/>
            </a:solidFill>
          </c:spPr>
          <c:invertIfNegative val="0"/>
          <c:cat>
            <c:strRef>
              <c:f>Sheet1!$A$32:$A$52</c:f>
              <c:strCache>
                <c:ptCount val="21"/>
                <c:pt idx="0">
                  <c:v>ARG</c:v>
                </c:pt>
                <c:pt idx="1">
                  <c:v>BOL</c:v>
                </c:pt>
                <c:pt idx="2">
                  <c:v>PER</c:v>
                </c:pt>
                <c:pt idx="3">
                  <c:v>URY</c:v>
                </c:pt>
                <c:pt idx="4">
                  <c:v>BRA</c:v>
                </c:pt>
                <c:pt idx="5">
                  <c:v>COL</c:v>
                </c:pt>
                <c:pt idx="6">
                  <c:v>MEX</c:v>
                </c:pt>
                <c:pt idx="7">
                  <c:v>ECU</c:v>
                </c:pt>
                <c:pt idx="8">
                  <c:v>HND</c:v>
                </c:pt>
                <c:pt idx="9">
                  <c:v>CRI</c:v>
                </c:pt>
                <c:pt idx="10">
                  <c:v>CHL</c:v>
                </c:pt>
                <c:pt idx="11">
                  <c:v>GTM</c:v>
                </c:pt>
                <c:pt idx="12">
                  <c:v>VEN</c:v>
                </c:pt>
                <c:pt idx="13">
                  <c:v>SLV</c:v>
                </c:pt>
                <c:pt idx="14">
                  <c:v>PAN</c:v>
                </c:pt>
                <c:pt idx="15">
                  <c:v>NIC</c:v>
                </c:pt>
                <c:pt idx="16">
                  <c:v>DOM</c:v>
                </c:pt>
                <c:pt idx="17">
                  <c:v>PRY</c:v>
                </c:pt>
                <c:pt idx="18">
                  <c:v>JAM</c:v>
                </c:pt>
                <c:pt idx="19">
                  <c:v>TTO</c:v>
                </c:pt>
                <c:pt idx="20">
                  <c:v>BRB</c:v>
                </c:pt>
              </c:strCache>
            </c:strRef>
          </c:cat>
          <c:val>
            <c:numRef>
              <c:f>Sheet1!$G$32:$G$52</c:f>
              <c:numCache>
                <c:formatCode>0%</c:formatCode>
                <c:ptCount val="21"/>
                <c:pt idx="0">
                  <c:v>0.16666666666666696</c:v>
                </c:pt>
                <c:pt idx="1">
                  <c:v>0.25</c:v>
                </c:pt>
                <c:pt idx="2">
                  <c:v>0</c:v>
                </c:pt>
                <c:pt idx="3">
                  <c:v>0</c:v>
                </c:pt>
                <c:pt idx="4">
                  <c:v>0.116666666666667</c:v>
                </c:pt>
                <c:pt idx="5">
                  <c:v>2.0833333333333332E-2</c:v>
                </c:pt>
                <c:pt idx="6">
                  <c:v>0</c:v>
                </c:pt>
                <c:pt idx="7">
                  <c:v>0</c:v>
                </c:pt>
                <c:pt idx="8">
                  <c:v>8.3333333333333301E-2</c:v>
                </c:pt>
                <c:pt idx="9">
                  <c:v>8.3333333333333301E-2</c:v>
                </c:pt>
                <c:pt idx="10">
                  <c:v>8.3333333333333329E-2</c:v>
                </c:pt>
                <c:pt idx="11">
                  <c:v>0</c:v>
                </c:pt>
                <c:pt idx="12">
                  <c:v>0</c:v>
                </c:pt>
                <c:pt idx="13">
                  <c:v>0</c:v>
                </c:pt>
                <c:pt idx="14">
                  <c:v>0</c:v>
                </c:pt>
                <c:pt idx="15">
                  <c:v>0</c:v>
                </c:pt>
                <c:pt idx="16">
                  <c:v>7.7777777777777807E-2</c:v>
                </c:pt>
                <c:pt idx="17">
                  <c:v>0.125</c:v>
                </c:pt>
                <c:pt idx="18">
                  <c:v>7.7777777777777807E-2</c:v>
                </c:pt>
                <c:pt idx="19">
                  <c:v>0</c:v>
                </c:pt>
              </c:numCache>
            </c:numRef>
          </c:val>
          <c:extLst>
            <c:ext xmlns:c16="http://schemas.microsoft.com/office/drawing/2014/chart" uri="{C3380CC4-5D6E-409C-BE32-E72D297353CC}">
              <c16:uniqueId val="{00000005-65FA-43C4-802C-64777FF93C1E}"/>
            </c:ext>
          </c:extLst>
        </c:ser>
        <c:dLbls>
          <c:showLegendKey val="0"/>
          <c:showVal val="0"/>
          <c:showCatName val="0"/>
          <c:showSerName val="0"/>
          <c:showPercent val="0"/>
          <c:showBubbleSize val="0"/>
        </c:dLbls>
        <c:gapWidth val="150"/>
        <c:overlap val="100"/>
        <c:axId val="231409536"/>
        <c:axId val="231411072"/>
      </c:barChart>
      <c:lineChart>
        <c:grouping val="standard"/>
        <c:varyColors val="0"/>
        <c:ser>
          <c:idx val="6"/>
          <c:order val="6"/>
          <c:tx>
            <c:strRef>
              <c:f>Sheet1!$I$30</c:f>
              <c:strCache>
                <c:ptCount val="1"/>
                <c:pt idx="0">
                  <c:v>ALC: 80%</c:v>
                </c:pt>
              </c:strCache>
            </c:strRef>
          </c:tx>
          <c:spPr>
            <a:ln>
              <a:prstDash val="sysDot"/>
            </a:ln>
          </c:spPr>
          <c:marker>
            <c:symbol val="none"/>
          </c:marker>
          <c:dLbls>
            <c:dLbl>
              <c:idx val="20"/>
              <c:layout>
                <c:manualLayout>
                  <c:x val="-8.7145957539197065E-3"/>
                  <c:y val="-3.6908876730164145E-2"/>
                </c:manualLayout>
              </c:layout>
              <c:spPr/>
              <c:txPr>
                <a:bodyPr/>
                <a:lstStyle/>
                <a:p>
                  <a:pPr>
                    <a:defRPr b="1"/>
                  </a:pPr>
                  <a:endParaRPr lang="es-DO"/>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5FA-43C4-802C-64777FF93C1E}"/>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val>
            <c:numRef>
              <c:f>Sheet1!$I$32:$I$52</c:f>
              <c:numCache>
                <c:formatCode>0%</c:formatCode>
                <c:ptCount val="21"/>
                <c:pt idx="0">
                  <c:v>0.80300000000000005</c:v>
                </c:pt>
                <c:pt idx="1">
                  <c:v>0.80300000000000005</c:v>
                </c:pt>
                <c:pt idx="2">
                  <c:v>0.80300000000000005</c:v>
                </c:pt>
                <c:pt idx="3">
                  <c:v>0.80300000000000005</c:v>
                </c:pt>
                <c:pt idx="4">
                  <c:v>0.80300000000000005</c:v>
                </c:pt>
                <c:pt idx="5">
                  <c:v>0.80300000000000005</c:v>
                </c:pt>
                <c:pt idx="6">
                  <c:v>0.80300000000000005</c:v>
                </c:pt>
                <c:pt idx="7">
                  <c:v>0.80300000000000005</c:v>
                </c:pt>
                <c:pt idx="8">
                  <c:v>0.80300000000000005</c:v>
                </c:pt>
                <c:pt idx="9">
                  <c:v>0.80300000000000005</c:v>
                </c:pt>
                <c:pt idx="10">
                  <c:v>0.80300000000000005</c:v>
                </c:pt>
                <c:pt idx="11">
                  <c:v>0.80300000000000005</c:v>
                </c:pt>
                <c:pt idx="12">
                  <c:v>0.80300000000000005</c:v>
                </c:pt>
                <c:pt idx="13">
                  <c:v>0.80300000000000005</c:v>
                </c:pt>
                <c:pt idx="14">
                  <c:v>0.80300000000000005</c:v>
                </c:pt>
                <c:pt idx="15">
                  <c:v>0.80300000000000005</c:v>
                </c:pt>
                <c:pt idx="16">
                  <c:v>0.80300000000000005</c:v>
                </c:pt>
                <c:pt idx="17">
                  <c:v>0.80300000000000005</c:v>
                </c:pt>
                <c:pt idx="18">
                  <c:v>0.80300000000000005</c:v>
                </c:pt>
                <c:pt idx="19">
                  <c:v>0.80300000000000005</c:v>
                </c:pt>
                <c:pt idx="20">
                  <c:v>0.80300000000000005</c:v>
                </c:pt>
              </c:numCache>
            </c:numRef>
          </c:val>
          <c:smooth val="0"/>
          <c:extLst>
            <c:ext xmlns:c16="http://schemas.microsoft.com/office/drawing/2014/chart" uri="{C3380CC4-5D6E-409C-BE32-E72D297353CC}">
              <c16:uniqueId val="{00000007-65FA-43C4-802C-64777FF93C1E}"/>
            </c:ext>
          </c:extLst>
        </c:ser>
        <c:dLbls>
          <c:showLegendKey val="0"/>
          <c:showVal val="0"/>
          <c:showCatName val="0"/>
          <c:showSerName val="0"/>
          <c:showPercent val="0"/>
          <c:showBubbleSize val="0"/>
        </c:dLbls>
        <c:marker val="1"/>
        <c:smooth val="0"/>
        <c:axId val="231409536"/>
        <c:axId val="231411072"/>
      </c:lineChart>
      <c:catAx>
        <c:axId val="231409536"/>
        <c:scaling>
          <c:orientation val="minMax"/>
        </c:scaling>
        <c:delete val="0"/>
        <c:axPos val="b"/>
        <c:numFmt formatCode="General" sourceLinked="0"/>
        <c:majorTickMark val="out"/>
        <c:minorTickMark val="none"/>
        <c:tickLblPos val="nextTo"/>
        <c:crossAx val="231411072"/>
        <c:crosses val="autoZero"/>
        <c:auto val="1"/>
        <c:lblAlgn val="ctr"/>
        <c:lblOffset val="100"/>
        <c:noMultiLvlLbl val="0"/>
      </c:catAx>
      <c:valAx>
        <c:axId val="231411072"/>
        <c:scaling>
          <c:orientation val="minMax"/>
          <c:max val="1.25"/>
          <c:min val="0"/>
        </c:scaling>
        <c:delete val="0"/>
        <c:axPos val="l"/>
        <c:title>
          <c:tx>
            <c:rich>
              <a:bodyPr rot="-5400000" vert="horz"/>
              <a:lstStyle/>
              <a:p>
                <a:pPr>
                  <a:defRPr/>
                </a:pPr>
                <a:r>
                  <a:rPr lang="en-US"/>
                  <a:t>Costos no salariales como porcentaje (%) del salario anual</a:t>
                </a:r>
              </a:p>
            </c:rich>
          </c:tx>
          <c:overlay val="0"/>
        </c:title>
        <c:numFmt formatCode="0%" sourceLinked="1"/>
        <c:majorTickMark val="out"/>
        <c:minorTickMark val="none"/>
        <c:tickLblPos val="nextTo"/>
        <c:crossAx val="231409536"/>
        <c:crosses val="autoZero"/>
        <c:crossBetween val="between"/>
      </c:valAx>
    </c:plotArea>
    <c:legend>
      <c:legendPos val="b"/>
      <c:layout>
        <c:manualLayout>
          <c:xMode val="edge"/>
          <c:yMode val="edge"/>
          <c:x val="8.6905379801296243E-2"/>
          <c:y val="0.87492250104623592"/>
          <c:w val="0.85756164787378963"/>
          <c:h val="0.1066230605886820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7"/>
    </mc:Choice>
    <mc:Fallback>
      <c:style val="7"/>
    </mc:Fallback>
  </mc:AlternateContent>
  <c:chart>
    <c:autoTitleDeleted val="1"/>
    <c:plotArea>
      <c:layout>
        <c:manualLayout>
          <c:layoutTarget val="inner"/>
          <c:xMode val="edge"/>
          <c:yMode val="edge"/>
          <c:x val="0.11152012248468941"/>
          <c:y val="2.7328865513274687E-2"/>
          <c:w val="0.87498048320882971"/>
          <c:h val="0.74042771988353395"/>
        </c:manualLayout>
      </c:layout>
      <c:barChart>
        <c:barDir val="col"/>
        <c:grouping val="stacked"/>
        <c:varyColors val="0"/>
        <c:ser>
          <c:idx val="0"/>
          <c:order val="0"/>
          <c:tx>
            <c:strRef>
              <c:f>'Figure 9'!$C$30</c:f>
              <c:strCache>
                <c:ptCount val="1"/>
                <c:pt idx="0">
                  <c:v>Pensions</c:v>
                </c:pt>
              </c:strCache>
            </c:strRef>
          </c:tx>
          <c:spPr>
            <a:solidFill>
              <a:srgbClr val="215968"/>
            </a:solidFill>
            <a:ln>
              <a:noFill/>
            </a:ln>
            <a:effectLst/>
          </c:spPr>
          <c:invertIfNegative val="0"/>
          <c:dLbls>
            <c:delete val="1"/>
          </c:dLbls>
          <c:cat>
            <c:multiLvlStrRef>
              <c:f>'Figure 9'!$A$31:$B$66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URY</c:v>
                  </c:pt>
                  <c:pt idx="2">
                    <c:v>CHL</c:v>
                  </c:pt>
                  <c:pt idx="4">
                    <c:v>ARG</c:v>
                  </c:pt>
                  <c:pt idx="6">
                    <c:v>PER</c:v>
                  </c:pt>
                  <c:pt idx="8">
                    <c:v>BOL</c:v>
                  </c:pt>
                  <c:pt idx="10">
                    <c:v>PAN</c:v>
                  </c:pt>
                  <c:pt idx="12">
                    <c:v>ECU</c:v>
                  </c:pt>
                  <c:pt idx="14">
                    <c:v>CRI</c:v>
                  </c:pt>
                  <c:pt idx="16">
                    <c:v>BRA</c:v>
                  </c:pt>
                  <c:pt idx="18">
                    <c:v>PRY</c:v>
                  </c:pt>
                  <c:pt idx="20">
                    <c:v>SLV</c:v>
                  </c:pt>
                  <c:pt idx="22">
                    <c:v>COL</c:v>
                  </c:pt>
                  <c:pt idx="24">
                    <c:v>JAM</c:v>
                  </c:pt>
                  <c:pt idx="26">
                    <c:v>DOM</c:v>
                  </c:pt>
                  <c:pt idx="28">
                    <c:v>VEN</c:v>
                  </c:pt>
                  <c:pt idx="30">
                    <c:v>GTM</c:v>
                  </c:pt>
                  <c:pt idx="32">
                    <c:v>TTO</c:v>
                  </c:pt>
                  <c:pt idx="34">
                    <c:v>HND</c:v>
                  </c:pt>
                </c:lvl>
              </c:multiLvlStrCache>
            </c:multiLvlStrRef>
          </c:cat>
          <c:val>
            <c:numRef>
              <c:f>'Figure 9'!$C$31:$C$66</c:f>
              <c:numCache>
                <c:formatCode>0%</c:formatCode>
                <c:ptCount val="36"/>
                <c:pt idx="0">
                  <c:v>0.16232336510023002</c:v>
                </c:pt>
                <c:pt idx="1">
                  <c:v>0.16232336510023004</c:v>
                </c:pt>
                <c:pt idx="2">
                  <c:v>0.1</c:v>
                </c:pt>
                <c:pt idx="3">
                  <c:v>0.1</c:v>
                </c:pt>
                <c:pt idx="4">
                  <c:v>0.11904109589041093</c:v>
                </c:pt>
                <c:pt idx="5">
                  <c:v>0.11903713440683537</c:v>
                </c:pt>
                <c:pt idx="6">
                  <c:v>0.13</c:v>
                </c:pt>
                <c:pt idx="7">
                  <c:v>0.15136049950706543</c:v>
                </c:pt>
                <c:pt idx="8">
                  <c:v>0.12709999999999999</c:v>
                </c:pt>
                <c:pt idx="9">
                  <c:v>0.12709999999999999</c:v>
                </c:pt>
                <c:pt idx="10">
                  <c:v>9.8458904109589032E-2</c:v>
                </c:pt>
                <c:pt idx="11">
                  <c:v>9.8541666666666652E-2</c:v>
                </c:pt>
                <c:pt idx="12">
                  <c:v>7.4510817261692439E-2</c:v>
                </c:pt>
                <c:pt idx="13">
                  <c:v>7.1855142951035178E-2</c:v>
                </c:pt>
                <c:pt idx="14">
                  <c:v>2.889452054794521E-2</c:v>
                </c:pt>
                <c:pt idx="15">
                  <c:v>5.6272099901413089E-2</c:v>
                </c:pt>
                <c:pt idx="16">
                  <c:v>9.7397260273972608E-2</c:v>
                </c:pt>
                <c:pt idx="17">
                  <c:v>9.7394019060138018E-2</c:v>
                </c:pt>
                <c:pt idx="18">
                  <c:v>9.7397260273972594E-2</c:v>
                </c:pt>
                <c:pt idx="19">
                  <c:v>9.7394019060138018E-2</c:v>
                </c:pt>
                <c:pt idx="20">
                  <c:v>6.25E-2</c:v>
                </c:pt>
                <c:pt idx="21">
                  <c:v>7.2499999999999995E-2</c:v>
                </c:pt>
                <c:pt idx="22">
                  <c:v>0.04</c:v>
                </c:pt>
                <c:pt idx="23">
                  <c:v>0.04</c:v>
                </c:pt>
                <c:pt idx="24">
                  <c:v>2.5000000000000001E-2</c:v>
                </c:pt>
                <c:pt idx="25">
                  <c:v>0.03</c:v>
                </c:pt>
                <c:pt idx="26">
                  <c:v>3.1058904109589044E-2</c:v>
                </c:pt>
                <c:pt idx="27">
                  <c:v>3.1057870522510678E-2</c:v>
                </c:pt>
                <c:pt idx="28">
                  <c:v>0.04</c:v>
                </c:pt>
                <c:pt idx="29">
                  <c:v>0.04</c:v>
                </c:pt>
                <c:pt idx="30">
                  <c:v>1.83E-2</c:v>
                </c:pt>
                <c:pt idx="31">
                  <c:v>1.83E-2</c:v>
                </c:pt>
                <c:pt idx="32">
                  <c:v>4.5308415327465018E-2</c:v>
                </c:pt>
                <c:pt idx="33">
                  <c:v>4.3999999999999997E-2</c:v>
                </c:pt>
                <c:pt idx="34">
                  <c:v>7.3019290620851404E-3</c:v>
                </c:pt>
                <c:pt idx="35">
                  <c:v>0.01</c:v>
                </c:pt>
              </c:numCache>
            </c:numRef>
          </c:val>
          <c:extLst>
            <c:ext xmlns:c16="http://schemas.microsoft.com/office/drawing/2014/chart" uri="{C3380CC4-5D6E-409C-BE32-E72D297353CC}">
              <c16:uniqueId val="{00000001-26E8-4C62-A3FB-064A5C9F34E7}"/>
            </c:ext>
          </c:extLst>
        </c:ser>
        <c:ser>
          <c:idx val="1"/>
          <c:order val="1"/>
          <c:tx>
            <c:strRef>
              <c:f>'Figure 9'!$D$30</c:f>
              <c:strCache>
                <c:ptCount val="1"/>
                <c:pt idx="0">
                  <c:v>Health</c:v>
                </c:pt>
              </c:strCache>
            </c:strRef>
          </c:tx>
          <c:spPr>
            <a:solidFill>
              <a:srgbClr val="31859C"/>
            </a:solidFill>
            <a:ln>
              <a:noFill/>
            </a:ln>
            <a:effectLst/>
          </c:spPr>
          <c:invertIfNegative val="0"/>
          <c:dLbls>
            <c:delete val="1"/>
          </c:dLbls>
          <c:cat>
            <c:multiLvlStrRef>
              <c:f>'Figure 9'!$A$31:$B$66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URY</c:v>
                  </c:pt>
                  <c:pt idx="2">
                    <c:v>CHL</c:v>
                  </c:pt>
                  <c:pt idx="4">
                    <c:v>ARG</c:v>
                  </c:pt>
                  <c:pt idx="6">
                    <c:v>PER</c:v>
                  </c:pt>
                  <c:pt idx="8">
                    <c:v>BOL</c:v>
                  </c:pt>
                  <c:pt idx="10">
                    <c:v>PAN</c:v>
                  </c:pt>
                  <c:pt idx="12">
                    <c:v>ECU</c:v>
                  </c:pt>
                  <c:pt idx="14">
                    <c:v>CRI</c:v>
                  </c:pt>
                  <c:pt idx="16">
                    <c:v>BRA</c:v>
                  </c:pt>
                  <c:pt idx="18">
                    <c:v>PRY</c:v>
                  </c:pt>
                  <c:pt idx="20">
                    <c:v>SLV</c:v>
                  </c:pt>
                  <c:pt idx="22">
                    <c:v>COL</c:v>
                  </c:pt>
                  <c:pt idx="24">
                    <c:v>JAM</c:v>
                  </c:pt>
                  <c:pt idx="26">
                    <c:v>DOM</c:v>
                  </c:pt>
                  <c:pt idx="28">
                    <c:v>VEN</c:v>
                  </c:pt>
                  <c:pt idx="30">
                    <c:v>GTM</c:v>
                  </c:pt>
                  <c:pt idx="32">
                    <c:v>TTO</c:v>
                  </c:pt>
                  <c:pt idx="34">
                    <c:v>HND</c:v>
                  </c:pt>
                </c:lvl>
              </c:multiLvlStrCache>
            </c:multiLvlStrRef>
          </c:cat>
          <c:val>
            <c:numRef>
              <c:f>'Figure 9'!$D$31:$D$66</c:f>
              <c:numCache>
                <c:formatCode>0%</c:formatCode>
                <c:ptCount val="36"/>
                <c:pt idx="0">
                  <c:v>4.0084635787797446E-2</c:v>
                </c:pt>
                <c:pt idx="1">
                  <c:v>4.0492380303046319E-2</c:v>
                </c:pt>
                <c:pt idx="2">
                  <c:v>7.0000000000000007E-2</c:v>
                </c:pt>
                <c:pt idx="3">
                  <c:v>7.0000000000000007E-2</c:v>
                </c:pt>
                <c:pt idx="4">
                  <c:v>6.4931506849315049E-2</c:v>
                </c:pt>
                <c:pt idx="5">
                  <c:v>6.4929346040092026E-2</c:v>
                </c:pt>
                <c:pt idx="7">
                  <c:v>0</c:v>
                </c:pt>
                <c:pt idx="8">
                  <c:v>0</c:v>
                </c:pt>
                <c:pt idx="9">
                  <c:v>0</c:v>
                </c:pt>
                <c:pt idx="10">
                  <c:v>1.0958904109589039E-2</c:v>
                </c:pt>
                <c:pt idx="11">
                  <c:v>5.0000000000000001E-3</c:v>
                </c:pt>
                <c:pt idx="12">
                  <c:v>0</c:v>
                </c:pt>
                <c:pt idx="13">
                  <c:v>0</c:v>
                </c:pt>
                <c:pt idx="14">
                  <c:v>5.9520547945205476E-2</c:v>
                </c:pt>
                <c:pt idx="15">
                  <c:v>5.9518567203417687E-2</c:v>
                </c:pt>
                <c:pt idx="17">
                  <c:v>0</c:v>
                </c:pt>
                <c:pt idx="18">
                  <c:v>0</c:v>
                </c:pt>
                <c:pt idx="19">
                  <c:v>0</c:v>
                </c:pt>
                <c:pt idx="20">
                  <c:v>0.03</c:v>
                </c:pt>
                <c:pt idx="21">
                  <c:v>0.03</c:v>
                </c:pt>
                <c:pt idx="22">
                  <c:v>0.04</c:v>
                </c:pt>
                <c:pt idx="23">
                  <c:v>0.04</c:v>
                </c:pt>
                <c:pt idx="25">
                  <c:v>0</c:v>
                </c:pt>
                <c:pt idx="26">
                  <c:v>3.2898630136986302E-2</c:v>
                </c:pt>
                <c:pt idx="27">
                  <c:v>3.2897535326979956E-2</c:v>
                </c:pt>
                <c:pt idx="28">
                  <c:v>0.02</c:v>
                </c:pt>
                <c:pt idx="29">
                  <c:v>0</c:v>
                </c:pt>
                <c:pt idx="30">
                  <c:v>0.02</c:v>
                </c:pt>
                <c:pt idx="31">
                  <c:v>0.02</c:v>
                </c:pt>
                <c:pt idx="32">
                  <c:v>0</c:v>
                </c:pt>
                <c:pt idx="33">
                  <c:v>0</c:v>
                </c:pt>
                <c:pt idx="34">
                  <c:v>1.8254822655212853E-2</c:v>
                </c:pt>
                <c:pt idx="35">
                  <c:v>2.5000000000000001E-2</c:v>
                </c:pt>
              </c:numCache>
            </c:numRef>
          </c:val>
          <c:extLst>
            <c:ext xmlns:c16="http://schemas.microsoft.com/office/drawing/2014/chart" uri="{C3380CC4-5D6E-409C-BE32-E72D297353CC}">
              <c16:uniqueId val="{00000003-26E8-4C62-A3FB-064A5C9F34E7}"/>
            </c:ext>
          </c:extLst>
        </c:ser>
        <c:ser>
          <c:idx val="2"/>
          <c:order val="2"/>
          <c:tx>
            <c:strRef>
              <c:f>'Figure 9'!$E$30</c:f>
              <c:strCache>
                <c:ptCount val="1"/>
                <c:pt idx="0">
                  <c:v>Other contrib.</c:v>
                </c:pt>
              </c:strCache>
            </c:strRef>
          </c:tx>
          <c:spPr>
            <a:solidFill>
              <a:srgbClr val="93CDDD"/>
            </a:solidFill>
            <a:ln>
              <a:noFill/>
            </a:ln>
            <a:effectLst/>
          </c:spPr>
          <c:invertIfNegative val="0"/>
          <c:dLbls>
            <c:delete val="1"/>
          </c:dLbls>
          <c:cat>
            <c:multiLvlStrRef>
              <c:f>'Figure 9'!$A$31:$B$66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URY</c:v>
                  </c:pt>
                  <c:pt idx="2">
                    <c:v>CHL</c:v>
                  </c:pt>
                  <c:pt idx="4">
                    <c:v>ARG</c:v>
                  </c:pt>
                  <c:pt idx="6">
                    <c:v>PER</c:v>
                  </c:pt>
                  <c:pt idx="8">
                    <c:v>BOL</c:v>
                  </c:pt>
                  <c:pt idx="10">
                    <c:v>PAN</c:v>
                  </c:pt>
                  <c:pt idx="12">
                    <c:v>ECU</c:v>
                  </c:pt>
                  <c:pt idx="14">
                    <c:v>CRI</c:v>
                  </c:pt>
                  <c:pt idx="16">
                    <c:v>BRA</c:v>
                  </c:pt>
                  <c:pt idx="18">
                    <c:v>PRY</c:v>
                  </c:pt>
                  <c:pt idx="20">
                    <c:v>SLV</c:v>
                  </c:pt>
                  <c:pt idx="22">
                    <c:v>COL</c:v>
                  </c:pt>
                  <c:pt idx="24">
                    <c:v>JAM</c:v>
                  </c:pt>
                  <c:pt idx="26">
                    <c:v>DOM</c:v>
                  </c:pt>
                  <c:pt idx="28">
                    <c:v>VEN</c:v>
                  </c:pt>
                  <c:pt idx="30">
                    <c:v>GTM</c:v>
                  </c:pt>
                  <c:pt idx="32">
                    <c:v>TTO</c:v>
                  </c:pt>
                  <c:pt idx="34">
                    <c:v>HND</c:v>
                  </c:pt>
                </c:lvl>
              </c:multiLvlStrCache>
            </c:multiLvlStrRef>
          </c:cat>
          <c:val>
            <c:numRef>
              <c:f>'Figure 9'!$E$31:$E$66</c:f>
              <c:numCache>
                <c:formatCode>0%</c:formatCode>
                <c:ptCount val="36"/>
                <c:pt idx="0">
                  <c:v>1.083E-3</c:v>
                </c:pt>
                <c:pt idx="1">
                  <c:v>1.0821557673348669E-3</c:v>
                </c:pt>
                <c:pt idx="2">
                  <c:v>2.0799999999999999E-2</c:v>
                </c:pt>
                <c:pt idx="3">
                  <c:v>2.1000000000000001E-2</c:v>
                </c:pt>
                <c:pt idx="4">
                  <c:v>0</c:v>
                </c:pt>
                <c:pt idx="5">
                  <c:v>0</c:v>
                </c:pt>
                <c:pt idx="6">
                  <c:v>0</c:v>
                </c:pt>
                <c:pt idx="7">
                  <c:v>0</c:v>
                </c:pt>
                <c:pt idx="8">
                  <c:v>0</c:v>
                </c:pt>
                <c:pt idx="9">
                  <c:v>0</c:v>
                </c:pt>
                <c:pt idx="10">
                  <c:v>1.3527397260273974E-2</c:v>
                </c:pt>
                <c:pt idx="11">
                  <c:v>1.3526947091685837E-2</c:v>
                </c:pt>
                <c:pt idx="12">
                  <c:v>3.1532439232734299E-2</c:v>
                </c:pt>
                <c:pt idx="13">
                  <c:v>3.0408577062109768E-2</c:v>
                </c:pt>
                <c:pt idx="14">
                  <c:v>1.0821917808219178E-2</c:v>
                </c:pt>
                <c:pt idx="15">
                  <c:v>1.0821557673348671E-2</c:v>
                </c:pt>
                <c:pt idx="16">
                  <c:v>0</c:v>
                </c:pt>
                <c:pt idx="17">
                  <c:v>0</c:v>
                </c:pt>
                <c:pt idx="18">
                  <c:v>0</c:v>
                </c:pt>
                <c:pt idx="19">
                  <c:v>0</c:v>
                </c:pt>
                <c:pt idx="20">
                  <c:v>0</c:v>
                </c:pt>
                <c:pt idx="21">
                  <c:v>0</c:v>
                </c:pt>
                <c:pt idx="22">
                  <c:v>0</c:v>
                </c:pt>
                <c:pt idx="23">
                  <c:v>0</c:v>
                </c:pt>
                <c:pt idx="24">
                  <c:v>4.1937500000000003E-2</c:v>
                </c:pt>
                <c:pt idx="25">
                  <c:v>0.04</c:v>
                </c:pt>
                <c:pt idx="26">
                  <c:v>5.4109589041095895E-4</c:v>
                </c:pt>
                <c:pt idx="27">
                  <c:v>5.4107788366743355E-3</c:v>
                </c:pt>
                <c:pt idx="28">
                  <c:v>0</c:v>
                </c:pt>
                <c:pt idx="29">
                  <c:v>0.01</c:v>
                </c:pt>
                <c:pt idx="30">
                  <c:v>0.01</c:v>
                </c:pt>
                <c:pt idx="31">
                  <c:v>0.01</c:v>
                </c:pt>
                <c:pt idx="32">
                  <c:v>0</c:v>
                </c:pt>
                <c:pt idx="33">
                  <c:v>0</c:v>
                </c:pt>
                <c:pt idx="34">
                  <c:v>1.0952893593127712E-2</c:v>
                </c:pt>
                <c:pt idx="35">
                  <c:v>1.4999999999999999E-2</c:v>
                </c:pt>
              </c:numCache>
            </c:numRef>
          </c:val>
          <c:extLst>
            <c:ext xmlns:c16="http://schemas.microsoft.com/office/drawing/2014/chart" uri="{C3380CC4-5D6E-409C-BE32-E72D297353CC}">
              <c16:uniqueId val="{00000005-26E8-4C62-A3FB-064A5C9F34E7}"/>
            </c:ext>
          </c:extLst>
        </c:ser>
        <c:dLbls>
          <c:dLblPos val="ctr"/>
          <c:showLegendKey val="0"/>
          <c:showVal val="1"/>
          <c:showCatName val="0"/>
          <c:showSerName val="0"/>
          <c:showPercent val="0"/>
          <c:showBubbleSize val="0"/>
        </c:dLbls>
        <c:gapWidth val="150"/>
        <c:overlap val="100"/>
        <c:axId val="271118208"/>
        <c:axId val="271113408"/>
      </c:barChart>
      <c:catAx>
        <c:axId val="271118208"/>
        <c:scaling>
          <c:orientation val="minMax"/>
        </c:scaling>
        <c:delete val="0"/>
        <c:axPos val="b"/>
        <c:numFmt formatCode="General" sourceLinked="1"/>
        <c:majorTickMark val="none"/>
        <c:minorTickMark val="none"/>
        <c:tickLblPos val="nextTo"/>
        <c:spPr>
          <a:noFill/>
          <a:ln>
            <a:solidFill>
              <a:schemeClr val="bg2"/>
            </a:solidFill>
          </a:ln>
          <a:effectLst/>
        </c:spPr>
        <c:txPr>
          <a:bodyPr rot="-60000000" vert="horz"/>
          <a:lstStyle/>
          <a:p>
            <a:pPr>
              <a:defRPr/>
            </a:pPr>
            <a:endParaRPr lang="es-DO"/>
          </a:p>
        </c:txPr>
        <c:crossAx val="271113408"/>
        <c:crosses val="autoZero"/>
        <c:auto val="1"/>
        <c:lblAlgn val="ctr"/>
        <c:lblOffset val="100"/>
        <c:noMultiLvlLbl val="0"/>
      </c:catAx>
      <c:valAx>
        <c:axId val="271113408"/>
        <c:scaling>
          <c:orientation val="minMax"/>
        </c:scaling>
        <c:delete val="0"/>
        <c:axPos val="l"/>
        <c:title>
          <c:tx>
            <c:rich>
              <a:bodyPr rot="-5400000" vert="horz"/>
              <a:lstStyle/>
              <a:p>
                <a:pPr>
                  <a:defRPr/>
                </a:pPr>
                <a:r>
                  <a:rPr lang="en-US"/>
                  <a:t>Cost of salaried labor for employees (% of average annual formal wages)</a:t>
                </a:r>
              </a:p>
            </c:rich>
          </c:tx>
          <c:layout>
            <c:manualLayout>
              <c:xMode val="edge"/>
              <c:yMode val="edge"/>
              <c:x val="1.3249545729860691E-3"/>
              <c:y val="8.0886130691522326E-2"/>
            </c:manualLayout>
          </c:layout>
          <c:overlay val="0"/>
          <c:spPr>
            <a:noFill/>
            <a:ln>
              <a:noFill/>
            </a:ln>
            <a:effectLst/>
          </c:spPr>
        </c:title>
        <c:numFmt formatCode="0%" sourceLinked="1"/>
        <c:majorTickMark val="none"/>
        <c:minorTickMark val="none"/>
        <c:tickLblPos val="nextTo"/>
        <c:spPr>
          <a:noFill/>
          <a:ln>
            <a:noFill/>
          </a:ln>
          <a:effectLst/>
        </c:spPr>
        <c:txPr>
          <a:bodyPr rot="-60000000" vert="horz"/>
          <a:lstStyle/>
          <a:p>
            <a:pPr>
              <a:defRPr/>
            </a:pPr>
            <a:endParaRPr lang="es-DO"/>
          </a:p>
        </c:txPr>
        <c:crossAx val="271118208"/>
        <c:crosses val="autoZero"/>
        <c:crossBetween val="between"/>
      </c:valAx>
    </c:plotArea>
    <c:legend>
      <c:legendPos val="b"/>
      <c:layout>
        <c:manualLayout>
          <c:xMode val="edge"/>
          <c:yMode val="edge"/>
          <c:x val="0.34630106332862243"/>
          <c:y val="0.94046040372516082"/>
          <c:w val="0.31171493292160768"/>
          <c:h val="4.9415514674042614E-2"/>
        </c:manualLayout>
      </c:layout>
      <c:overlay val="0"/>
      <c:spPr>
        <a:noFill/>
        <a:ln>
          <a:noFill/>
        </a:ln>
        <a:effectLst/>
      </c:spPr>
      <c:txPr>
        <a:bodyPr rot="0" vert="horz"/>
        <a:lstStyle/>
        <a:p>
          <a:pPr>
            <a:defRPr/>
          </a:pPr>
          <a:endParaRPr lang="es-DO"/>
        </a:p>
      </c:txPr>
    </c:legend>
    <c:plotVisOnly val="1"/>
    <c:dispBlanksAs val="gap"/>
    <c:showDLblsOverMax val="0"/>
    <c:extLst/>
  </c:chart>
  <c:spPr>
    <a:solidFill>
      <a:schemeClr val="bg1"/>
    </a:solidFill>
    <a:ln w="9525" cap="flat" cmpd="sng" algn="ctr">
      <a:noFill/>
      <a:round/>
    </a:ln>
    <a:effectLst/>
  </c:spPr>
  <c:txPr>
    <a:bodyPr/>
    <a:lstStyle/>
    <a:p>
      <a:pPr>
        <a:defRPr sz="1100">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0876202974628171"/>
          <c:y val="2.1884112292317681E-2"/>
          <c:w val="0.87004071606433808"/>
          <c:h val="0.75906883402463954"/>
        </c:manualLayout>
      </c:layout>
      <c:barChart>
        <c:barDir val="col"/>
        <c:grouping val="stacked"/>
        <c:varyColors val="0"/>
        <c:ser>
          <c:idx val="0"/>
          <c:order val="0"/>
          <c:tx>
            <c:strRef>
              <c:f>'Figure 10'!$C$81</c:f>
              <c:strCache>
                <c:ptCount val="1"/>
                <c:pt idx="0">
                  <c:v>Pensions</c:v>
                </c:pt>
              </c:strCache>
            </c:strRef>
          </c:tx>
          <c:spPr>
            <a:solidFill>
              <a:srgbClr val="376092"/>
            </a:solidFill>
            <a:ln>
              <a:noFill/>
            </a:ln>
            <a:effectLst/>
          </c:spPr>
          <c:invertIfNegative val="0"/>
          <c:dLbls>
            <c:delete val="1"/>
          </c:dLbls>
          <c:cat>
            <c:multiLvlStrRef>
              <c:f>'Figure 10'!$A$82:$B$119</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PRY</c:v>
                  </c:pt>
                  <c:pt idx="2">
                    <c:v>BOL</c:v>
                  </c:pt>
                  <c:pt idx="4">
                    <c:v>ARG</c:v>
                  </c:pt>
                  <c:pt idx="6">
                    <c:v>PER</c:v>
                  </c:pt>
                  <c:pt idx="8">
                    <c:v>HND</c:v>
                  </c:pt>
                  <c:pt idx="10">
                    <c:v>ECU</c:v>
                  </c:pt>
                  <c:pt idx="12">
                    <c:v>CRI</c:v>
                  </c:pt>
                  <c:pt idx="14">
                    <c:v>CHL</c:v>
                  </c:pt>
                  <c:pt idx="16">
                    <c:v>PAN</c:v>
                  </c:pt>
                  <c:pt idx="18">
                    <c:v>URY</c:v>
                  </c:pt>
                  <c:pt idx="20">
                    <c:v>SLV</c:v>
                  </c:pt>
                  <c:pt idx="22">
                    <c:v>GTM</c:v>
                  </c:pt>
                  <c:pt idx="24">
                    <c:v>COL</c:v>
                  </c:pt>
                  <c:pt idx="26">
                    <c:v>JAM</c:v>
                  </c:pt>
                  <c:pt idx="28">
                    <c:v>BRA</c:v>
                  </c:pt>
                  <c:pt idx="30">
                    <c:v>VEN</c:v>
                  </c:pt>
                  <c:pt idx="32">
                    <c:v>DOM</c:v>
                  </c:pt>
                  <c:pt idx="34">
                    <c:v>TTO</c:v>
                  </c:pt>
                  <c:pt idx="36">
                    <c:v>MEX</c:v>
                  </c:pt>
                </c:lvl>
              </c:multiLvlStrCache>
            </c:multiLvlStrRef>
          </c:cat>
          <c:val>
            <c:numRef>
              <c:f>'Figure 10'!$C$82:$C$119</c:f>
              <c:numCache>
                <c:formatCode>0.0%</c:formatCode>
                <c:ptCount val="38"/>
                <c:pt idx="0">
                  <c:v>4.6085019715848163E-2</c:v>
                </c:pt>
                <c:pt idx="1">
                  <c:v>3.4374540943037331E-2</c:v>
                </c:pt>
                <c:pt idx="2">
                  <c:v>4.2274704614293557E-2</c:v>
                </c:pt>
                <c:pt idx="3">
                  <c:v>7.7419158757588563E-2</c:v>
                </c:pt>
                <c:pt idx="4" formatCode="0%">
                  <c:v>2.4259128046208531E-2</c:v>
                </c:pt>
                <c:pt idx="5">
                  <c:v>2.1137317233496378E-2</c:v>
                </c:pt>
                <c:pt idx="6">
                  <c:v>3.9976584180409898E-2</c:v>
                </c:pt>
                <c:pt idx="7">
                  <c:v>3.4663561538316755E-2</c:v>
                </c:pt>
                <c:pt idx="8">
                  <c:v>6.7948617334344531E-3</c:v>
                </c:pt>
                <c:pt idx="9">
                  <c:v>7.5140749237147635E-3</c:v>
                </c:pt>
                <c:pt idx="10">
                  <c:v>2.0932844310909353E-2</c:v>
                </c:pt>
                <c:pt idx="11">
                  <c:v>2.7851602584723422E-2</c:v>
                </c:pt>
                <c:pt idx="12">
                  <c:v>8.2788005521325578E-3</c:v>
                </c:pt>
                <c:pt idx="13">
                  <c:v>1.3316646615773984E-2</c:v>
                </c:pt>
                <c:pt idx="14">
                  <c:v>1.4874173741316808E-2</c:v>
                </c:pt>
                <c:pt idx="15">
                  <c:v>1.9568298367505337E-2</c:v>
                </c:pt>
                <c:pt idx="16">
                  <c:v>2.3058311331806108E-2</c:v>
                </c:pt>
                <c:pt idx="17">
                  <c:v>4.5308415327465018E-2</c:v>
                </c:pt>
                <c:pt idx="18">
                  <c:v>2.4357783500961377E-2</c:v>
                </c:pt>
                <c:pt idx="19">
                  <c:v>2.3912637378843336E-2</c:v>
                </c:pt>
                <c:pt idx="20">
                  <c:v>1.4831210518799579E-2</c:v>
                </c:pt>
                <c:pt idx="21">
                  <c:v>2.3704889774365995E-2</c:v>
                </c:pt>
                <c:pt idx="22">
                  <c:v>7.8894094551523099E-3</c:v>
                </c:pt>
                <c:pt idx="23">
                  <c:v>6.5549032574361921E-3</c:v>
                </c:pt>
                <c:pt idx="24">
                  <c:v>8.6033330336440297E-3</c:v>
                </c:pt>
                <c:pt idx="25">
                  <c:v>9.3084019553668455E-3</c:v>
                </c:pt>
                <c:pt idx="26">
                  <c:v>5.4094607343000006E-3</c:v>
                </c:pt>
                <c:pt idx="27">
                  <c:v>1.0478156046142629E-2</c:v>
                </c:pt>
                <c:pt idx="28">
                  <c:v>1.3434097571220365E-2</c:v>
                </c:pt>
                <c:pt idx="29">
                  <c:v>1.499343518520891E-2</c:v>
                </c:pt>
                <c:pt idx="30">
                  <c:v>7.4999999999999997E-3</c:v>
                </c:pt>
                <c:pt idx="31">
                  <c:v>2.4794719049511495E-4</c:v>
                </c:pt>
                <c:pt idx="32">
                  <c:v>4.9556037834783398E-3</c:v>
                </c:pt>
                <c:pt idx="33">
                  <c:v>5.4853598713357219E-3</c:v>
                </c:pt>
                <c:pt idx="34">
                  <c:v>4.0000000000000001E-3</c:v>
                </c:pt>
                <c:pt idx="35">
                  <c:v>6.0224918070081925E-3</c:v>
                </c:pt>
                <c:pt idx="36">
                  <c:v>0</c:v>
                </c:pt>
                <c:pt idx="37">
                  <c:v>1.675341597003941E-3</c:v>
                </c:pt>
              </c:numCache>
            </c:numRef>
          </c:val>
          <c:extLst>
            <c:ext xmlns:c16="http://schemas.microsoft.com/office/drawing/2014/chart" uri="{C3380CC4-5D6E-409C-BE32-E72D297353CC}">
              <c16:uniqueId val="{00000001-F269-4E83-8E7A-E50EE8CCDCD7}"/>
            </c:ext>
          </c:extLst>
        </c:ser>
        <c:ser>
          <c:idx val="1"/>
          <c:order val="1"/>
          <c:tx>
            <c:strRef>
              <c:f>'Figure 10'!$D$81</c:f>
              <c:strCache>
                <c:ptCount val="1"/>
                <c:pt idx="0">
                  <c:v>Health</c:v>
                </c:pt>
              </c:strCache>
            </c:strRef>
          </c:tx>
          <c:spPr>
            <a:solidFill>
              <a:srgbClr val="558ED5"/>
            </a:solidFill>
            <a:ln>
              <a:noFill/>
            </a:ln>
            <a:effectLst/>
          </c:spPr>
          <c:invertIfNegative val="0"/>
          <c:dLbls>
            <c:delete val="1"/>
          </c:dLbls>
          <c:cat>
            <c:multiLvlStrRef>
              <c:f>'Figure 10'!$A$82:$B$119</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PRY</c:v>
                  </c:pt>
                  <c:pt idx="2">
                    <c:v>BOL</c:v>
                  </c:pt>
                  <c:pt idx="4">
                    <c:v>ARG</c:v>
                  </c:pt>
                  <c:pt idx="6">
                    <c:v>PER</c:v>
                  </c:pt>
                  <c:pt idx="8">
                    <c:v>HND</c:v>
                  </c:pt>
                  <c:pt idx="10">
                    <c:v>ECU</c:v>
                  </c:pt>
                  <c:pt idx="12">
                    <c:v>CRI</c:v>
                  </c:pt>
                  <c:pt idx="14">
                    <c:v>CHL</c:v>
                  </c:pt>
                  <c:pt idx="16">
                    <c:v>PAN</c:v>
                  </c:pt>
                  <c:pt idx="18">
                    <c:v>URY</c:v>
                  </c:pt>
                  <c:pt idx="20">
                    <c:v>SLV</c:v>
                  </c:pt>
                  <c:pt idx="22">
                    <c:v>GTM</c:v>
                  </c:pt>
                  <c:pt idx="24">
                    <c:v>COL</c:v>
                  </c:pt>
                  <c:pt idx="26">
                    <c:v>JAM</c:v>
                  </c:pt>
                  <c:pt idx="28">
                    <c:v>BRA</c:v>
                  </c:pt>
                  <c:pt idx="30">
                    <c:v>VEN</c:v>
                  </c:pt>
                  <c:pt idx="32">
                    <c:v>DOM</c:v>
                  </c:pt>
                  <c:pt idx="34">
                    <c:v>TTO</c:v>
                  </c:pt>
                  <c:pt idx="36">
                    <c:v>MEX</c:v>
                  </c:pt>
                </c:lvl>
              </c:multiLvlStrCache>
            </c:multiLvlStrRef>
          </c:cat>
          <c:val>
            <c:numRef>
              <c:f>'Figure 10'!$D$82:$D$119</c:f>
              <c:numCache>
                <c:formatCode>0.0%</c:formatCode>
                <c:ptCount val="38"/>
                <c:pt idx="0">
                  <c:v>0</c:v>
                </c:pt>
                <c:pt idx="1">
                  <c:v>0</c:v>
                </c:pt>
                <c:pt idx="2">
                  <c:v>0</c:v>
                </c:pt>
                <c:pt idx="3">
                  <c:v>0</c:v>
                </c:pt>
                <c:pt idx="4" formatCode="0%">
                  <c:v>1.3232251661568288E-2</c:v>
                </c:pt>
                <c:pt idx="5">
                  <c:v>1.1529445763725294E-2</c:v>
                </c:pt>
                <c:pt idx="6">
                  <c:v>0</c:v>
                </c:pt>
                <c:pt idx="7">
                  <c:v>0</c:v>
                </c:pt>
                <c:pt idx="8">
                  <c:v>1.6987154333586132E-2</c:v>
                </c:pt>
                <c:pt idx="9">
                  <c:v>1.8785187309286907E-2</c:v>
                </c:pt>
                <c:pt idx="10">
                  <c:v>0</c:v>
                </c:pt>
                <c:pt idx="11">
                  <c:v>0</c:v>
                </c:pt>
                <c:pt idx="12">
                  <c:v>1.7053709002520248E-2</c:v>
                </c:pt>
                <c:pt idx="13">
                  <c:v>1.4084914689760942E-2</c:v>
                </c:pt>
                <c:pt idx="14">
                  <c:v>1.0411921618921766E-2</c:v>
                </c:pt>
                <c:pt idx="15">
                  <c:v>1.3697808857253736E-2</c:v>
                </c:pt>
                <c:pt idx="16">
                  <c:v>1.1248254400623144E-3</c:v>
                </c:pt>
                <c:pt idx="17">
                  <c:v>0</c:v>
                </c:pt>
                <c:pt idx="18">
                  <c:v>5.7179655436872742E-3</c:v>
                </c:pt>
                <c:pt idx="19">
                  <c:v>5.1360960733332264E-3</c:v>
                </c:pt>
                <c:pt idx="20">
                  <c:v>7.1189810490237988E-3</c:v>
                </c:pt>
                <c:pt idx="21">
                  <c:v>9.8089199066342062E-3</c:v>
                </c:pt>
                <c:pt idx="22">
                  <c:v>8.6223054154670048E-3</c:v>
                </c:pt>
                <c:pt idx="23">
                  <c:v>7.1638286966515755E-3</c:v>
                </c:pt>
                <c:pt idx="24">
                  <c:v>8.6033330336440297E-3</c:v>
                </c:pt>
                <c:pt idx="25">
                  <c:v>9.3084019553668455E-3</c:v>
                </c:pt>
                <c:pt idx="26">
                  <c:v>0</c:v>
                </c:pt>
                <c:pt idx="27">
                  <c:v>0</c:v>
                </c:pt>
                <c:pt idx="29">
                  <c:v>0</c:v>
                </c:pt>
                <c:pt idx="30">
                  <c:v>0</c:v>
                </c:pt>
                <c:pt idx="31">
                  <c:v>0</c:v>
                </c:pt>
                <c:pt idx="32">
                  <c:v>5.2491412898167779E-3</c:v>
                </c:pt>
                <c:pt idx="33">
                  <c:v>5.8102766581395798E-3</c:v>
                </c:pt>
                <c:pt idx="34">
                  <c:v>2E-3</c:v>
                </c:pt>
                <c:pt idx="35">
                  <c:v>0</c:v>
                </c:pt>
                <c:pt idx="36">
                  <c:v>7.7764844863417726E-4</c:v>
                </c:pt>
                <c:pt idx="37">
                  <c:v>1.486720175109049E-3</c:v>
                </c:pt>
              </c:numCache>
            </c:numRef>
          </c:val>
          <c:extLst>
            <c:ext xmlns:c16="http://schemas.microsoft.com/office/drawing/2014/chart" uri="{C3380CC4-5D6E-409C-BE32-E72D297353CC}">
              <c16:uniqueId val="{00000003-F269-4E83-8E7A-E50EE8CCDCD7}"/>
            </c:ext>
          </c:extLst>
        </c:ser>
        <c:ser>
          <c:idx val="2"/>
          <c:order val="2"/>
          <c:tx>
            <c:strRef>
              <c:f>'Figure 10'!$E$81</c:f>
              <c:strCache>
                <c:ptCount val="1"/>
                <c:pt idx="0">
                  <c:v>Other contrib.</c:v>
                </c:pt>
              </c:strCache>
            </c:strRef>
          </c:tx>
          <c:spPr>
            <a:solidFill>
              <a:schemeClr val="accent1">
                <a:tint val="65000"/>
              </a:schemeClr>
            </a:solidFill>
            <a:ln>
              <a:noFill/>
            </a:ln>
            <a:effectLst/>
          </c:spPr>
          <c:invertIfNegative val="0"/>
          <c:dLbls>
            <c:delete val="1"/>
          </c:dLbls>
          <c:cat>
            <c:multiLvlStrRef>
              <c:f>'Figure 10'!$A$82:$B$119</c:f>
              <c:multiLvlStrCache>
                <c:ptCount val="38"/>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lvl>
                <c:lvl>
                  <c:pt idx="0">
                    <c:v>PRY</c:v>
                  </c:pt>
                  <c:pt idx="2">
                    <c:v>BOL</c:v>
                  </c:pt>
                  <c:pt idx="4">
                    <c:v>ARG</c:v>
                  </c:pt>
                  <c:pt idx="6">
                    <c:v>PER</c:v>
                  </c:pt>
                  <c:pt idx="8">
                    <c:v>HND</c:v>
                  </c:pt>
                  <c:pt idx="10">
                    <c:v>ECU</c:v>
                  </c:pt>
                  <c:pt idx="12">
                    <c:v>CRI</c:v>
                  </c:pt>
                  <c:pt idx="14">
                    <c:v>CHL</c:v>
                  </c:pt>
                  <c:pt idx="16">
                    <c:v>PAN</c:v>
                  </c:pt>
                  <c:pt idx="18">
                    <c:v>URY</c:v>
                  </c:pt>
                  <c:pt idx="20">
                    <c:v>SLV</c:v>
                  </c:pt>
                  <c:pt idx="22">
                    <c:v>GTM</c:v>
                  </c:pt>
                  <c:pt idx="24">
                    <c:v>COL</c:v>
                  </c:pt>
                  <c:pt idx="26">
                    <c:v>JAM</c:v>
                  </c:pt>
                  <c:pt idx="28">
                    <c:v>BRA</c:v>
                  </c:pt>
                  <c:pt idx="30">
                    <c:v>VEN</c:v>
                  </c:pt>
                  <c:pt idx="32">
                    <c:v>DOM</c:v>
                  </c:pt>
                  <c:pt idx="34">
                    <c:v>TTO</c:v>
                  </c:pt>
                  <c:pt idx="36">
                    <c:v>MEX</c:v>
                  </c:pt>
                </c:lvl>
              </c:multiLvlStrCache>
            </c:multiLvlStrRef>
          </c:cat>
          <c:val>
            <c:numRef>
              <c:f>'Figure 10'!$E$82:$E$119</c:f>
              <c:numCache>
                <c:formatCode>0.0%</c:formatCode>
                <c:ptCount val="38"/>
                <c:pt idx="0">
                  <c:v>0</c:v>
                </c:pt>
                <c:pt idx="1">
                  <c:v>0</c:v>
                </c:pt>
                <c:pt idx="2">
                  <c:v>0</c:v>
                </c:pt>
                <c:pt idx="3">
                  <c:v>0</c:v>
                </c:pt>
                <c:pt idx="4" formatCode="0%">
                  <c:v>0</c:v>
                </c:pt>
                <c:pt idx="5">
                  <c:v>0</c:v>
                </c:pt>
                <c:pt idx="6">
                  <c:v>0</c:v>
                </c:pt>
                <c:pt idx="7">
                  <c:v>0</c:v>
                </c:pt>
                <c:pt idx="8">
                  <c:v>1.019229260015168E-2</c:v>
                </c:pt>
                <c:pt idx="9">
                  <c:v>1.1271112385572143E-2</c:v>
                </c:pt>
                <c:pt idx="10">
                  <c:v>8.8586283906107351E-3</c:v>
                </c:pt>
                <c:pt idx="11">
                  <c:v>1.1786596876968796E-2</c:v>
                </c:pt>
                <c:pt idx="12">
                  <c:v>3.1006743640945907E-3</c:v>
                </c:pt>
                <c:pt idx="13">
                  <c:v>2.5608935799565349E-3</c:v>
                </c:pt>
                <c:pt idx="14">
                  <c:v>3.0938281381938954E-3</c:v>
                </c:pt>
                <c:pt idx="15">
                  <c:v>4.1093426571761201E-3</c:v>
                </c:pt>
                <c:pt idx="16">
                  <c:v>3.0430908430210328E-3</c:v>
                </c:pt>
                <c:pt idx="17">
                  <c:v>0</c:v>
                </c:pt>
                <c:pt idx="18">
                  <c:v>1.6238522333974253E-4</c:v>
                </c:pt>
                <c:pt idx="19">
                  <c:v>1.5941758252562222E-4</c:v>
                </c:pt>
                <c:pt idx="20">
                  <c:v>0</c:v>
                </c:pt>
                <c:pt idx="21">
                  <c:v>0</c:v>
                </c:pt>
                <c:pt idx="22">
                  <c:v>4.3111527077335024E-3</c:v>
                </c:pt>
                <c:pt idx="23">
                  <c:v>0</c:v>
                </c:pt>
                <c:pt idx="24">
                  <c:v>0</c:v>
                </c:pt>
                <c:pt idx="25">
                  <c:v>0</c:v>
                </c:pt>
                <c:pt idx="26">
                  <c:v>9.0743703817882503E-3</c:v>
                </c:pt>
                <c:pt idx="27">
                  <c:v>1.3970874728190174E-2</c:v>
                </c:pt>
                <c:pt idx="28">
                  <c:v>0</c:v>
                </c:pt>
                <c:pt idx="29">
                  <c:v>0</c:v>
                </c:pt>
                <c:pt idx="30" formatCode="0.00%">
                  <c:v>3.8E-3</c:v>
                </c:pt>
                <c:pt idx="31">
                  <c:v>1.2397359524755748E-4</c:v>
                </c:pt>
                <c:pt idx="32">
                  <c:v>8.6334560687775959E-4</c:v>
                </c:pt>
                <c:pt idx="33">
                  <c:v>9.5563760824664149E-4</c:v>
                </c:pt>
                <c:pt idx="34">
                  <c:v>0</c:v>
                </c:pt>
                <c:pt idx="35">
                  <c:v>0</c:v>
                </c:pt>
                <c:pt idx="36">
                  <c:v>0</c:v>
                </c:pt>
                <c:pt idx="37">
                  <c:v>0</c:v>
                </c:pt>
              </c:numCache>
            </c:numRef>
          </c:val>
          <c:extLst>
            <c:ext xmlns:c16="http://schemas.microsoft.com/office/drawing/2014/chart" uri="{C3380CC4-5D6E-409C-BE32-E72D297353CC}">
              <c16:uniqueId val="{00000005-F269-4E83-8E7A-E50EE8CCDCD7}"/>
            </c:ext>
          </c:extLst>
        </c:ser>
        <c:dLbls>
          <c:dLblPos val="ctr"/>
          <c:showLegendKey val="0"/>
          <c:showVal val="1"/>
          <c:showCatName val="0"/>
          <c:showSerName val="0"/>
          <c:showPercent val="0"/>
          <c:showBubbleSize val="0"/>
        </c:dLbls>
        <c:gapWidth val="150"/>
        <c:overlap val="100"/>
        <c:axId val="275659296"/>
        <c:axId val="275652096"/>
      </c:barChart>
      <c:catAx>
        <c:axId val="27565929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75652096"/>
        <c:crosses val="autoZero"/>
        <c:auto val="1"/>
        <c:lblAlgn val="ctr"/>
        <c:lblOffset val="100"/>
        <c:noMultiLvlLbl val="0"/>
      </c:catAx>
      <c:valAx>
        <c:axId val="275652096"/>
        <c:scaling>
          <c:orientation val="minMax"/>
        </c:scaling>
        <c:delete val="0"/>
        <c:axPos val="l"/>
        <c:title>
          <c:tx>
            <c:rich>
              <a:bodyPr rot="-5400000" vert="horz"/>
              <a:lstStyle/>
              <a:p>
                <a:pPr>
                  <a:defRPr/>
                </a:pPr>
                <a:r>
                  <a:rPr lang="en-US"/>
                  <a:t>Minimum cost of salaried labor for employees (% of GDP per worker)</a:t>
                </a:r>
                <a:endParaRPr lang="es-ES_tradnl"/>
              </a:p>
            </c:rich>
          </c:tx>
          <c:layout>
            <c:manualLayout>
              <c:xMode val="edge"/>
              <c:yMode val="edge"/>
              <c:x val="0"/>
              <c:y val="5.8731970063444973E-2"/>
            </c:manualLayout>
          </c:layout>
          <c:overlay val="0"/>
          <c:spPr>
            <a:noFill/>
            <a:ln>
              <a:noFill/>
            </a:ln>
            <a:effectLst/>
          </c:spPr>
        </c:title>
        <c:numFmt formatCode="0.0%" sourceLinked="1"/>
        <c:majorTickMark val="none"/>
        <c:minorTickMark val="none"/>
        <c:tickLblPos val="nextTo"/>
        <c:spPr>
          <a:noFill/>
          <a:ln>
            <a:noFill/>
          </a:ln>
          <a:effectLst/>
        </c:spPr>
        <c:txPr>
          <a:bodyPr rot="-60000000" vert="horz"/>
          <a:lstStyle/>
          <a:p>
            <a:pPr>
              <a:defRPr/>
            </a:pPr>
            <a:endParaRPr lang="es-DO"/>
          </a:p>
        </c:txPr>
        <c:crossAx val="275659296"/>
        <c:crosses val="autoZero"/>
        <c:crossBetween val="between"/>
      </c:valAx>
    </c:plotArea>
    <c:legend>
      <c:legendPos val="b"/>
      <c:layout>
        <c:manualLayout>
          <c:xMode val="edge"/>
          <c:yMode val="edge"/>
          <c:x val="0.23268843798371358"/>
          <c:y val="0.94559206570327059"/>
          <c:w val="0.54302005518540952"/>
          <c:h val="5.1467494926599203E-2"/>
        </c:manualLayout>
      </c:layout>
      <c:overlay val="0"/>
      <c:spPr>
        <a:noFill/>
        <a:ln>
          <a:noFill/>
        </a:ln>
        <a:effectLst/>
      </c:spPr>
      <c:txPr>
        <a:bodyPr rot="0" vert="horz"/>
        <a:lstStyle/>
        <a:p>
          <a:pPr>
            <a:defRPr/>
          </a:pPr>
          <a:endParaRPr lang="es-DO"/>
        </a:p>
      </c:txPr>
    </c:legend>
    <c:plotVisOnly val="1"/>
    <c:dispBlanksAs val="gap"/>
    <c:showDLblsOverMax val="0"/>
    <c:extLst/>
  </c:chart>
  <c:spPr>
    <a:solidFill>
      <a:schemeClr val="bg1"/>
    </a:solidFill>
    <a:ln w="9525" cap="flat" cmpd="sng" algn="ctr">
      <a:noFill/>
      <a:round/>
    </a:ln>
    <a:effectLst/>
  </c:spPr>
  <c:txPr>
    <a:bodyPr/>
    <a:lstStyle/>
    <a:p>
      <a:pPr>
        <a:defRPr sz="1200">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53289210889206E-2"/>
          <c:y val="2.0509133440621153E-2"/>
          <c:w val="0.88131096154646738"/>
          <c:h val="0.68399299289463555"/>
        </c:manualLayout>
      </c:layout>
      <c:barChart>
        <c:barDir val="col"/>
        <c:grouping val="stacked"/>
        <c:varyColors val="0"/>
        <c:ser>
          <c:idx val="0"/>
          <c:order val="0"/>
          <c:tx>
            <c:strRef>
              <c:f>'Figure 4'!$C$83</c:f>
              <c:strCache>
                <c:ptCount val="1"/>
                <c:pt idx="0">
                  <c:v>Minimum wage</c:v>
                </c:pt>
              </c:strCache>
            </c:strRef>
          </c:tx>
          <c:spPr>
            <a:solidFill>
              <a:srgbClr val="93CDDD"/>
            </a:solidFill>
          </c:spPr>
          <c:invertIfNegative val="0"/>
          <c:cat>
            <c:multiLvlStrRef>
              <c:extLst>
                <c:ext xmlns:c15="http://schemas.microsoft.com/office/drawing/2012/chart" uri="{02D57815-91ED-43cb-92C2-25804820EDAC}">
                  <c15:fullRef>
                    <c15:sqref>'Figure 4'!$A$84:$B$125</c15:sqref>
                  </c15:fullRef>
                </c:ext>
              </c:extLst>
              <c:f>('Figure 4'!$A$84:$B$87,'Figure 4'!$A$90:$B$125)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extLst>
                <c:ext xmlns:c15="http://schemas.microsoft.com/office/drawing/2012/chart" uri="{02D57815-91ED-43cb-92C2-25804820EDAC}">
                  <c15:fullRef>
                    <c15:sqref>'Figure 4'!$C$84:$C$125</c15:sqref>
                  </c15:fullRef>
                </c:ext>
              </c:extLst>
              <c:f>('Figure 4'!$C$84:$C$87,'Figure 4'!$C$90:$C$125)</c:f>
              <c:numCache>
                <c:formatCode>0.0%</c:formatCode>
                <c:ptCount val="40"/>
                <c:pt idx="0">
                  <c:v>0.60360037170655934</c:v>
                </c:pt>
                <c:pt idx="1">
                  <c:v>0</c:v>
                </c:pt>
                <c:pt idx="2">
                  <c:v>0.47318120928341578</c:v>
                </c:pt>
                <c:pt idx="3">
                  <c:v>0</c:v>
                </c:pt>
                <c:pt idx="4">
                  <c:v>0.43111527077335021</c:v>
                </c:pt>
                <c:pt idx="5">
                  <c:v>0</c:v>
                </c:pt>
                <c:pt idx="6">
                  <c:v>0.33260979240199495</c:v>
                </c:pt>
                <c:pt idx="7">
                  <c:v>0</c:v>
                </c:pt>
                <c:pt idx="8">
                  <c:v>0.2913081494928525</c:v>
                </c:pt>
                <c:pt idx="9">
                  <c:v>0</c:v>
                </c:pt>
                <c:pt idx="10">
                  <c:v>0.28651801085937356</c:v>
                </c:pt>
                <c:pt idx="11">
                  <c:v>0</c:v>
                </c:pt>
                <c:pt idx="12">
                  <c:v>0.26411503866993924</c:v>
                </c:pt>
                <c:pt idx="13">
                  <c:v>0</c:v>
                </c:pt>
                <c:pt idx="14">
                  <c:v>0.25373341501477159</c:v>
                </c:pt>
                <c:pt idx="15">
                  <c:v>0</c:v>
                </c:pt>
                <c:pt idx="16">
                  <c:v>0.20378784204525005</c:v>
                </c:pt>
                <c:pt idx="17">
                  <c:v>0</c:v>
                </c:pt>
                <c:pt idx="18">
                  <c:v>0.23729517918828463</c:v>
                </c:pt>
                <c:pt idx="19">
                  <c:v>0</c:v>
                </c:pt>
                <c:pt idx="20">
                  <c:v>0.22496508801246287</c:v>
                </c:pt>
                <c:pt idx="21">
                  <c:v>0</c:v>
                </c:pt>
                <c:pt idx="22">
                  <c:v>0.21508332584110071</c:v>
                </c:pt>
                <c:pt idx="23">
                  <c:v>0</c:v>
                </c:pt>
                <c:pt idx="24">
                  <c:v>0.21637842937200005</c:v>
                </c:pt>
                <c:pt idx="25">
                  <c:v>0</c:v>
                </c:pt>
                <c:pt idx="26">
                  <c:v>0.18819818749349776</c:v>
                </c:pt>
                <c:pt idx="27">
                  <c:v>0</c:v>
                </c:pt>
                <c:pt idx="28">
                  <c:v>0.15517232954099469</c:v>
                </c:pt>
                <c:pt idx="29">
                  <c:v>0</c:v>
                </c:pt>
                <c:pt idx="30">
                  <c:v>0.14994018775599496</c:v>
                </c:pt>
                <c:pt idx="31">
                  <c:v>0</c:v>
                </c:pt>
                <c:pt idx="32">
                  <c:v>0.14874173741316807</c:v>
                </c:pt>
                <c:pt idx="33">
                  <c:v>0</c:v>
                </c:pt>
                <c:pt idx="34">
                  <c:v>0.15956032078524277</c:v>
                </c:pt>
                <c:pt idx="35">
                  <c:v>0</c:v>
                </c:pt>
                <c:pt idx="36">
                  <c:v>7.6071340208097735E-2</c:v>
                </c:pt>
                <c:pt idx="37">
                  <c:v>0</c:v>
                </c:pt>
                <c:pt idx="38">
                  <c:v>9.7757846915806731E-2</c:v>
                </c:pt>
                <c:pt idx="39">
                  <c:v>0</c:v>
                </c:pt>
              </c:numCache>
            </c:numRef>
          </c:val>
          <c:extLst>
            <c:ext xmlns:c16="http://schemas.microsoft.com/office/drawing/2014/chart" uri="{C3380CC4-5D6E-409C-BE32-E72D297353CC}">
              <c16:uniqueId val="{00000001-6765-4935-8714-D4A4E59C8B84}"/>
            </c:ext>
          </c:extLst>
        </c:ser>
        <c:ser>
          <c:idx val="1"/>
          <c:order val="1"/>
          <c:tx>
            <c:strRef>
              <c:f>'Figure 4'!$D$83</c:f>
              <c:strCache>
                <c:ptCount val="1"/>
                <c:pt idx="0">
                  <c:v>Mandatory contributions</c:v>
                </c:pt>
              </c:strCache>
            </c:strRef>
          </c:tx>
          <c:spPr>
            <a:solidFill>
              <a:schemeClr val="tx2"/>
            </a:solidFill>
          </c:spPr>
          <c:invertIfNegative val="0"/>
          <c:cat>
            <c:multiLvlStrRef>
              <c:extLst>
                <c:ext xmlns:c15="http://schemas.microsoft.com/office/drawing/2012/chart" uri="{02D57815-91ED-43cb-92C2-25804820EDAC}">
                  <c15:fullRef>
                    <c15:sqref>'Figure 4'!$A$84:$B$125</c15:sqref>
                  </c15:fullRef>
                </c:ext>
              </c:extLst>
              <c:f>('Figure 4'!$A$84:$B$87,'Figure 4'!$A$90:$B$125)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extLst>
                <c:ext xmlns:c15="http://schemas.microsoft.com/office/drawing/2012/chart" uri="{02D57815-91ED-43cb-92C2-25804820EDAC}">
                  <c15:fullRef>
                    <c15:sqref>'Figure 4'!$D$84:$D$125</c15:sqref>
                  </c15:fullRef>
                </c:ext>
              </c:extLst>
              <c:f>('Figure 4'!$D$84:$D$87,'Figure 4'!$D$90:$D$125)</c:f>
              <c:numCache>
                <c:formatCode>0.0%</c:formatCode>
                <c:ptCount val="40"/>
                <c:pt idx="0">
                  <c:v>4.6477228621405076E-2</c:v>
                </c:pt>
                <c:pt idx="1">
                  <c:v>0</c:v>
                </c:pt>
                <c:pt idx="2">
                  <c:v>0.13313450140133914</c:v>
                </c:pt>
                <c:pt idx="3">
                  <c:v>0</c:v>
                </c:pt>
                <c:pt idx="4">
                  <c:v>7.5445172385336295E-2</c:v>
                </c:pt>
                <c:pt idx="5">
                  <c:v>0</c:v>
                </c:pt>
                <c:pt idx="6">
                  <c:v>8.122331130456717E-2</c:v>
                </c:pt>
                <c:pt idx="7">
                  <c:v>0</c:v>
                </c:pt>
                <c:pt idx="8">
                  <c:v>9.8321355027826282E-2</c:v>
                </c:pt>
                <c:pt idx="9">
                  <c:v>0</c:v>
                </c:pt>
                <c:pt idx="10">
                  <c:v>0.11052334146293877</c:v>
                </c:pt>
                <c:pt idx="11">
                  <c:v>0</c:v>
                </c:pt>
                <c:pt idx="12">
                  <c:v>9.1238153873919231E-2</c:v>
                </c:pt>
                <c:pt idx="13">
                  <c:v>0</c:v>
                </c:pt>
                <c:pt idx="14">
                  <c:v>6.6760485099831957E-2</c:v>
                </c:pt>
                <c:pt idx="15">
                  <c:v>0</c:v>
                </c:pt>
                <c:pt idx="16">
                  <c:v>9.0596816376204231E-2</c:v>
                </c:pt>
                <c:pt idx="17">
                  <c:v>0</c:v>
                </c:pt>
                <c:pt idx="18">
                  <c:v>5.8137318901129727E-2</c:v>
                </c:pt>
                <c:pt idx="19">
                  <c:v>0</c:v>
                </c:pt>
                <c:pt idx="20">
                  <c:v>6.7397288702945285E-2</c:v>
                </c:pt>
                <c:pt idx="21">
                  <c:v>0</c:v>
                </c:pt>
                <c:pt idx="22">
                  <c:v>7.376768806963889E-2</c:v>
                </c:pt>
                <c:pt idx="23">
                  <c:v>0</c:v>
                </c:pt>
                <c:pt idx="24">
                  <c:v>4.0286958818699252E-2</c:v>
                </c:pt>
                <c:pt idx="25">
                  <c:v>0</c:v>
                </c:pt>
                <c:pt idx="26">
                  <c:v>4.0937810734523107E-2</c:v>
                </c:pt>
                <c:pt idx="27">
                  <c:v>0</c:v>
                </c:pt>
                <c:pt idx="28">
                  <c:v>7.0864864688187423E-2</c:v>
                </c:pt>
                <c:pt idx="29">
                  <c:v>0</c:v>
                </c:pt>
                <c:pt idx="30">
                  <c:v>5.9518715647008197E-2</c:v>
                </c:pt>
                <c:pt idx="31">
                  <c:v>0</c:v>
                </c:pt>
                <c:pt idx="32">
                  <c:v>3.5236917593179512E-2</c:v>
                </c:pt>
                <c:pt idx="33">
                  <c:v>0</c:v>
                </c:pt>
                <c:pt idx="34">
                  <c:v>3.904048834301229E-2</c:v>
                </c:pt>
                <c:pt idx="35">
                  <c:v>0</c:v>
                </c:pt>
                <c:pt idx="36">
                  <c:v>1.7310648858482013E-2</c:v>
                </c:pt>
                <c:pt idx="37">
                  <c:v>0</c:v>
                </c:pt>
                <c:pt idx="38">
                  <c:v>1.3167961721156521E-2</c:v>
                </c:pt>
                <c:pt idx="39">
                  <c:v>0</c:v>
                </c:pt>
              </c:numCache>
            </c:numRef>
          </c:val>
          <c:extLst>
            <c:ext xmlns:c16="http://schemas.microsoft.com/office/drawing/2014/chart" uri="{C3380CC4-5D6E-409C-BE32-E72D297353CC}">
              <c16:uniqueId val="{00000003-6765-4935-8714-D4A4E59C8B84}"/>
            </c:ext>
          </c:extLst>
        </c:ser>
        <c:ser>
          <c:idx val="2"/>
          <c:order val="2"/>
          <c:tx>
            <c:strRef>
              <c:f>'Figure 4'!$E$83</c:f>
              <c:strCache>
                <c:ptCount val="1"/>
                <c:pt idx="0">
                  <c:v>Bonus</c:v>
                </c:pt>
              </c:strCache>
            </c:strRef>
          </c:tx>
          <c:spPr>
            <a:solidFill>
              <a:schemeClr val="accent2">
                <a:lumMod val="40000"/>
                <a:lumOff val="60000"/>
              </a:schemeClr>
            </a:solidFill>
          </c:spPr>
          <c:invertIfNegative val="0"/>
          <c:cat>
            <c:multiLvlStrRef>
              <c:extLst>
                <c:ext xmlns:c15="http://schemas.microsoft.com/office/drawing/2012/chart" uri="{02D57815-91ED-43cb-92C2-25804820EDAC}">
                  <c15:fullRef>
                    <c15:sqref>'Figure 4'!$A$84:$B$125</c15:sqref>
                  </c15:fullRef>
                </c:ext>
              </c:extLst>
              <c:f>('Figure 4'!$A$84:$B$87,'Figure 4'!$A$90:$B$125)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extLst>
                <c:ext xmlns:c15="http://schemas.microsoft.com/office/drawing/2012/chart" uri="{02D57815-91ED-43cb-92C2-25804820EDAC}">
                  <c15:fullRef>
                    <c15:sqref>'Figure 4'!$E$84:$E$125</c15:sqref>
                  </c15:fullRef>
                </c:ext>
              </c:extLst>
              <c:f>('Figure 4'!$E$84:$E$87,'Figure 4'!$E$90:$E$125)</c:f>
              <c:numCache>
                <c:formatCode>0.0%</c:formatCode>
                <c:ptCount val="40"/>
                <c:pt idx="0">
                  <c:v>9.9276376925420948E-2</c:v>
                </c:pt>
                <c:pt idx="1">
                  <c:v>0</c:v>
                </c:pt>
                <c:pt idx="2">
                  <c:v>3.8874565337119277E-2</c:v>
                </c:pt>
                <c:pt idx="3">
                  <c:v>0</c:v>
                </c:pt>
                <c:pt idx="4">
                  <c:v>7.0868263688769903E-2</c:v>
                </c:pt>
                <c:pt idx="5">
                  <c:v>0</c:v>
                </c:pt>
                <c:pt idx="6">
                  <c:v>5.4675582312656706E-2</c:v>
                </c:pt>
                <c:pt idx="7">
                  <c:v>0</c:v>
                </c:pt>
                <c:pt idx="8">
                  <c:v>4.8551356306754417E-2</c:v>
                </c:pt>
                <c:pt idx="9">
                  <c:v>0</c:v>
                </c:pt>
                <c:pt idx="10">
                  <c:v>2.3549425550085497E-2</c:v>
                </c:pt>
                <c:pt idx="11">
                  <c:v>0</c:v>
                </c:pt>
                <c:pt idx="12">
                  <c:v>4.3397147333213801E-2</c:v>
                </c:pt>
                <c:pt idx="13">
                  <c:v>0</c:v>
                </c:pt>
                <c:pt idx="14">
                  <c:v>2.8576493211027038E-2</c:v>
                </c:pt>
                <c:pt idx="15">
                  <c:v>0</c:v>
                </c:pt>
                <c:pt idx="16">
                  <c:v>1.6749685647554798E-2</c:v>
                </c:pt>
                <c:pt idx="17">
                  <c:v>0</c:v>
                </c:pt>
                <c:pt idx="18">
                  <c:v>1.2346939436349569E-2</c:v>
                </c:pt>
                <c:pt idx="19">
                  <c:v>0</c:v>
                </c:pt>
                <c:pt idx="20">
                  <c:v>1.8482179429219758E-2</c:v>
                </c:pt>
                <c:pt idx="21">
                  <c:v>0</c:v>
                </c:pt>
                <c:pt idx="22">
                  <c:v>1.7678081575980883E-2</c:v>
                </c:pt>
                <c:pt idx="23">
                  <c:v>0</c:v>
                </c:pt>
                <c:pt idx="24">
                  <c:v>0</c:v>
                </c:pt>
                <c:pt idx="25">
                  <c:v>0</c:v>
                </c:pt>
                <c:pt idx="26">
                  <c:v>1.5468344177547761E-2</c:v>
                </c:pt>
                <c:pt idx="27">
                  <c:v>0</c:v>
                </c:pt>
                <c:pt idx="28">
                  <c:v>1.275389009925984E-2</c:v>
                </c:pt>
                <c:pt idx="29">
                  <c:v>0</c:v>
                </c:pt>
                <c:pt idx="30">
                  <c:v>1.2318451179427783E-2</c:v>
                </c:pt>
                <c:pt idx="31">
                  <c:v>0</c:v>
                </c:pt>
                <c:pt idx="32">
                  <c:v>0</c:v>
                </c:pt>
                <c:pt idx="33">
                  <c:v>0</c:v>
                </c:pt>
                <c:pt idx="34">
                  <c:v>1.3108800590309133E-2</c:v>
                </c:pt>
                <c:pt idx="35">
                  <c:v>0</c:v>
                </c:pt>
                <c:pt idx="36">
                  <c:v>3.1696391753374058E-3</c:v>
                </c:pt>
                <c:pt idx="37">
                  <c:v>0</c:v>
                </c:pt>
                <c:pt idx="39">
                  <c:v>0</c:v>
                </c:pt>
              </c:numCache>
            </c:numRef>
          </c:val>
          <c:extLst>
            <c:ext xmlns:c16="http://schemas.microsoft.com/office/drawing/2014/chart" uri="{C3380CC4-5D6E-409C-BE32-E72D297353CC}">
              <c16:uniqueId val="{00000005-6765-4935-8714-D4A4E59C8B84}"/>
            </c:ext>
          </c:extLst>
        </c:ser>
        <c:ser>
          <c:idx val="3"/>
          <c:order val="3"/>
          <c:tx>
            <c:strRef>
              <c:f>'Figure 4'!$F$83</c:f>
              <c:strCache>
                <c:ptCount val="1"/>
                <c:pt idx="0">
                  <c:v>Annual leave</c:v>
                </c:pt>
              </c:strCache>
            </c:strRef>
          </c:tx>
          <c:spPr>
            <a:solidFill>
              <a:schemeClr val="accent2"/>
            </a:solidFill>
          </c:spPr>
          <c:invertIfNegative val="0"/>
          <c:cat>
            <c:multiLvlStrRef>
              <c:extLst>
                <c:ext xmlns:c15="http://schemas.microsoft.com/office/drawing/2012/chart" uri="{02D57815-91ED-43cb-92C2-25804820EDAC}">
                  <c15:fullRef>
                    <c15:sqref>'Figure 4'!$A$84:$B$125</c15:sqref>
                  </c15:fullRef>
                </c:ext>
              </c:extLst>
              <c:f>('Figure 4'!$A$84:$B$87,'Figure 4'!$A$90:$B$125)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extLst>
                <c:ext xmlns:c15="http://schemas.microsoft.com/office/drawing/2012/chart" uri="{02D57815-91ED-43cb-92C2-25804820EDAC}">
                  <c15:fullRef>
                    <c15:sqref>'Figure 4'!$F$84:$F$125</c15:sqref>
                  </c15:fullRef>
                </c:ext>
              </c:extLst>
              <c:f>('Figure 4'!$F$84:$F$87,'Figure 4'!$F$90:$F$125)</c:f>
              <c:numCache>
                <c:formatCode>0.0%</c:formatCode>
                <c:ptCount val="40"/>
                <c:pt idx="0">
                  <c:v>3.309212564180699E-2</c:v>
                </c:pt>
                <c:pt idx="1">
                  <c:v>0</c:v>
                </c:pt>
                <c:pt idx="2">
                  <c:v>1.5549826134847712E-2</c:v>
                </c:pt>
                <c:pt idx="3">
                  <c:v>0</c:v>
                </c:pt>
                <c:pt idx="4">
                  <c:v>1.7717065922192476E-2</c:v>
                </c:pt>
                <c:pt idx="5">
                  <c:v>0</c:v>
                </c:pt>
                <c:pt idx="6">
                  <c:v>1.8225194104218904E-2</c:v>
                </c:pt>
                <c:pt idx="7">
                  <c:v>0</c:v>
                </c:pt>
                <c:pt idx="8">
                  <c:v>1.2137839562202187E-2</c:v>
                </c:pt>
                <c:pt idx="9">
                  <c:v>0</c:v>
                </c:pt>
                <c:pt idx="10">
                  <c:v>1.0989731923373233E-2</c:v>
                </c:pt>
                <c:pt idx="11">
                  <c:v>0</c:v>
                </c:pt>
                <c:pt idx="12">
                  <c:v>2.16985736666069E-2</c:v>
                </c:pt>
                <c:pt idx="13">
                  <c:v>0</c:v>
                </c:pt>
                <c:pt idx="14">
                  <c:v>1.2861392295970589E-2</c:v>
                </c:pt>
                <c:pt idx="15">
                  <c:v>0</c:v>
                </c:pt>
                <c:pt idx="16">
                  <c:v>7.8130950504806135E-3</c:v>
                </c:pt>
                <c:pt idx="17">
                  <c:v>0</c:v>
                </c:pt>
                <c:pt idx="18">
                  <c:v>1.2346939436349569E-2</c:v>
                </c:pt>
                <c:pt idx="19">
                  <c:v>0</c:v>
                </c:pt>
                <c:pt idx="20">
                  <c:v>1.8482179429219758E-2</c:v>
                </c:pt>
                <c:pt idx="21">
                  <c:v>0</c:v>
                </c:pt>
                <c:pt idx="22">
                  <c:v>8.8390407879904414E-3</c:v>
                </c:pt>
                <c:pt idx="23">
                  <c:v>0</c:v>
                </c:pt>
                <c:pt idx="24">
                  <c:v>8.2994466060493152E-3</c:v>
                </c:pt>
                <c:pt idx="25">
                  <c:v>0</c:v>
                </c:pt>
                <c:pt idx="26">
                  <c:v>9.7966179791135824E-3</c:v>
                </c:pt>
                <c:pt idx="27">
                  <c:v>0</c:v>
                </c:pt>
                <c:pt idx="28">
                  <c:v>1.7005186799013122E-2</c:v>
                </c:pt>
                <c:pt idx="29">
                  <c:v>0</c:v>
                </c:pt>
                <c:pt idx="30">
                  <c:v>8.6229158255994483E-3</c:v>
                </c:pt>
                <c:pt idx="31">
                  <c:v>0</c:v>
                </c:pt>
                <c:pt idx="32">
                  <c:v>6.1126741402671809E-3</c:v>
                </c:pt>
                <c:pt idx="33">
                  <c:v>0</c:v>
                </c:pt>
                <c:pt idx="34">
                  <c:v>7.8652803541854784E-3</c:v>
                </c:pt>
                <c:pt idx="35">
                  <c:v>0</c:v>
                </c:pt>
                <c:pt idx="36">
                  <c:v>2.9583298969815788E-3</c:v>
                </c:pt>
                <c:pt idx="37">
                  <c:v>0</c:v>
                </c:pt>
                <c:pt idx="38">
                  <c:v>3.749616046085738E-3</c:v>
                </c:pt>
                <c:pt idx="39">
                  <c:v>0</c:v>
                </c:pt>
              </c:numCache>
            </c:numRef>
          </c:val>
          <c:extLst>
            <c:ext xmlns:c16="http://schemas.microsoft.com/office/drawing/2014/chart" uri="{C3380CC4-5D6E-409C-BE32-E72D297353CC}">
              <c16:uniqueId val="{00000007-6765-4935-8714-D4A4E59C8B84}"/>
            </c:ext>
          </c:extLst>
        </c:ser>
        <c:ser>
          <c:idx val="4"/>
          <c:order val="4"/>
          <c:tx>
            <c:strRef>
              <c:f>'Figure 4'!$G$83</c:f>
              <c:strCache>
                <c:ptCount val="1"/>
                <c:pt idx="0">
                  <c:v>Severance payment (flow)</c:v>
                </c:pt>
              </c:strCache>
            </c:strRef>
          </c:tx>
          <c:spPr>
            <a:solidFill>
              <a:schemeClr val="tx2">
                <a:lumMod val="25000"/>
                <a:lumOff val="75000"/>
              </a:schemeClr>
            </a:solidFill>
          </c:spPr>
          <c:invertIfNegative val="0"/>
          <c:cat>
            <c:multiLvlStrRef>
              <c:extLst>
                <c:ext xmlns:c15="http://schemas.microsoft.com/office/drawing/2012/chart" uri="{02D57815-91ED-43cb-92C2-25804820EDAC}">
                  <c15:fullRef>
                    <c15:sqref>'Figure 4'!$A$84:$B$125</c15:sqref>
                  </c15:fullRef>
                </c:ext>
              </c:extLst>
              <c:f>('Figure 4'!$A$84:$B$87,'Figure 4'!$A$90:$B$125)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extLst>
                <c:ext xmlns:c15="http://schemas.microsoft.com/office/drawing/2012/chart" uri="{02D57815-91ED-43cb-92C2-25804820EDAC}">
                  <c15:fullRef>
                    <c15:sqref>'Figure 4'!$G$84:$G$125</c15:sqref>
                  </c15:fullRef>
                </c:ext>
              </c:extLst>
              <c:f>('Figure 4'!$G$84:$G$87,'Figure 4'!$G$90:$G$125)</c:f>
              <c:numCache>
                <c:formatCode>0.0%</c:formatCode>
                <c:ptCount val="40"/>
                <c:pt idx="0">
                  <c:v>4.9638188462710481E-2</c:v>
                </c:pt>
                <c:pt idx="1">
                  <c:v>0</c:v>
                </c:pt>
                <c:pt idx="2">
                  <c:v>1.9437282668559638E-2</c:v>
                </c:pt>
                <c:pt idx="3">
                  <c:v>0</c:v>
                </c:pt>
                <c:pt idx="4">
                  <c:v>3.5434131844384952E-2</c:v>
                </c:pt>
                <c:pt idx="5">
                  <c:v>0</c:v>
                </c:pt>
                <c:pt idx="6">
                  <c:v>2.733779115632835E-2</c:v>
                </c:pt>
                <c:pt idx="7">
                  <c:v>0</c:v>
                </c:pt>
                <c:pt idx="8">
                  <c:v>2.4275679124404377E-2</c:v>
                </c:pt>
                <c:pt idx="9">
                  <c:v>0</c:v>
                </c:pt>
                <c:pt idx="10">
                  <c:v>1.6641594055393751E-2</c:v>
                </c:pt>
                <c:pt idx="11">
                  <c:v>0</c:v>
                </c:pt>
                <c:pt idx="12">
                  <c:v>3.2547860499910347E-2</c:v>
                </c:pt>
                <c:pt idx="13">
                  <c:v>0</c:v>
                </c:pt>
                <c:pt idx="14">
                  <c:v>1.8439526466369802E-2</c:v>
                </c:pt>
                <c:pt idx="15">
                  <c:v>0</c:v>
                </c:pt>
                <c:pt idx="16">
                  <c:v>1.6742346536744172E-2</c:v>
                </c:pt>
                <c:pt idx="17">
                  <c:v>0</c:v>
                </c:pt>
                <c:pt idx="18">
                  <c:v>1.9695499872627625E-2</c:v>
                </c:pt>
                <c:pt idx="19">
                  <c:v>0</c:v>
                </c:pt>
                <c:pt idx="20">
                  <c:v>1.4662529013847674E-2</c:v>
                </c:pt>
                <c:pt idx="21">
                  <c:v>0</c:v>
                </c:pt>
                <c:pt idx="22">
                  <c:v>1.2963926489052643E-2</c:v>
                </c:pt>
                <c:pt idx="23">
                  <c:v>0</c:v>
                </c:pt>
                <c:pt idx="24">
                  <c:v>8.2994466060493169E-3</c:v>
                </c:pt>
                <c:pt idx="25">
                  <c:v>0</c:v>
                </c:pt>
                <c:pt idx="26">
                  <c:v>1.546834417754776E-2</c:v>
                </c:pt>
                <c:pt idx="27">
                  <c:v>0</c:v>
                </c:pt>
                <c:pt idx="28">
                  <c:v>4.8974937981157785E-3</c:v>
                </c:pt>
                <c:pt idx="29">
                  <c:v>0</c:v>
                </c:pt>
                <c:pt idx="30">
                  <c:v>1.4700018407450489E-2</c:v>
                </c:pt>
                <c:pt idx="31">
                  <c:v>0</c:v>
                </c:pt>
                <c:pt idx="32">
                  <c:v>1.2225348280534362E-2</c:v>
                </c:pt>
                <c:pt idx="33">
                  <c:v>0</c:v>
                </c:pt>
                <c:pt idx="34">
                  <c:v>1.0050080452570335E-2</c:v>
                </c:pt>
                <c:pt idx="35">
                  <c:v>0</c:v>
                </c:pt>
                <c:pt idx="36">
                  <c:v>7.9162858141847807E-3</c:v>
                </c:pt>
                <c:pt idx="37">
                  <c:v>0</c:v>
                </c:pt>
                <c:pt idx="38">
                  <c:v>4.4459733117873743E-3</c:v>
                </c:pt>
                <c:pt idx="39">
                  <c:v>0</c:v>
                </c:pt>
              </c:numCache>
            </c:numRef>
          </c:val>
          <c:extLst>
            <c:ext xmlns:c16="http://schemas.microsoft.com/office/drawing/2014/chart" uri="{C3380CC4-5D6E-409C-BE32-E72D297353CC}">
              <c16:uniqueId val="{00000009-6765-4935-8714-D4A4E59C8B84}"/>
            </c:ext>
          </c:extLst>
        </c:ser>
        <c:ser>
          <c:idx val="5"/>
          <c:order val="5"/>
          <c:tx>
            <c:strRef>
              <c:f>'Figure 4'!$H$83</c:f>
              <c:strCache>
                <c:ptCount val="1"/>
                <c:pt idx="0">
                  <c:v>Firing notice (flow)</c:v>
                </c:pt>
              </c:strCache>
            </c:strRef>
          </c:tx>
          <c:spPr>
            <a:solidFill>
              <a:srgbClr val="558ED5"/>
            </a:solidFill>
          </c:spPr>
          <c:invertIfNegative val="0"/>
          <c:cat>
            <c:multiLvlStrRef>
              <c:extLst>
                <c:ext xmlns:c15="http://schemas.microsoft.com/office/drawing/2012/chart" uri="{02D57815-91ED-43cb-92C2-25804820EDAC}">
                  <c15:fullRef>
                    <c15:sqref>'Figure 4'!$A$84:$B$125</c15:sqref>
                  </c15:fullRef>
                </c:ext>
              </c:extLst>
              <c:f>('Figure 4'!$A$84:$B$87,'Figure 4'!$A$90:$B$125)</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HND</c:v>
                  </c:pt>
                  <c:pt idx="2">
                    <c:v>PRY</c:v>
                  </c:pt>
                  <c:pt idx="4">
                    <c:v>GTM</c:v>
                  </c:pt>
                  <c:pt idx="6">
                    <c:v>BOL</c:v>
                  </c:pt>
                  <c:pt idx="8">
                    <c:v>ECU</c:v>
                  </c:pt>
                  <c:pt idx="10">
                    <c:v>CRI</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extLst>
                <c:ext xmlns:c15="http://schemas.microsoft.com/office/drawing/2012/chart" uri="{02D57815-91ED-43cb-92C2-25804820EDAC}">
                  <c15:fullRef>
                    <c15:sqref>'Figure 4'!$H$84:$H$125</c15:sqref>
                  </c15:fullRef>
                </c:ext>
              </c:extLst>
              <c:f>('Figure 4'!$H$84:$H$87,'Figure 4'!$H$90:$H$125)</c:f>
              <c:numCache>
                <c:formatCode>0.0%</c:formatCode>
                <c:ptCount val="40"/>
                <c:pt idx="0">
                  <c:v>9.9276376925420944E-3</c:v>
                </c:pt>
                <c:pt idx="1">
                  <c:v>0</c:v>
                </c:pt>
                <c:pt idx="2">
                  <c:v>1.1662369601135782E-2</c:v>
                </c:pt>
                <c:pt idx="3">
                  <c:v>0</c:v>
                </c:pt>
                <c:pt idx="4">
                  <c:v>0</c:v>
                </c:pt>
                <c:pt idx="5">
                  <c:v>0</c:v>
                </c:pt>
                <c:pt idx="6">
                  <c:v>1.6402674693797008E-2</c:v>
                </c:pt>
                <c:pt idx="7">
                  <c:v>0</c:v>
                </c:pt>
                <c:pt idx="8">
                  <c:v>0</c:v>
                </c:pt>
                <c:pt idx="9">
                  <c:v>0</c:v>
                </c:pt>
                <c:pt idx="10">
                  <c:v>4.7098851100170992E-3</c:v>
                </c:pt>
                <c:pt idx="11">
                  <c:v>0</c:v>
                </c:pt>
                <c:pt idx="12">
                  <c:v>0</c:v>
                </c:pt>
                <c:pt idx="13">
                  <c:v>0</c:v>
                </c:pt>
                <c:pt idx="14">
                  <c:v>3.4481290793055043E-3</c:v>
                </c:pt>
                <c:pt idx="15">
                  <c:v>0</c:v>
                </c:pt>
                <c:pt idx="16">
                  <c:v>6.696938614697669E-3</c:v>
                </c:pt>
                <c:pt idx="17">
                  <c:v>0</c:v>
                </c:pt>
                <c:pt idx="18">
                  <c:v>0</c:v>
                </c:pt>
                <c:pt idx="19">
                  <c:v>0</c:v>
                </c:pt>
                <c:pt idx="20">
                  <c:v>0</c:v>
                </c:pt>
                <c:pt idx="21">
                  <c:v>0</c:v>
                </c:pt>
                <c:pt idx="22">
                  <c:v>8.8390407879904414E-4</c:v>
                </c:pt>
                <c:pt idx="23">
                  <c:v>0</c:v>
                </c:pt>
                <c:pt idx="24">
                  <c:v>3.3197786424197261E-3</c:v>
                </c:pt>
                <c:pt idx="25">
                  <c:v>0</c:v>
                </c:pt>
                <c:pt idx="26">
                  <c:v>0</c:v>
                </c:pt>
                <c:pt idx="27">
                  <c:v>0</c:v>
                </c:pt>
                <c:pt idx="28">
                  <c:v>3.5710892277927555E-3</c:v>
                </c:pt>
                <c:pt idx="29">
                  <c:v>0</c:v>
                </c:pt>
                <c:pt idx="30">
                  <c:v>0</c:v>
                </c:pt>
                <c:pt idx="31">
                  <c:v>0</c:v>
                </c:pt>
                <c:pt idx="32">
                  <c:v>2.4450696561068722E-3</c:v>
                </c:pt>
                <c:pt idx="33">
                  <c:v>0</c:v>
                </c:pt>
                <c:pt idx="34">
                  <c:v>2.4469761101910386E-3</c:v>
                </c:pt>
                <c:pt idx="35">
                  <c:v>0</c:v>
                </c:pt>
                <c:pt idx="36">
                  <c:v>0</c:v>
                </c:pt>
                <c:pt idx="37">
                  <c:v>0</c:v>
                </c:pt>
                <c:pt idx="38">
                  <c:v>0</c:v>
                </c:pt>
                <c:pt idx="39">
                  <c:v>0</c:v>
                </c:pt>
              </c:numCache>
            </c:numRef>
          </c:val>
          <c:extLst>
            <c:ext xmlns:c16="http://schemas.microsoft.com/office/drawing/2014/chart" uri="{C3380CC4-5D6E-409C-BE32-E72D297353CC}">
              <c16:uniqueId val="{0000000B-6765-4935-8714-D4A4E59C8B84}"/>
            </c:ext>
          </c:extLst>
        </c:ser>
        <c:dLbls>
          <c:showLegendKey val="0"/>
          <c:showVal val="0"/>
          <c:showCatName val="0"/>
          <c:showSerName val="0"/>
          <c:showPercent val="0"/>
          <c:showBubbleSize val="0"/>
        </c:dLbls>
        <c:gapWidth val="219"/>
        <c:overlap val="100"/>
        <c:axId val="271161888"/>
        <c:axId val="271148448"/>
      </c:barChart>
      <c:barChart>
        <c:barDir val="col"/>
        <c:grouping val="clustered"/>
        <c:varyColors val="0"/>
        <c:ser>
          <c:idx val="6"/>
          <c:order val="6"/>
          <c:tx>
            <c:strRef>
              <c:f>'Figure 4'!$I$83</c:f>
              <c:strCache>
                <c:ptCount val="1"/>
                <c:pt idx="0">
                  <c:v>Total 2023</c:v>
                </c:pt>
              </c:strCache>
            </c:strRef>
          </c:tx>
          <c:spPr>
            <a:noFill/>
            <a:ln>
              <a:noFill/>
            </a:ln>
          </c:spPr>
          <c:invertIfNegative val="0"/>
          <c:cat>
            <c:strLit>
              <c:ptCount val="40"/>
              <c:pt idx="0">
                <c:v>1</c:v>
              </c:pt>
              <c:pt idx="1">
                <c:v>2</c:v>
              </c:pt>
              <c:pt idx="2">
                <c:v>3</c:v>
              </c:pt>
              <c:pt idx="3">
                <c:v>4</c:v>
              </c:pt>
              <c:pt idx="4">
                <c:v>7</c:v>
              </c:pt>
              <c:pt idx="5">
                <c:v>8</c:v>
              </c:pt>
              <c:pt idx="6">
                <c:v>9</c:v>
              </c:pt>
              <c:pt idx="7">
                <c:v>10</c:v>
              </c:pt>
              <c:pt idx="8">
                <c:v>11</c:v>
              </c:pt>
              <c:pt idx="9">
                <c:v>12</c:v>
              </c:pt>
              <c:pt idx="10">
                <c:v>13</c:v>
              </c:pt>
              <c:pt idx="11">
                <c:v>14</c:v>
              </c:pt>
              <c:pt idx="12">
                <c:v>15</c:v>
              </c:pt>
              <c:pt idx="13">
                <c:v>16</c:v>
              </c:pt>
              <c:pt idx="14">
                <c:v>17</c:v>
              </c:pt>
              <c:pt idx="15">
                <c:v>18</c:v>
              </c:pt>
              <c:pt idx="16">
                <c:v>19</c:v>
              </c:pt>
              <c:pt idx="17">
                <c:v>20</c:v>
              </c:pt>
              <c:pt idx="18">
                <c:v>21</c:v>
              </c:pt>
              <c:pt idx="19">
                <c:v>22</c:v>
              </c:pt>
              <c:pt idx="20">
                <c:v>23</c:v>
              </c:pt>
              <c:pt idx="21">
                <c:v>24</c:v>
              </c:pt>
              <c:pt idx="22">
                <c:v>25</c:v>
              </c:pt>
              <c:pt idx="23">
                <c:v>26</c:v>
              </c:pt>
              <c:pt idx="24">
                <c:v>27</c:v>
              </c:pt>
              <c:pt idx="25">
                <c:v>28</c:v>
              </c:pt>
              <c:pt idx="26">
                <c:v>29</c:v>
              </c:pt>
              <c:pt idx="27">
                <c:v>30</c:v>
              </c:pt>
              <c:pt idx="28">
                <c:v>31</c:v>
              </c:pt>
              <c:pt idx="29">
                <c:v>32</c:v>
              </c:pt>
              <c:pt idx="30">
                <c:v>33</c:v>
              </c:pt>
              <c:pt idx="31">
                <c:v>34</c:v>
              </c:pt>
              <c:pt idx="32">
                <c:v>35</c:v>
              </c:pt>
              <c:pt idx="33">
                <c:v>36</c:v>
              </c:pt>
              <c:pt idx="34">
                <c:v>37</c:v>
              </c:pt>
              <c:pt idx="35">
                <c:v>38</c:v>
              </c:pt>
              <c:pt idx="36">
                <c:v>39</c:v>
              </c:pt>
              <c:pt idx="37">
                <c:v>40</c:v>
              </c:pt>
              <c:pt idx="38">
                <c:v>41</c:v>
              </c:pt>
              <c:pt idx="39">
                <c:v>42</c:v>
              </c:pt>
              <c:extLst>
                <c:ext xmlns:c15="http://schemas.microsoft.com/office/drawing/2012/chart" uri="{02D57815-91ED-43cb-92C2-25804820EDAC}">
                  <c15:autoCat val="1"/>
                </c:ext>
              </c:extLst>
            </c:strLit>
          </c:cat>
          <c:val>
            <c:numRef>
              <c:extLst>
                <c:ext xmlns:c15="http://schemas.microsoft.com/office/drawing/2012/chart" uri="{02D57815-91ED-43cb-92C2-25804820EDAC}">
                  <c15:fullRef>
                    <c15:sqref>'Figure 4'!$I$84:$I$125</c15:sqref>
                  </c15:fullRef>
                </c:ext>
              </c:extLst>
              <c:f>('Figure 4'!$I$84:$I$87,'Figure 4'!$I$90:$I$125)</c:f>
              <c:numCache>
                <c:formatCode>0.0%</c:formatCode>
                <c:ptCount val="40"/>
                <c:pt idx="0">
                  <c:v>0.84201192905044497</c:v>
                </c:pt>
                <c:pt idx="1">
                  <c:v>0</c:v>
                </c:pt>
                <c:pt idx="2">
                  <c:v>0.69183975442641732</c:v>
                </c:pt>
                <c:pt idx="3">
                  <c:v>0</c:v>
                </c:pt>
                <c:pt idx="4">
                  <c:v>0.63057990461403379</c:v>
                </c:pt>
                <c:pt idx="5">
                  <c:v>0</c:v>
                </c:pt>
                <c:pt idx="6">
                  <c:v>0.53047434597356302</c:v>
                </c:pt>
                <c:pt idx="7">
                  <c:v>0</c:v>
                </c:pt>
                <c:pt idx="9">
                  <c:v>0</c:v>
                </c:pt>
                <c:pt idx="10">
                  <c:v>0.45293198896118181</c:v>
                </c:pt>
                <c:pt idx="11">
                  <c:v>0</c:v>
                </c:pt>
                <c:pt idx="12">
                  <c:v>0.45299677404358951</c:v>
                </c:pt>
                <c:pt idx="13">
                  <c:v>0</c:v>
                </c:pt>
                <c:pt idx="14">
                  <c:v>0.38381944116727656</c:v>
                </c:pt>
                <c:pt idx="15">
                  <c:v>0</c:v>
                </c:pt>
                <c:pt idx="16">
                  <c:v>0.34238672427093153</c:v>
                </c:pt>
                <c:pt idx="17">
                  <c:v>0</c:v>
                </c:pt>
                <c:pt idx="18">
                  <c:v>0.33982187683474113</c:v>
                </c:pt>
                <c:pt idx="19">
                  <c:v>0</c:v>
                </c:pt>
                <c:pt idx="20">
                  <c:v>0.34398926458769535</c:v>
                </c:pt>
                <c:pt idx="21">
                  <c:v>0</c:v>
                </c:pt>
                <c:pt idx="22">
                  <c:v>0.3292159668425626</c:v>
                </c:pt>
                <c:pt idx="23">
                  <c:v>0</c:v>
                </c:pt>
                <c:pt idx="24">
                  <c:v>0.27658406004521763</c:v>
                </c:pt>
                <c:pt idx="25">
                  <c:v>0</c:v>
                </c:pt>
                <c:pt idx="26">
                  <c:v>0.26986930456222996</c:v>
                </c:pt>
                <c:pt idx="27">
                  <c:v>0</c:v>
                </c:pt>
                <c:pt idx="28">
                  <c:v>0.26426485415336359</c:v>
                </c:pt>
                <c:pt idx="29">
                  <c:v>0</c:v>
                </c:pt>
                <c:pt idx="30">
                  <c:v>0.2451002888154809</c:v>
                </c:pt>
                <c:pt idx="31">
                  <c:v>0</c:v>
                </c:pt>
                <c:pt idx="32">
                  <c:v>0.20476174708325601</c:v>
                </c:pt>
                <c:pt idx="33">
                  <c:v>0</c:v>
                </c:pt>
                <c:pt idx="34">
                  <c:v>0.23207194663551106</c:v>
                </c:pt>
                <c:pt idx="35">
                  <c:v>0</c:v>
                </c:pt>
                <c:pt idx="36">
                  <c:v>0.10742624395308351</c:v>
                </c:pt>
                <c:pt idx="37">
                  <c:v>0</c:v>
                </c:pt>
                <c:pt idx="38">
                  <c:v>0.11912139799483637</c:v>
                </c:pt>
                <c:pt idx="39">
                  <c:v>0</c:v>
                </c:pt>
              </c:numCache>
            </c:numRef>
          </c:val>
          <c:extLst>
            <c:ext xmlns:c16="http://schemas.microsoft.com/office/drawing/2014/chart" uri="{C3380CC4-5D6E-409C-BE32-E72D297353CC}">
              <c16:uniqueId val="{00000000-D195-4C06-84B7-2FE3336C1EF2}"/>
            </c:ext>
          </c:extLst>
        </c:ser>
        <c:dLbls>
          <c:showLegendKey val="0"/>
          <c:showVal val="0"/>
          <c:showCatName val="0"/>
          <c:showSerName val="0"/>
          <c:showPercent val="0"/>
          <c:showBubbleSize val="0"/>
        </c:dLbls>
        <c:gapWidth val="219"/>
        <c:axId val="578969456"/>
        <c:axId val="578989136"/>
      </c:barChart>
      <c:catAx>
        <c:axId val="27116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vert="horz"/>
          <a:lstStyle/>
          <a:p>
            <a:pPr>
              <a:defRPr/>
            </a:pPr>
            <a:endParaRPr lang="es-DO"/>
          </a:p>
        </c:txPr>
        <c:crossAx val="271148448"/>
        <c:crosses val="autoZero"/>
        <c:auto val="1"/>
        <c:lblAlgn val="ctr"/>
        <c:lblOffset val="100"/>
        <c:noMultiLvlLbl val="0"/>
      </c:catAx>
      <c:valAx>
        <c:axId val="271148448"/>
        <c:scaling>
          <c:orientation val="minMax"/>
        </c:scaling>
        <c:delete val="0"/>
        <c:axPos val="l"/>
        <c:title>
          <c:tx>
            <c:rich>
              <a:bodyPr rot="-5400000" vert="horz"/>
              <a:lstStyle/>
              <a:p>
                <a:pPr>
                  <a:defRPr/>
                </a:pPr>
                <a:r>
                  <a:rPr lang="en-US"/>
                  <a:t>Minimum cost of salaried labor as % of GDP per worker</a:t>
                </a:r>
              </a:p>
            </c:rich>
          </c:tx>
          <c:layout>
            <c:manualLayout>
              <c:xMode val="edge"/>
              <c:yMode val="edge"/>
              <c:x val="1.6528158857596433E-3"/>
              <c:y val="0.12671144266595183"/>
            </c:manualLayout>
          </c:layout>
          <c:overlay val="0"/>
          <c:spPr>
            <a:noFill/>
            <a:ln>
              <a:noFill/>
            </a:ln>
            <a:effectLst/>
          </c:spPr>
        </c:title>
        <c:numFmt formatCode="0%" sourceLinked="0"/>
        <c:majorTickMark val="none"/>
        <c:minorTickMark val="none"/>
        <c:tickLblPos val="nextTo"/>
        <c:spPr>
          <a:noFill/>
          <a:ln>
            <a:noFill/>
          </a:ln>
          <a:effectLst/>
        </c:spPr>
        <c:txPr>
          <a:bodyPr rot="-60000000" vert="horz"/>
          <a:lstStyle/>
          <a:p>
            <a:pPr>
              <a:defRPr/>
            </a:pPr>
            <a:endParaRPr lang="es-DO"/>
          </a:p>
        </c:txPr>
        <c:crossAx val="271161888"/>
        <c:crosses val="autoZero"/>
        <c:crossBetween val="between"/>
      </c:valAx>
      <c:valAx>
        <c:axId val="578989136"/>
        <c:scaling>
          <c:orientation val="minMax"/>
        </c:scaling>
        <c:delete val="0"/>
        <c:axPos val="r"/>
        <c:numFmt formatCode="0.0%" sourceLinked="1"/>
        <c:majorTickMark val="out"/>
        <c:minorTickMark val="none"/>
        <c:tickLblPos val="nextTo"/>
        <c:crossAx val="578969456"/>
        <c:crosses val="max"/>
        <c:crossBetween val="between"/>
      </c:valAx>
      <c:catAx>
        <c:axId val="578969456"/>
        <c:scaling>
          <c:orientation val="minMax"/>
        </c:scaling>
        <c:delete val="1"/>
        <c:axPos val="b"/>
        <c:majorTickMark val="out"/>
        <c:minorTickMark val="none"/>
        <c:tickLblPos val="nextTo"/>
        <c:crossAx val="578989136"/>
        <c:crosses val="autoZero"/>
        <c:auto val="1"/>
        <c:lblAlgn val="ctr"/>
        <c:lblOffset val="100"/>
        <c:noMultiLvlLbl val="0"/>
      </c:catAx>
      <c:spPr>
        <a:ln>
          <a:noFill/>
        </a:ln>
      </c:spPr>
    </c:plotArea>
    <c:legend>
      <c:legendPos val="b"/>
      <c:legendEntry>
        <c:idx val="6"/>
        <c:delete val="1"/>
      </c:legendEntry>
      <c:layout>
        <c:manualLayout>
          <c:xMode val="edge"/>
          <c:yMode val="edge"/>
          <c:x val="6.2692779314597422E-2"/>
          <c:y val="0.88043232708364227"/>
          <c:w val="0.93730722068540262"/>
          <c:h val="0.11956767291635778"/>
        </c:manualLayout>
      </c:layout>
      <c:overlay val="1"/>
      <c:spPr>
        <a:noFill/>
        <a:ln>
          <a:noFill/>
        </a:ln>
        <a:effectLst/>
      </c:spPr>
      <c:txPr>
        <a:bodyPr rot="0" vert="horz"/>
        <a:lstStyle/>
        <a:p>
          <a:pPr>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lgn="ctr">
        <a:defRPr lang="en-US" sz="14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2567804024497"/>
          <c:y val="4.4372730939895119E-2"/>
          <c:w val="0.85662847432532474"/>
          <c:h val="0.71193743984906299"/>
        </c:manualLayout>
      </c:layout>
      <c:barChart>
        <c:barDir val="col"/>
        <c:grouping val="stacked"/>
        <c:varyColors val="0"/>
        <c:ser>
          <c:idx val="0"/>
          <c:order val="0"/>
          <c:tx>
            <c:strRef>
              <c:f>'Figure 11'!$P$30</c:f>
              <c:strCache>
                <c:ptCount val="1"/>
                <c:pt idx="0">
                  <c:v>Pensions</c:v>
                </c:pt>
              </c:strCache>
            </c:strRef>
          </c:tx>
          <c:spPr>
            <a:solidFill>
              <a:srgbClr val="10253F"/>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11'!$P$31:$P$70</c:f>
              <c:numCache>
                <c:formatCode>0.0%</c:formatCode>
                <c:ptCount val="40"/>
                <c:pt idx="0">
                  <c:v>0.21643835616438356</c:v>
                </c:pt>
                <c:pt idx="1">
                  <c:v>0.21643115346697342</c:v>
                </c:pt>
                <c:pt idx="2">
                  <c:v>0</c:v>
                </c:pt>
                <c:pt idx="3">
                  <c:v>0</c:v>
                </c:pt>
                <c:pt idx="4">
                  <c:v>0.03</c:v>
                </c:pt>
                <c:pt idx="5">
                  <c:v>3.0000000000000002E-2</c:v>
                </c:pt>
                <c:pt idx="6">
                  <c:v>0.11005890410958902</c:v>
                </c:pt>
                <c:pt idx="7">
                  <c:v>0.11654817614196518</c:v>
                </c:pt>
                <c:pt idx="8">
                  <c:v>6.9476712328767107E-2</c:v>
                </c:pt>
                <c:pt idx="9">
                  <c:v>9.3822905027932973E-2</c:v>
                </c:pt>
                <c:pt idx="10">
                  <c:v>3.35482E-2</c:v>
                </c:pt>
                <c:pt idx="11">
                  <c:v>4.1338350312191914E-2</c:v>
                </c:pt>
                <c:pt idx="12">
                  <c:v>0.1298630136986301</c:v>
                </c:pt>
                <c:pt idx="13">
                  <c:v>0.12985869208018402</c:v>
                </c:pt>
                <c:pt idx="14">
                  <c:v>8.1224999999999992E-2</c:v>
                </c:pt>
                <c:pt idx="15">
                  <c:v>8.1161682550115022E-2</c:v>
                </c:pt>
                <c:pt idx="16">
                  <c:v>0.02</c:v>
                </c:pt>
                <c:pt idx="17">
                  <c:v>0.02</c:v>
                </c:pt>
                <c:pt idx="18">
                  <c:v>3.6700000000000003E-2</c:v>
                </c:pt>
                <c:pt idx="19">
                  <c:v>3.6700000000000003E-2</c:v>
                </c:pt>
                <c:pt idx="20">
                  <c:v>6.8136893076107513E-2</c:v>
                </c:pt>
                <c:pt idx="21">
                  <c:v>7.2990045915945545E-2</c:v>
                </c:pt>
                <c:pt idx="22">
                  <c:v>5.1458333333333342E-2</c:v>
                </c:pt>
                <c:pt idx="23">
                  <c:v>5.1458333333333342E-2</c:v>
                </c:pt>
                <c:pt idx="24">
                  <c:v>7.6833059480775553E-2</c:v>
                </c:pt>
                <c:pt idx="25">
                  <c:v>7.683305948077554E-2</c:v>
                </c:pt>
                <c:pt idx="26">
                  <c:v>5.3645833333333337E-2</c:v>
                </c:pt>
                <c:pt idx="27">
                  <c:v>6.2666666666666676E-2</c:v>
                </c:pt>
                <c:pt idx="28">
                  <c:v>9.0000000000000011E-2</c:v>
                </c:pt>
                <c:pt idx="29">
                  <c:v>0.09</c:v>
                </c:pt>
                <c:pt idx="30">
                  <c:v>0.15150180742688138</c:v>
                </c:pt>
                <c:pt idx="31">
                  <c:v>0.15150180742688138</c:v>
                </c:pt>
                <c:pt idx="32">
                  <c:v>6.7500000000000004E-2</c:v>
                </c:pt>
                <c:pt idx="33">
                  <c:v>8.7499999999999994E-2</c:v>
                </c:pt>
                <c:pt idx="34">
                  <c:v>2.5000000000000001E-2</c:v>
                </c:pt>
                <c:pt idx="35">
                  <c:v>0.03</c:v>
                </c:pt>
                <c:pt idx="36">
                  <c:v>0</c:v>
                </c:pt>
                <c:pt idx="37">
                  <c:v>0</c:v>
                </c:pt>
                <c:pt idx="38">
                  <c:v>7.3214855494241657E-2</c:v>
                </c:pt>
                <c:pt idx="39">
                  <c:v>8.7999999999999995E-2</c:v>
                </c:pt>
              </c:numCache>
            </c:numRef>
          </c:val>
          <c:extLst>
            <c:ext xmlns:c16="http://schemas.microsoft.com/office/drawing/2014/chart" uri="{C3380CC4-5D6E-409C-BE32-E72D297353CC}">
              <c16:uniqueId val="{00000001-FEC0-45E6-888B-45F6E0A223D0}"/>
            </c:ext>
          </c:extLst>
        </c:ser>
        <c:ser>
          <c:idx val="1"/>
          <c:order val="1"/>
          <c:tx>
            <c:strRef>
              <c:f>'Figure 11'!$Q$30</c:f>
              <c:strCache>
                <c:ptCount val="1"/>
                <c:pt idx="0">
                  <c:v>Health</c:v>
                </c:pt>
              </c:strCache>
            </c:strRef>
          </c:tx>
          <c:spPr>
            <a:solidFill>
              <a:srgbClr val="376092"/>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11'!$Q$31:$Q$70</c:f>
              <c:numCache>
                <c:formatCode>0.0%</c:formatCode>
                <c:ptCount val="40"/>
                <c:pt idx="0">
                  <c:v>0</c:v>
                </c:pt>
                <c:pt idx="1">
                  <c:v>0</c:v>
                </c:pt>
                <c:pt idx="2">
                  <c:v>0.09</c:v>
                </c:pt>
                <c:pt idx="3">
                  <c:v>0.09</c:v>
                </c:pt>
                <c:pt idx="4">
                  <c:v>0.1</c:v>
                </c:pt>
                <c:pt idx="5">
                  <c:v>0.1</c:v>
                </c:pt>
                <c:pt idx="6">
                  <c:v>8.1921917808219155E-2</c:v>
                </c:pt>
                <c:pt idx="7">
                  <c:v>8.2135622740716396E-2</c:v>
                </c:pt>
                <c:pt idx="8">
                  <c:v>0.1001027397260274</c:v>
                </c:pt>
                <c:pt idx="9">
                  <c:v>0.1000994084784752</c:v>
                </c:pt>
                <c:pt idx="10">
                  <c:v>6.179362E-2</c:v>
                </c:pt>
                <c:pt idx="11">
                  <c:v>5.5839237594479132E-2</c:v>
                </c:pt>
                <c:pt idx="12">
                  <c:v>0</c:v>
                </c:pt>
                <c:pt idx="13">
                  <c:v>0</c:v>
                </c:pt>
                <c:pt idx="14">
                  <c:v>0.05</c:v>
                </c:pt>
                <c:pt idx="15">
                  <c:v>0.05</c:v>
                </c:pt>
                <c:pt idx="16">
                  <c:v>0.05</c:v>
                </c:pt>
                <c:pt idx="17">
                  <c:v>0.05</c:v>
                </c:pt>
                <c:pt idx="18">
                  <c:v>0.04</c:v>
                </c:pt>
                <c:pt idx="19">
                  <c:v>0.04</c:v>
                </c:pt>
                <c:pt idx="20">
                  <c:v>4.9234220710572325E-2</c:v>
                </c:pt>
                <c:pt idx="21">
                  <c:v>4.8443925645987748E-2</c:v>
                </c:pt>
                <c:pt idx="22">
                  <c:v>0.08</c:v>
                </c:pt>
                <c:pt idx="23">
                  <c:v>0.08</c:v>
                </c:pt>
                <c:pt idx="24">
                  <c:v>7.6833059480775553E-2</c:v>
                </c:pt>
                <c:pt idx="25">
                  <c:v>7.683305948077554E-2</c:v>
                </c:pt>
                <c:pt idx="26">
                  <c:v>8.0564635775279864E-2</c:v>
                </c:pt>
                <c:pt idx="27">
                  <c:v>7.2083333333333333E-2</c:v>
                </c:pt>
                <c:pt idx="28">
                  <c:v>0</c:v>
                </c:pt>
                <c:pt idx="29">
                  <c:v>0</c:v>
                </c:pt>
                <c:pt idx="30">
                  <c:v>0</c:v>
                </c:pt>
                <c:pt idx="31">
                  <c:v>0</c:v>
                </c:pt>
                <c:pt idx="32">
                  <c:v>7.4999999999999997E-2</c:v>
                </c:pt>
                <c:pt idx="33">
                  <c:v>7.4999999999999997E-2</c:v>
                </c:pt>
                <c:pt idx="34">
                  <c:v>0</c:v>
                </c:pt>
                <c:pt idx="35">
                  <c:v>0</c:v>
                </c:pt>
                <c:pt idx="36">
                  <c:v>0</c:v>
                </c:pt>
                <c:pt idx="37">
                  <c:v>0</c:v>
                </c:pt>
                <c:pt idx="38">
                  <c:v>0</c:v>
                </c:pt>
                <c:pt idx="39">
                  <c:v>0</c:v>
                </c:pt>
              </c:numCache>
            </c:numRef>
          </c:val>
          <c:extLst>
            <c:ext xmlns:c16="http://schemas.microsoft.com/office/drawing/2014/chart" uri="{C3380CC4-5D6E-409C-BE32-E72D297353CC}">
              <c16:uniqueId val="{00000003-FEC0-45E6-888B-45F6E0A223D0}"/>
            </c:ext>
          </c:extLst>
        </c:ser>
        <c:ser>
          <c:idx val="2"/>
          <c:order val="2"/>
          <c:tx>
            <c:strRef>
              <c:f>'Figure 11'!$R$30</c:f>
              <c:strCache>
                <c:ptCount val="1"/>
                <c:pt idx="0">
                  <c:v>Other contrib.</c:v>
                </c:pt>
              </c:strCache>
            </c:strRef>
          </c:tx>
          <c:spPr>
            <a:solidFill>
              <a:srgbClr val="95B3D7"/>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11'!$R$31:$R$70</c:f>
              <c:numCache>
                <c:formatCode>0.0%</c:formatCode>
                <c:ptCount val="40"/>
                <c:pt idx="0">
                  <c:v>0.1536712328767123</c:v>
                </c:pt>
                <c:pt idx="1">
                  <c:v>0.15150180742688135</c:v>
                </c:pt>
                <c:pt idx="2">
                  <c:v>8.9300000000000004E-2</c:v>
                </c:pt>
                <c:pt idx="3">
                  <c:v>0.10630000000000002</c:v>
                </c:pt>
                <c:pt idx="4">
                  <c:v>1.7100000000000001E-2</c:v>
                </c:pt>
                <c:pt idx="5">
                  <c:v>1.7100000000000001E-2</c:v>
                </c:pt>
                <c:pt idx="6">
                  <c:v>6.8610958904109579E-2</c:v>
                </c:pt>
                <c:pt idx="7">
                  <c:v>7.1422280644101221E-2</c:v>
                </c:pt>
                <c:pt idx="8">
                  <c:v>0.11693013698630138</c:v>
                </c:pt>
                <c:pt idx="9">
                  <c:v>9.4688629641800887E-2</c:v>
                </c:pt>
                <c:pt idx="10">
                  <c:v>0.11547074</c:v>
                </c:pt>
                <c:pt idx="11">
                  <c:v>0.11362635557016104</c:v>
                </c:pt>
                <c:pt idx="12">
                  <c:v>0.13687561643835616</c:v>
                </c:pt>
                <c:pt idx="13">
                  <c:v>0.14068024975353272</c:v>
                </c:pt>
                <c:pt idx="14">
                  <c:v>7.0083000000000006E-2</c:v>
                </c:pt>
                <c:pt idx="15">
                  <c:v>7.0082155767334869E-2</c:v>
                </c:pt>
                <c:pt idx="16">
                  <c:v>2.7000000000000003E-2</c:v>
                </c:pt>
                <c:pt idx="17">
                  <c:v>2.7000000000000003E-2</c:v>
                </c:pt>
                <c:pt idx="18">
                  <c:v>0.05</c:v>
                </c:pt>
                <c:pt idx="19">
                  <c:v>0.05</c:v>
                </c:pt>
                <c:pt idx="20">
                  <c:v>6.5214814749338629E-2</c:v>
                </c:pt>
                <c:pt idx="21">
                  <c:v>6.521535883813491E-2</c:v>
                </c:pt>
                <c:pt idx="22">
                  <c:v>4.1242191915872493E-2</c:v>
                </c:pt>
                <c:pt idx="23">
                  <c:v>4.1242191915872493E-2</c:v>
                </c:pt>
                <c:pt idx="24">
                  <c:v>2.1643115346697342E-2</c:v>
                </c:pt>
                <c:pt idx="25">
                  <c:v>2.1643115346697342E-2</c:v>
                </c:pt>
                <c:pt idx="26">
                  <c:v>8.3125000000000018E-2</c:v>
                </c:pt>
                <c:pt idx="27">
                  <c:v>8.3125000000000004E-2</c:v>
                </c:pt>
                <c:pt idx="28">
                  <c:v>6.7525000000000002E-2</c:v>
                </c:pt>
                <c:pt idx="29">
                  <c:v>6.7500000000000004E-2</c:v>
                </c:pt>
                <c:pt idx="30">
                  <c:v>3.2464673020046006E-2</c:v>
                </c:pt>
                <c:pt idx="31">
                  <c:v>3.2464673020046006E-2</c:v>
                </c:pt>
                <c:pt idx="32">
                  <c:v>0.01</c:v>
                </c:pt>
                <c:pt idx="33">
                  <c:v>0.01</c:v>
                </c:pt>
                <c:pt idx="34">
                  <c:v>9.4249999999999987E-2</c:v>
                </c:pt>
                <c:pt idx="35">
                  <c:v>9.4999999999999987E-2</c:v>
                </c:pt>
                <c:pt idx="36">
                  <c:v>4.6100000000000002E-2</c:v>
                </c:pt>
                <c:pt idx="37">
                  <c:v>4.8000000000000001E-2</c:v>
                </c:pt>
                <c:pt idx="38">
                  <c:v>0</c:v>
                </c:pt>
                <c:pt idx="39">
                  <c:v>0</c:v>
                </c:pt>
              </c:numCache>
            </c:numRef>
          </c:val>
          <c:extLst>
            <c:ext xmlns:c16="http://schemas.microsoft.com/office/drawing/2014/chart" uri="{C3380CC4-5D6E-409C-BE32-E72D297353CC}">
              <c16:uniqueId val="{00000005-FEC0-45E6-888B-45F6E0A223D0}"/>
            </c:ext>
          </c:extLst>
        </c:ser>
        <c:ser>
          <c:idx val="3"/>
          <c:order val="3"/>
          <c:tx>
            <c:strRef>
              <c:f>'Figure 11'!$S$30</c:f>
              <c:strCache>
                <c:ptCount val="1"/>
                <c:pt idx="0">
                  <c:v>Bonus</c:v>
                </c:pt>
              </c:strCache>
            </c:strRef>
          </c:tx>
          <c:spPr>
            <a:solidFill>
              <a:srgbClr val="FAC090"/>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11'!$S$31:$S$70</c:f>
              <c:numCache>
                <c:formatCode>0.0%</c:formatCode>
                <c:ptCount val="40"/>
                <c:pt idx="0">
                  <c:v>8.2191780821917804E-2</c:v>
                </c:pt>
                <c:pt idx="1">
                  <c:v>8.2155767334866917E-2</c:v>
                </c:pt>
                <c:pt idx="2">
                  <c:v>0.16431153466973383</c:v>
                </c:pt>
                <c:pt idx="3">
                  <c:v>0.16431153466973383</c:v>
                </c:pt>
                <c:pt idx="4">
                  <c:v>0.16438356164383561</c:v>
                </c:pt>
                <c:pt idx="5">
                  <c:v>0.16431153466973381</c:v>
                </c:pt>
                <c:pt idx="6">
                  <c:v>8.2191780821917804E-2</c:v>
                </c:pt>
                <c:pt idx="7">
                  <c:v>8.2155767334866917E-2</c:v>
                </c:pt>
                <c:pt idx="8">
                  <c:v>8.2191780821917804E-2</c:v>
                </c:pt>
                <c:pt idx="9">
                  <c:v>8.2155767334866917E-2</c:v>
                </c:pt>
                <c:pt idx="10">
                  <c:v>0.12215908155296826</c:v>
                </c:pt>
                <c:pt idx="11">
                  <c:v>0.13438287452089337</c:v>
                </c:pt>
                <c:pt idx="12">
                  <c:v>8.2191780821917804E-2</c:v>
                </c:pt>
                <c:pt idx="13">
                  <c:v>8.2155767334866917E-2</c:v>
                </c:pt>
                <c:pt idx="14">
                  <c:v>8.2191780821917804E-2</c:v>
                </c:pt>
                <c:pt idx="15">
                  <c:v>8.2155767334866917E-2</c:v>
                </c:pt>
                <c:pt idx="16">
                  <c:v>0.16431153466973381</c:v>
                </c:pt>
                <c:pt idx="17">
                  <c:v>0.16431153466973381</c:v>
                </c:pt>
                <c:pt idx="18">
                  <c:v>0.16438356164383561</c:v>
                </c:pt>
                <c:pt idx="19">
                  <c:v>0.16431153466973381</c:v>
                </c:pt>
                <c:pt idx="20">
                  <c:v>8.5037451829984054E-2</c:v>
                </c:pt>
                <c:pt idx="21">
                  <c:v>8.5698544695787776E-2</c:v>
                </c:pt>
                <c:pt idx="22">
                  <c:v>8.2155767334866917E-2</c:v>
                </c:pt>
                <c:pt idx="23">
                  <c:v>8.2155767334866917E-2</c:v>
                </c:pt>
                <c:pt idx="24">
                  <c:v>8.2155767334866917E-2</c:v>
                </c:pt>
                <c:pt idx="25">
                  <c:v>8.2155767334866917E-2</c:v>
                </c:pt>
                <c:pt idx="26">
                  <c:v>4.1666666666666664E-2</c:v>
                </c:pt>
                <c:pt idx="27">
                  <c:v>4.1666666666666664E-2</c:v>
                </c:pt>
                <c:pt idx="28">
                  <c:v>8.2191780821917804E-2</c:v>
                </c:pt>
                <c:pt idx="29">
                  <c:v>8.2155767334866903E-2</c:v>
                </c:pt>
                <c:pt idx="30">
                  <c:v>8.2155767334866917E-2</c:v>
                </c:pt>
                <c:pt idx="31">
                  <c:v>8.2155767334866917E-2</c:v>
                </c:pt>
                <c:pt idx="32">
                  <c:v>5.2031985978749057E-2</c:v>
                </c:pt>
                <c:pt idx="33">
                  <c:v>5.2031985978749036E-2</c:v>
                </c:pt>
                <c:pt idx="34">
                  <c:v>0</c:v>
                </c:pt>
                <c:pt idx="35">
                  <c:v>0</c:v>
                </c:pt>
                <c:pt idx="36">
                  <c:v>0</c:v>
                </c:pt>
                <c:pt idx="37">
                  <c:v>0</c:v>
                </c:pt>
                <c:pt idx="38">
                  <c:v>0</c:v>
                </c:pt>
                <c:pt idx="39">
                  <c:v>0</c:v>
                </c:pt>
              </c:numCache>
            </c:numRef>
          </c:val>
          <c:extLst>
            <c:ext xmlns:c16="http://schemas.microsoft.com/office/drawing/2014/chart" uri="{C3380CC4-5D6E-409C-BE32-E72D297353CC}">
              <c16:uniqueId val="{00000007-FEC0-45E6-888B-45F6E0A223D0}"/>
            </c:ext>
          </c:extLst>
        </c:ser>
        <c:ser>
          <c:idx val="4"/>
          <c:order val="4"/>
          <c:tx>
            <c:strRef>
              <c:f>'Figure 11'!$T$30</c:f>
              <c:strCache>
                <c:ptCount val="1"/>
                <c:pt idx="0">
                  <c:v>Annual leave</c:v>
                </c:pt>
              </c:strCache>
            </c:strRef>
          </c:tx>
          <c:spPr>
            <a:solidFill>
              <a:srgbClr val="E46C0A"/>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11'!$T$31:$T$70</c:f>
              <c:numCache>
                <c:formatCode>0.0%</c:formatCode>
                <c:ptCount val="40"/>
                <c:pt idx="0">
                  <c:v>0.1095890410958904</c:v>
                </c:pt>
                <c:pt idx="1">
                  <c:v>0.10954102311315589</c:v>
                </c:pt>
                <c:pt idx="2">
                  <c:v>8.2155767334866917E-2</c:v>
                </c:pt>
                <c:pt idx="3">
                  <c:v>8.2155767334866917E-2</c:v>
                </c:pt>
                <c:pt idx="4">
                  <c:v>5.4794520547945202E-2</c:v>
                </c:pt>
                <c:pt idx="5">
                  <c:v>5.4770511556577944E-2</c:v>
                </c:pt>
                <c:pt idx="6">
                  <c:v>3.8339358089604557E-2</c:v>
                </c:pt>
                <c:pt idx="7">
                  <c:v>3.8339358089604557E-2</c:v>
                </c:pt>
                <c:pt idx="8">
                  <c:v>3.8356164383561646E-2</c:v>
                </c:pt>
                <c:pt idx="9">
                  <c:v>3.8339358089604557E-2</c:v>
                </c:pt>
                <c:pt idx="10">
                  <c:v>4.1666666666666664E-2</c:v>
                </c:pt>
                <c:pt idx="11">
                  <c:v>4.1666666666666664E-2</c:v>
                </c:pt>
                <c:pt idx="12">
                  <c:v>4.1095890410958902E-2</c:v>
                </c:pt>
                <c:pt idx="13">
                  <c:v>4.1077883667433451E-2</c:v>
                </c:pt>
                <c:pt idx="14">
                  <c:v>5.7534246575342472E-2</c:v>
                </c:pt>
                <c:pt idx="15">
                  <c:v>5.7509037134406839E-2</c:v>
                </c:pt>
                <c:pt idx="16">
                  <c:v>5.4770511556577951E-2</c:v>
                </c:pt>
                <c:pt idx="17">
                  <c:v>5.4770511556577944E-2</c:v>
                </c:pt>
                <c:pt idx="18">
                  <c:v>4.1095890410958902E-2</c:v>
                </c:pt>
                <c:pt idx="19">
                  <c:v>4.1077883667433451E-2</c:v>
                </c:pt>
                <c:pt idx="20">
                  <c:v>5.1802149210434863E-2</c:v>
                </c:pt>
                <c:pt idx="21">
                  <c:v>5.2673257384890648E-2</c:v>
                </c:pt>
                <c:pt idx="22">
                  <c:v>8.2155767334866917E-2</c:v>
                </c:pt>
                <c:pt idx="23">
                  <c:v>8.2155767334866917E-2</c:v>
                </c:pt>
                <c:pt idx="24">
                  <c:v>4.9293460400920142E-2</c:v>
                </c:pt>
                <c:pt idx="25">
                  <c:v>4.9293460400920149E-2</c:v>
                </c:pt>
                <c:pt idx="26">
                  <c:v>3.888888888888889E-2</c:v>
                </c:pt>
                <c:pt idx="27">
                  <c:v>5.4770511556577937E-2</c:v>
                </c:pt>
                <c:pt idx="28">
                  <c:v>5.2054794520547946E-2</c:v>
                </c:pt>
                <c:pt idx="29">
                  <c:v>5.2031985978749043E-2</c:v>
                </c:pt>
                <c:pt idx="30">
                  <c:v>3.2862306933946768E-2</c:v>
                </c:pt>
                <c:pt idx="31">
                  <c:v>3.2862306933946768E-2</c:v>
                </c:pt>
                <c:pt idx="32">
                  <c:v>5.2031985978749057E-2</c:v>
                </c:pt>
                <c:pt idx="33">
                  <c:v>5.2031985978749036E-2</c:v>
                </c:pt>
                <c:pt idx="34">
                  <c:v>3.8356164383561646E-2</c:v>
                </c:pt>
                <c:pt idx="35">
                  <c:v>3.8339358089604557E-2</c:v>
                </c:pt>
                <c:pt idx="36">
                  <c:v>4.1095890410958902E-2</c:v>
                </c:pt>
                <c:pt idx="37">
                  <c:v>4.1077883667433451E-2</c:v>
                </c:pt>
                <c:pt idx="38">
                  <c:v>3.8356164383561646E-2</c:v>
                </c:pt>
                <c:pt idx="39">
                  <c:v>3.833935808960455E-2</c:v>
                </c:pt>
              </c:numCache>
            </c:numRef>
          </c:val>
          <c:extLst>
            <c:ext xmlns:c16="http://schemas.microsoft.com/office/drawing/2014/chart" uri="{C3380CC4-5D6E-409C-BE32-E72D297353CC}">
              <c16:uniqueId val="{00000009-FEC0-45E6-888B-45F6E0A223D0}"/>
            </c:ext>
          </c:extLst>
        </c:ser>
        <c:ser>
          <c:idx val="5"/>
          <c:order val="5"/>
          <c:tx>
            <c:strRef>
              <c:f>'Figure 11'!$U$30</c:f>
              <c:strCache>
                <c:ptCount val="1"/>
                <c:pt idx="0">
                  <c:v>Severance payment (without just cause)</c:v>
                </c:pt>
              </c:strCache>
            </c:strRef>
          </c:tx>
          <c:spPr>
            <a:solidFill>
              <a:srgbClr val="93CDDD"/>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11'!$U$31:$U$70</c:f>
              <c:numCache>
                <c:formatCode>0.0%</c:formatCode>
                <c:ptCount val="40"/>
                <c:pt idx="0">
                  <c:v>3.1561643835616437E-2</c:v>
                </c:pt>
                <c:pt idx="1">
                  <c:v>3.1547814656588888E-2</c:v>
                </c:pt>
                <c:pt idx="2">
                  <c:v>0.12323365100230035</c:v>
                </c:pt>
                <c:pt idx="3">
                  <c:v>0.12323365100230037</c:v>
                </c:pt>
                <c:pt idx="4">
                  <c:v>8.2191780821917804E-2</c:v>
                </c:pt>
                <c:pt idx="5">
                  <c:v>8.2155767334866903E-2</c:v>
                </c:pt>
                <c:pt idx="6">
                  <c:v>8.2155767334866903E-2</c:v>
                </c:pt>
                <c:pt idx="7">
                  <c:v>8.2155767334866903E-2</c:v>
                </c:pt>
                <c:pt idx="8">
                  <c:v>5.8082191780821926E-2</c:v>
                </c:pt>
                <c:pt idx="9">
                  <c:v>5.8166283273085762E-2</c:v>
                </c:pt>
                <c:pt idx="10">
                  <c:v>8.2191780821917804E-2</c:v>
                </c:pt>
                <c:pt idx="11">
                  <c:v>8.2191780821917804E-2</c:v>
                </c:pt>
                <c:pt idx="12">
                  <c:v>6.0273972602739735E-2</c:v>
                </c:pt>
                <c:pt idx="13">
                  <c:v>6.0247562712235733E-2</c:v>
                </c:pt>
                <c:pt idx="14">
                  <c:v>9.8039215686274522E-2</c:v>
                </c:pt>
                <c:pt idx="15">
                  <c:v>9.8039215686274508E-2</c:v>
                </c:pt>
                <c:pt idx="16">
                  <c:v>8.2155767334866917E-2</c:v>
                </c:pt>
                <c:pt idx="17">
                  <c:v>8.2155767334866917E-2</c:v>
                </c:pt>
                <c:pt idx="18">
                  <c:v>8.2191780821917818E-2</c:v>
                </c:pt>
                <c:pt idx="19">
                  <c:v>8.2155767334866917E-2</c:v>
                </c:pt>
                <c:pt idx="20">
                  <c:v>7.2422310155153102E-2</c:v>
                </c:pt>
                <c:pt idx="21">
                  <c:v>7.2171278143664808E-2</c:v>
                </c:pt>
                <c:pt idx="22">
                  <c:v>6.5176908752327747E-2</c:v>
                </c:pt>
                <c:pt idx="23">
                  <c:v>6.5176908752327747E-2</c:v>
                </c:pt>
                <c:pt idx="24">
                  <c:v>6.2986088290064635E-2</c:v>
                </c:pt>
                <c:pt idx="25">
                  <c:v>6.2986088290064621E-2</c:v>
                </c:pt>
                <c:pt idx="26">
                  <c:v>0.10406397195749809</c:v>
                </c:pt>
                <c:pt idx="27">
                  <c:v>0.10406397195749809</c:v>
                </c:pt>
                <c:pt idx="28">
                  <c:v>8.2191780821917804E-2</c:v>
                </c:pt>
                <c:pt idx="29">
                  <c:v>8.2155767334866903E-2</c:v>
                </c:pt>
                <c:pt idx="30">
                  <c:v>4.1077883667433458E-2</c:v>
                </c:pt>
                <c:pt idx="31">
                  <c:v>4.1077883667433458E-2</c:v>
                </c:pt>
                <c:pt idx="32">
                  <c:v>8.2191780821917804E-2</c:v>
                </c:pt>
                <c:pt idx="33">
                  <c:v>8.2155767334866903E-2</c:v>
                </c:pt>
                <c:pt idx="34">
                  <c:v>3.8356164383561646E-2</c:v>
                </c:pt>
                <c:pt idx="35">
                  <c:v>3.8339358089604557E-2</c:v>
                </c:pt>
                <c:pt idx="36">
                  <c:v>8.2191780821917804E-2</c:v>
                </c:pt>
                <c:pt idx="37">
                  <c:v>8.215576733486693E-2</c:v>
                </c:pt>
                <c:pt idx="38">
                  <c:v>4.5479452054794527E-2</c:v>
                </c:pt>
                <c:pt idx="39">
                  <c:v>4.1077883667433451E-2</c:v>
                </c:pt>
              </c:numCache>
            </c:numRef>
          </c:val>
          <c:extLst>
            <c:ext xmlns:c16="http://schemas.microsoft.com/office/drawing/2014/chart" uri="{C3380CC4-5D6E-409C-BE32-E72D297353CC}">
              <c16:uniqueId val="{0000000B-FEC0-45E6-888B-45F6E0A223D0}"/>
            </c:ext>
          </c:extLst>
        </c:ser>
        <c:ser>
          <c:idx val="6"/>
          <c:order val="6"/>
          <c:tx>
            <c:strRef>
              <c:f>'Figure 11'!$V$30</c:f>
              <c:strCache>
                <c:ptCount val="1"/>
                <c:pt idx="0">
                  <c:v>Firing notice</c:v>
                </c:pt>
              </c:strCache>
            </c:strRef>
          </c:tx>
          <c:spPr>
            <a:solidFill>
              <a:srgbClr val="31859C"/>
            </a:solidFill>
            <a:ln>
              <a:noFill/>
            </a:ln>
            <a:effectLst/>
          </c:spPr>
          <c:invertIfNegative val="0"/>
          <c:dLbls>
            <c:delete val="1"/>
          </c:dLbls>
          <c:cat>
            <c:multiLvlStrRef>
              <c:f>'Figure 11'!$N$31:$O$70</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BRA</c:v>
                  </c:pt>
                  <c:pt idx="2">
                    <c:v>PER</c:v>
                  </c:pt>
                  <c:pt idx="4">
                    <c:v>BOL</c:v>
                  </c:pt>
                  <c:pt idx="6">
                    <c:v>ARG</c:v>
                  </c:pt>
                  <c:pt idx="8">
                    <c:v>CRI</c:v>
                  </c:pt>
                  <c:pt idx="10">
                    <c:v>ECU</c:v>
                  </c:pt>
                  <c:pt idx="12">
                    <c:v>COL</c:v>
                  </c:pt>
                  <c:pt idx="14">
                    <c:v>URY</c:v>
                  </c:pt>
                  <c:pt idx="16">
                    <c:v>HND</c:v>
                  </c:pt>
                  <c:pt idx="18">
                    <c:v>GTM</c:v>
                  </c:pt>
                  <c:pt idx="20">
                    <c:v>LAC</c:v>
                  </c:pt>
                  <c:pt idx="22">
                    <c:v>PAN</c:v>
                  </c:pt>
                  <c:pt idx="24">
                    <c:v>DOM</c:v>
                  </c:pt>
                  <c:pt idx="26">
                    <c:v>MEX</c:v>
                  </c:pt>
                  <c:pt idx="28">
                    <c:v>VEN</c:v>
                  </c:pt>
                  <c:pt idx="30">
                    <c:v>PRY</c:v>
                  </c:pt>
                  <c:pt idx="32">
                    <c:v>SLV</c:v>
                  </c:pt>
                  <c:pt idx="34">
                    <c:v>JAM</c:v>
                  </c:pt>
                  <c:pt idx="36">
                    <c:v>CHL</c:v>
                  </c:pt>
                  <c:pt idx="38">
                    <c:v>TTO</c:v>
                  </c:pt>
                </c:lvl>
              </c:multiLvlStrCache>
            </c:multiLvlStrRef>
          </c:cat>
          <c:val>
            <c:numRef>
              <c:f>'Figure 11'!$V$31:$V$70</c:f>
              <c:numCache>
                <c:formatCode>0.0%</c:formatCode>
                <c:ptCount val="40"/>
                <c:pt idx="0">
                  <c:v>2.3013698630136987E-2</c:v>
                </c:pt>
                <c:pt idx="1">
                  <c:v>2.4646730200460074E-2</c:v>
                </c:pt>
                <c:pt idx="2">
                  <c:v>0</c:v>
                </c:pt>
                <c:pt idx="3">
                  <c:v>0</c:v>
                </c:pt>
                <c:pt idx="4">
                  <c:v>4.9315068493150691E-2</c:v>
                </c:pt>
                <c:pt idx="5">
                  <c:v>4.9293460400920155E-2</c:v>
                </c:pt>
                <c:pt idx="6">
                  <c:v>3.2862306933946768E-2</c:v>
                </c:pt>
                <c:pt idx="7">
                  <c:v>3.2862306933946768E-2</c:v>
                </c:pt>
                <c:pt idx="8">
                  <c:v>1.643835616438356E-2</c:v>
                </c:pt>
                <c:pt idx="9">
                  <c:v>1.6431153466973381E-2</c:v>
                </c:pt>
                <c:pt idx="10">
                  <c:v>0</c:v>
                </c:pt>
                <c:pt idx="11">
                  <c:v>0</c:v>
                </c:pt>
                <c:pt idx="12">
                  <c:v>4.10958904109589E-3</c:v>
                </c:pt>
                <c:pt idx="13">
                  <c:v>4.1077883667433443E-3</c:v>
                </c:pt>
                <c:pt idx="14">
                  <c:v>0</c:v>
                </c:pt>
                <c:pt idx="15">
                  <c:v>0</c:v>
                </c:pt>
                <c:pt idx="16">
                  <c:v>3.2862306933946761E-2</c:v>
                </c:pt>
                <c:pt idx="17">
                  <c:v>3.2862306933946761E-2</c:v>
                </c:pt>
                <c:pt idx="18">
                  <c:v>0</c:v>
                </c:pt>
                <c:pt idx="19">
                  <c:v>0</c:v>
                </c:pt>
                <c:pt idx="20">
                  <c:v>1.2798034530598378E-2</c:v>
                </c:pt>
                <c:pt idx="21">
                  <c:v>1.2886284246783754E-2</c:v>
                </c:pt>
                <c:pt idx="22">
                  <c:v>0</c:v>
                </c:pt>
                <c:pt idx="23">
                  <c:v>0</c:v>
                </c:pt>
                <c:pt idx="24">
                  <c:v>1.5335743235841826E-2</c:v>
                </c:pt>
                <c:pt idx="25">
                  <c:v>1.5335743235841822E-2</c:v>
                </c:pt>
                <c:pt idx="26">
                  <c:v>0</c:v>
                </c:pt>
                <c:pt idx="27">
                  <c:v>0</c:v>
                </c:pt>
                <c:pt idx="28">
                  <c:v>0</c:v>
                </c:pt>
                <c:pt idx="29">
                  <c:v>0</c:v>
                </c:pt>
                <c:pt idx="30">
                  <c:v>2.4646730200460074E-2</c:v>
                </c:pt>
                <c:pt idx="31">
                  <c:v>2.4646730200460074E-2</c:v>
                </c:pt>
                <c:pt idx="32">
                  <c:v>0</c:v>
                </c:pt>
                <c:pt idx="33">
                  <c:v>0</c:v>
                </c:pt>
                <c:pt idx="34" formatCode="0.00%">
                  <c:v>1.5342465753424659E-2</c:v>
                </c:pt>
                <c:pt idx="35" formatCode="0.00%">
                  <c:v>1.5335743235841821E-2</c:v>
                </c:pt>
                <c:pt idx="36">
                  <c:v>1.643835616438356E-2</c:v>
                </c:pt>
                <c:pt idx="37">
                  <c:v>1.6431153466973381E-2</c:v>
                </c:pt>
                <c:pt idx="38">
                  <c:v>0</c:v>
                </c:pt>
                <c:pt idx="39">
                  <c:v>0</c:v>
                </c:pt>
              </c:numCache>
            </c:numRef>
          </c:val>
          <c:extLst>
            <c:ext xmlns:c16="http://schemas.microsoft.com/office/drawing/2014/chart" uri="{C3380CC4-5D6E-409C-BE32-E72D297353CC}">
              <c16:uniqueId val="{0000000D-FEC0-45E6-888B-45F6E0A223D0}"/>
            </c:ext>
          </c:extLst>
        </c:ser>
        <c:dLbls>
          <c:dLblPos val="ctr"/>
          <c:showLegendKey val="0"/>
          <c:showVal val="1"/>
          <c:showCatName val="0"/>
          <c:showSerName val="0"/>
          <c:showPercent val="0"/>
          <c:showBubbleSize val="0"/>
        </c:dLbls>
        <c:gapWidth val="150"/>
        <c:overlap val="100"/>
        <c:axId val="2103254240"/>
        <c:axId val="2103238400"/>
      </c:barChart>
      <c:catAx>
        <c:axId val="21032542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103238400"/>
        <c:crosses val="autoZero"/>
        <c:auto val="1"/>
        <c:lblAlgn val="ctr"/>
        <c:lblOffset val="100"/>
        <c:noMultiLvlLbl val="0"/>
      </c:catAx>
      <c:valAx>
        <c:axId val="2103238400"/>
        <c:scaling>
          <c:orientation val="minMax"/>
        </c:scaling>
        <c:delete val="0"/>
        <c:axPos val="l"/>
        <c:title>
          <c:tx>
            <c:rich>
              <a:bodyPr rot="-5400000" vert="horz"/>
              <a:lstStyle/>
              <a:p>
                <a:pPr>
                  <a:defRPr/>
                </a:pPr>
                <a:r>
                  <a:rPr lang="en-US"/>
                  <a:t>Cost of salaried labor for employers (% of average annual formal wages)</a:t>
                </a:r>
              </a:p>
            </c:rich>
          </c:tx>
          <c:layout>
            <c:manualLayout>
              <c:xMode val="edge"/>
              <c:yMode val="edge"/>
              <c:x val="0"/>
              <c:y val="0.11989203021418683"/>
            </c:manualLayout>
          </c:layout>
          <c:overlay val="0"/>
          <c:spPr>
            <a:noFill/>
            <a:ln>
              <a:noFill/>
            </a:ln>
            <a:effectLst/>
          </c:spPr>
        </c:title>
        <c:numFmt formatCode="0.0%" sourceLinked="1"/>
        <c:majorTickMark val="none"/>
        <c:minorTickMark val="none"/>
        <c:tickLblPos val="nextTo"/>
        <c:spPr>
          <a:noFill/>
          <a:ln>
            <a:noFill/>
          </a:ln>
          <a:effectLst/>
        </c:spPr>
        <c:txPr>
          <a:bodyPr rot="-60000000" vert="horz"/>
          <a:lstStyle/>
          <a:p>
            <a:pPr>
              <a:defRPr/>
            </a:pPr>
            <a:endParaRPr lang="es-DO"/>
          </a:p>
        </c:txPr>
        <c:crossAx val="2103254240"/>
        <c:crosses val="autoZero"/>
        <c:crossBetween val="between"/>
      </c:valAx>
    </c:plotArea>
    <c:legend>
      <c:legendPos val="b"/>
      <c:layout>
        <c:manualLayout>
          <c:xMode val="edge"/>
          <c:yMode val="edge"/>
          <c:x val="0.10158845889648474"/>
          <c:y val="0.89538564106386898"/>
          <c:w val="0.84583326822832627"/>
          <c:h val="5.5283845866212024E-2"/>
        </c:manualLayout>
      </c:layout>
      <c:overlay val="0"/>
      <c:spPr>
        <a:noFill/>
        <a:ln>
          <a:noFill/>
        </a:ln>
        <a:effectLst/>
      </c:spPr>
      <c:txPr>
        <a:bodyPr rot="0" vert="horz"/>
        <a:lstStyle/>
        <a:p>
          <a:pPr>
            <a:defRPr/>
          </a:pPr>
          <a:endParaRPr lang="es-DO"/>
        </a:p>
      </c:txPr>
    </c:legend>
    <c:plotVisOnly val="1"/>
    <c:dispBlanksAs val="gap"/>
    <c:showDLblsOverMax val="0"/>
    <c:extLst/>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226344303115957"/>
          <c:y val="2.9850746268656716E-2"/>
          <c:w val="0.89671478565179352"/>
          <c:h val="0.76641280495675745"/>
        </c:manualLayout>
      </c:layout>
      <c:barChart>
        <c:barDir val="col"/>
        <c:grouping val="stacked"/>
        <c:varyColors val="0"/>
        <c:ser>
          <c:idx val="0"/>
          <c:order val="0"/>
          <c:tx>
            <c:strRef>
              <c:f>'Figure 12'!$P$6</c:f>
              <c:strCache>
                <c:ptCount val="1"/>
                <c:pt idx="0">
                  <c:v>Minimum wage</c:v>
                </c:pt>
              </c:strCache>
            </c:strRef>
          </c:tx>
          <c:spPr>
            <a:solidFill>
              <a:schemeClr val="accent5">
                <a:lumMod val="60000"/>
                <a:lumOff val="40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12'!$P$7:$P$46</c15:sqref>
                  </c15:fullRef>
                </c:ext>
              </c:extLst>
              <c:f>('Figure 12'!$P$7:$P$32,'Figure 12'!$P$35:$P$46)</c:f>
              <c:numCache>
                <c:formatCode>0%</c:formatCode>
                <c:ptCount val="36"/>
                <c:pt idx="0">
                  <c:v>0.60360037170655934</c:v>
                </c:pt>
                <c:pt idx="1">
                  <c:v>0.7514074923714763</c:v>
                </c:pt>
                <c:pt idx="2">
                  <c:v>0.47318120586002876</c:v>
                </c:pt>
                <c:pt idx="3">
                  <c:v>0.35294303772197783</c:v>
                </c:pt>
                <c:pt idx="4">
                  <c:v>0.43111527077335021</c:v>
                </c:pt>
                <c:pt idx="5">
                  <c:v>0.35819143483257881</c:v>
                </c:pt>
                <c:pt idx="6">
                  <c:v>0.33260979240199495</c:v>
                </c:pt>
                <c:pt idx="7">
                  <c:v>0.60912005316749462</c:v>
                </c:pt>
                <c:pt idx="8">
                  <c:v>0.28651801085937356</c:v>
                </c:pt>
                <c:pt idx="9">
                  <c:v>0.23664740855778121</c:v>
                </c:pt>
                <c:pt idx="10">
                  <c:v>0.2913081494928525</c:v>
                </c:pt>
                <c:pt idx="11">
                  <c:v>0.38760764283361826</c:v>
                </c:pt>
                <c:pt idx="12">
                  <c:v>0.26411503866993924</c:v>
                </c:pt>
                <c:pt idx="13">
                  <c:v>0.22901326073318545</c:v>
                </c:pt>
                <c:pt idx="14">
                  <c:v>0.23729517918828463</c:v>
                </c:pt>
                <c:pt idx="15">
                  <c:v>0.32696399688780686</c:v>
                </c:pt>
                <c:pt idx="16">
                  <c:v>0.21508332584110071</c:v>
                </c:pt>
                <c:pt idx="17">
                  <c:v>0.23271004888417116</c:v>
                </c:pt>
                <c:pt idx="18">
                  <c:v>0.22496508801246287</c:v>
                </c:pt>
                <c:pt idx="19">
                  <c:v>0.18973565157016781</c:v>
                </c:pt>
                <c:pt idx="20">
                  <c:v>0.20378784204525005</c:v>
                </c:pt>
                <c:pt idx="21">
                  <c:v>0.17756910344678647</c:v>
                </c:pt>
                <c:pt idx="22">
                  <c:v>0.21637842937200005</c:v>
                </c:pt>
                <c:pt idx="23">
                  <c:v>0.34927186820475431</c:v>
                </c:pt>
                <c:pt idx="24">
                  <c:v>0.15517232954099469</c:v>
                </c:pt>
                <c:pt idx="25">
                  <c:v>0.15394615942433684</c:v>
                </c:pt>
                <c:pt idx="26">
                  <c:v>0.14994018775599496</c:v>
                </c:pt>
                <c:pt idx="27">
                  <c:v>0.14731482041465788</c:v>
                </c:pt>
                <c:pt idx="28">
                  <c:v>0.14874173741316807</c:v>
                </c:pt>
                <c:pt idx="29">
                  <c:v>0.19568298367505335</c:v>
                </c:pt>
                <c:pt idx="30">
                  <c:v>0.15956032078524277</c:v>
                </c:pt>
                <c:pt idx="31">
                  <c:v>0.17661738487060613</c:v>
                </c:pt>
                <c:pt idx="32">
                  <c:v>7.6071340208097735E-2</c:v>
                </c:pt>
                <c:pt idx="33">
                  <c:v>0.14296248294433631</c:v>
                </c:pt>
                <c:pt idx="34">
                  <c:v>9.7757846915806731E-2</c:v>
                </c:pt>
                <c:pt idx="35">
                  <c:v>0.13687481379564073</c:v>
                </c:pt>
              </c:numCache>
            </c:numRef>
          </c:val>
          <c:extLst>
            <c:ext xmlns:c16="http://schemas.microsoft.com/office/drawing/2014/chart" uri="{C3380CC4-5D6E-409C-BE32-E72D297353CC}">
              <c16:uniqueId val="{00000001-9D96-4974-8B5D-F0CFECA4CE6A}"/>
            </c:ext>
          </c:extLst>
        </c:ser>
        <c:ser>
          <c:idx val="1"/>
          <c:order val="1"/>
          <c:tx>
            <c:strRef>
              <c:f>'Figure 12'!$R$6</c:f>
              <c:strCache>
                <c:ptCount val="1"/>
                <c:pt idx="0">
                  <c:v>Pensions</c:v>
                </c:pt>
              </c:strCache>
            </c:strRef>
          </c:tx>
          <c:spPr>
            <a:solidFill>
              <a:schemeClr val="tx2">
                <a:lumMod val="50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12'!$R$7:$R$44</c15:sqref>
                  </c15:fullRef>
                </c:ext>
              </c:extLst>
              <c:f>('Figure 12'!$R$7:$R$32,'Figure 12'!$R$35:$R$44)</c:f>
              <c:numCache>
                <c:formatCode>0%</c:formatCode>
                <c:ptCount val="34"/>
                <c:pt idx="0">
                  <c:v>0</c:v>
                </c:pt>
                <c:pt idx="1">
                  <c:v>0</c:v>
                </c:pt>
                <c:pt idx="2">
                  <c:v>7.1690193654957782E-2</c:v>
                </c:pt>
                <c:pt idx="3">
                  <c:v>5.3471508133613621E-2</c:v>
                </c:pt>
                <c:pt idx="4">
                  <c:v>1.5821930437381955E-2</c:v>
                </c:pt>
                <c:pt idx="5">
                  <c:v>1.3145625658355642E-2</c:v>
                </c:pt>
                <c:pt idx="6">
                  <c:v>0</c:v>
                </c:pt>
                <c:pt idx="7">
                  <c:v>0</c:v>
                </c:pt>
                <c:pt idx="8">
                  <c:v>1.9906329417487271E-2</c:v>
                </c:pt>
                <c:pt idx="9">
                  <c:v>2.2202947338223158E-2</c:v>
                </c:pt>
                <c:pt idx="10">
                  <c:v>9.7728640608161135E-3</c:v>
                </c:pt>
                <c:pt idx="11">
                  <c:v>1.6023060523139076E-2</c:v>
                </c:pt>
                <c:pt idx="12">
                  <c:v>0</c:v>
                </c:pt>
                <c:pt idx="13">
                  <c:v>0</c:v>
                </c:pt>
                <c:pt idx="14">
                  <c:v>1.6017424595209211E-2</c:v>
                </c:pt>
                <c:pt idx="15">
                  <c:v>2.8609349727683097E-2</c:v>
                </c:pt>
                <c:pt idx="16">
                  <c:v>2.7931368890049789E-2</c:v>
                </c:pt>
                <c:pt idx="17">
                  <c:v>3.0219422582014151E-2</c:v>
                </c:pt>
                <c:pt idx="18">
                  <c:v>1.2895800712877659E-2</c:v>
                </c:pt>
                <c:pt idx="19">
                  <c:v>9.7634804037148842E-3</c:v>
                </c:pt>
                <c:pt idx="20">
                  <c:v>2.2428666566358252E-2</c:v>
                </c:pt>
                <c:pt idx="21">
                  <c:v>2.0695355145886909E-2</c:v>
                </c:pt>
                <c:pt idx="22">
                  <c:v>5.4094607343000006E-3</c:v>
                </c:pt>
                <c:pt idx="23">
                  <c:v>1.0478156046142629E-2</c:v>
                </c:pt>
                <c:pt idx="24">
                  <c:v>3.3585243928050908E-2</c:v>
                </c:pt>
                <c:pt idx="25">
                  <c:v>3.3318744856019808E-2</c:v>
                </c:pt>
                <c:pt idx="26">
                  <c:v>1.2178891750480689E-2</c:v>
                </c:pt>
                <c:pt idx="27">
                  <c:v>1.1956318689421668E-2</c:v>
                </c:pt>
                <c:pt idx="29">
                  <c:v>0</c:v>
                </c:pt>
                <c:pt idx="30">
                  <c:v>1.2259507617664185E-2</c:v>
                </c:pt>
                <c:pt idx="31">
                  <c:v>1.3570054037102307E-2</c:v>
                </c:pt>
                <c:pt idx="32">
                  <c:v>4.0809104382469111E-3</c:v>
                </c:pt>
                <c:pt idx="33">
                  <c:v>8.9589822645117431E-3</c:v>
                </c:pt>
              </c:numCache>
            </c:numRef>
          </c:val>
          <c:extLst>
            <c:ext xmlns:c16="http://schemas.microsoft.com/office/drawing/2014/chart" uri="{C3380CC4-5D6E-409C-BE32-E72D297353CC}">
              <c16:uniqueId val="{00000003-9D96-4974-8B5D-F0CFECA4CE6A}"/>
            </c:ext>
          </c:extLst>
        </c:ser>
        <c:ser>
          <c:idx val="2"/>
          <c:order val="2"/>
          <c:tx>
            <c:strRef>
              <c:f>'Figure 12'!$S$6</c:f>
              <c:strCache>
                <c:ptCount val="1"/>
                <c:pt idx="0">
                  <c:v>Health</c:v>
                </c:pt>
              </c:strCache>
            </c:strRef>
          </c:tx>
          <c:spPr>
            <a:solidFill>
              <a:schemeClr val="accent1">
                <a:lumMod val="75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12'!$S$7:$S$46</c15:sqref>
                  </c15:fullRef>
                </c:ext>
              </c:extLst>
              <c:f>('Figure 12'!$S$7:$S$32,'Figure 12'!$S$35:$S$46)</c:f>
              <c:numCache>
                <c:formatCode>0%</c:formatCode>
                <c:ptCount val="36"/>
                <c:pt idx="0">
                  <c:v>0</c:v>
                </c:pt>
                <c:pt idx="1">
                  <c:v>0</c:v>
                </c:pt>
                <c:pt idx="2">
                  <c:v>0</c:v>
                </c:pt>
                <c:pt idx="3">
                  <c:v>0</c:v>
                </c:pt>
                <c:pt idx="4">
                  <c:v>1.724461083093401E-2</c:v>
                </c:pt>
                <c:pt idx="5">
                  <c:v>1.4327657393303151E-2</c:v>
                </c:pt>
                <c:pt idx="6">
                  <c:v>3.3260979240199495E-2</c:v>
                </c:pt>
                <c:pt idx="7">
                  <c:v>6.0912005316749465E-2</c:v>
                </c:pt>
                <c:pt idx="8">
                  <c:v>2.8681237867874965E-2</c:v>
                </c:pt>
                <c:pt idx="9">
                  <c:v>2.3688265614597949E-2</c:v>
                </c:pt>
                <c:pt idx="10">
                  <c:v>1.8000985092664519E-2</c:v>
                </c:pt>
                <c:pt idx="11">
                  <c:v>2.1643715261622419E-2</c:v>
                </c:pt>
                <c:pt idx="12">
                  <c:v>2.7676096740283773E-2</c:v>
                </c:pt>
                <c:pt idx="13">
                  <c:v>2.3997850295757753E-2</c:v>
                </c:pt>
                <c:pt idx="14">
                  <c:v>1.7797138439121344E-2</c:v>
                </c:pt>
                <c:pt idx="15">
                  <c:v>2.4522299766585515E-2</c:v>
                </c:pt>
                <c:pt idx="16">
                  <c:v>0</c:v>
                </c:pt>
                <c:pt idx="17">
                  <c:v>0</c:v>
                </c:pt>
                <c:pt idx="18">
                  <c:v>1.799720704099703E-2</c:v>
                </c:pt>
                <c:pt idx="19">
                  <c:v>1.5178852125613426E-2</c:v>
                </c:pt>
                <c:pt idx="20">
                  <c:v>1.6694690846345322E-2</c:v>
                </c:pt>
                <c:pt idx="21">
                  <c:v>1.4584748891112498E-2</c:v>
                </c:pt>
                <c:pt idx="22">
                  <c:v>0</c:v>
                </c:pt>
                <c:pt idx="23">
                  <c:v>0</c:v>
                </c:pt>
                <c:pt idx="25">
                  <c:v>0</c:v>
                </c:pt>
                <c:pt idx="26">
                  <c:v>7.4970093877997487E-3</c:v>
                </c:pt>
                <c:pt idx="27">
                  <c:v>7.3657410207328949E-3</c:v>
                </c:pt>
                <c:pt idx="29">
                  <c:v>0</c:v>
                </c:pt>
                <c:pt idx="30">
                  <c:v>1.2259507617664185E-2</c:v>
                </c:pt>
                <c:pt idx="31">
                  <c:v>1.3570054037102307E-2</c:v>
                </c:pt>
                <c:pt idx="32">
                  <c:v>6.1286598168027971E-3</c:v>
                </c:pt>
                <c:pt idx="33">
                  <c:v>1.7975740951120686E-2</c:v>
                </c:pt>
                <c:pt idx="35">
                  <c:v>0</c:v>
                </c:pt>
              </c:numCache>
            </c:numRef>
          </c:val>
          <c:extLst>
            <c:ext xmlns:c16="http://schemas.microsoft.com/office/drawing/2014/chart" uri="{C3380CC4-5D6E-409C-BE32-E72D297353CC}">
              <c16:uniqueId val="{00000005-9D96-4974-8B5D-F0CFECA4CE6A}"/>
            </c:ext>
          </c:extLst>
        </c:ser>
        <c:ser>
          <c:idx val="3"/>
          <c:order val="3"/>
          <c:tx>
            <c:strRef>
              <c:f>'Figure 12'!$T$6</c:f>
              <c:strCache>
                <c:ptCount val="1"/>
                <c:pt idx="0">
                  <c:v>Others</c:v>
                </c:pt>
              </c:strCache>
            </c:strRef>
          </c:tx>
          <c:spPr>
            <a:solidFill>
              <a:schemeClr val="accent4">
                <a:lumMod val="60000"/>
                <a:lumOff val="40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12'!$T$7:$T$46</c15:sqref>
                  </c15:fullRef>
                </c:ext>
              </c:extLst>
              <c:f>('Figure 12'!$T$7:$T$32,'Figure 12'!$T$35:$T$46)</c:f>
              <c:numCache>
                <c:formatCode>0%</c:formatCode>
                <c:ptCount val="36"/>
                <c:pt idx="0">
                  <c:v>1.6E-2</c:v>
                </c:pt>
                <c:pt idx="1">
                  <c:v>1.8785187309286907E-2</c:v>
                </c:pt>
                <c:pt idx="2">
                  <c:v>5.1207281182112695E-3</c:v>
                </c:pt>
                <c:pt idx="3">
                  <c:v>1.1458180314345775E-2</c:v>
                </c:pt>
                <c:pt idx="4">
                  <c:v>2.1555763538667512E-2</c:v>
                </c:pt>
                <c:pt idx="5">
                  <c:v>7.1638286966515755E-3</c:v>
                </c:pt>
                <c:pt idx="6">
                  <c:v>5.6876274500741132E-3</c:v>
                </c:pt>
                <c:pt idx="7">
                  <c:v>0</c:v>
                </c:pt>
                <c:pt idx="8">
                  <c:v>3.3502590258829137E-2</c:v>
                </c:pt>
                <c:pt idx="9">
                  <c:v>2.2407818824619685E-2</c:v>
                </c:pt>
                <c:pt idx="10">
                  <c:v>3.1903672353373894E-2</c:v>
                </c:pt>
                <c:pt idx="11">
                  <c:v>4.2448526830933891E-2</c:v>
                </c:pt>
                <c:pt idx="12">
                  <c:v>2.1921548209604954E-2</c:v>
                </c:pt>
                <c:pt idx="13">
                  <c:v>2.2901326073318549E-2</c:v>
                </c:pt>
                <c:pt idx="14">
                  <c:v>2.3729517918828465E-3</c:v>
                </c:pt>
                <c:pt idx="15">
                  <c:v>3.2696399688780685E-3</c:v>
                </c:pt>
                <c:pt idx="16">
                  <c:v>2.8629653112301034E-2</c:v>
                </c:pt>
                <c:pt idx="17">
                  <c:v>3.0974908146564509E-2</c:v>
                </c:pt>
                <c:pt idx="18">
                  <c:v>8.3331999645287948E-3</c:v>
                </c:pt>
                <c:pt idx="19">
                  <c:v>7.0282244187452698E-3</c:v>
                </c:pt>
                <c:pt idx="20">
                  <c:v>1.1776703978795778E-2</c:v>
                </c:pt>
                <c:pt idx="21">
                  <c:v>1.0760816046143609E-2</c:v>
                </c:pt>
                <c:pt idx="22">
                  <c:v>2.0393666968311002E-2</c:v>
                </c:pt>
                <c:pt idx="23">
                  <c:v>3.3180827479451662E-2</c:v>
                </c:pt>
                <c:pt idx="24">
                  <c:v>2.3845523188916144E-2</c:v>
                </c:pt>
                <c:pt idx="25">
                  <c:v>2.1657184156412872E-2</c:v>
                </c:pt>
                <c:pt idx="26">
                  <c:v>1.6238522333974253E-4</c:v>
                </c:pt>
                <c:pt idx="27">
                  <c:v>1.5941758252562222E-4</c:v>
                </c:pt>
                <c:pt idx="28">
                  <c:v>6.8569940947470478E-3</c:v>
                </c:pt>
                <c:pt idx="29">
                  <c:v>7.6316363633270809E-3</c:v>
                </c:pt>
                <c:pt idx="30">
                  <c:v>1.7266912137555192E-3</c:v>
                </c:pt>
                <c:pt idx="31">
                  <c:v>1.911275216493283E-3</c:v>
                </c:pt>
                <c:pt idx="32">
                  <c:v>4.7544587630061102E-3</c:v>
                </c:pt>
                <c:pt idx="33">
                  <c:v>8.9351551840210191E-3</c:v>
                </c:pt>
                <c:pt idx="34">
                  <c:v>0</c:v>
                </c:pt>
                <c:pt idx="35">
                  <c:v>0</c:v>
                </c:pt>
              </c:numCache>
            </c:numRef>
          </c:val>
          <c:extLst>
            <c:ext xmlns:c16="http://schemas.microsoft.com/office/drawing/2014/chart" uri="{C3380CC4-5D6E-409C-BE32-E72D297353CC}">
              <c16:uniqueId val="{00000007-9D96-4974-8B5D-F0CFECA4CE6A}"/>
            </c:ext>
          </c:extLst>
        </c:ser>
        <c:ser>
          <c:idx val="4"/>
          <c:order val="4"/>
          <c:tx>
            <c:strRef>
              <c:f>'Figure 12'!$U$6</c:f>
              <c:strCache>
                <c:ptCount val="1"/>
                <c:pt idx="0">
                  <c:v>Bonus</c:v>
                </c:pt>
              </c:strCache>
            </c:strRef>
          </c:tx>
          <c:spPr>
            <a:solidFill>
              <a:schemeClr val="accent6">
                <a:lumMod val="60000"/>
                <a:lumOff val="40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12'!$U$7:$U$46</c15:sqref>
                  </c15:fullRef>
                </c:ext>
              </c:extLst>
              <c:f>('Figure 12'!$U$7:$U$32,'Figure 12'!$U$35:$U$46)</c:f>
              <c:numCache>
                <c:formatCode>0%</c:formatCode>
                <c:ptCount val="36"/>
                <c:pt idx="0">
                  <c:v>9.9276376925420948E-2</c:v>
                </c:pt>
                <c:pt idx="1">
                  <c:v>0.12346491823389356</c:v>
                </c:pt>
                <c:pt idx="2">
                  <c:v>3.8891605961098245E-2</c:v>
                </c:pt>
                <c:pt idx="3">
                  <c:v>2.8996306089547969E-2</c:v>
                </c:pt>
                <c:pt idx="4">
                  <c:v>7.0868263688769903E-2</c:v>
                </c:pt>
                <c:pt idx="5">
                  <c:v>5.885498436289497E-2</c:v>
                </c:pt>
                <c:pt idx="6">
                  <c:v>5.4675582312656706E-2</c:v>
                </c:pt>
                <c:pt idx="7">
                  <c:v>0.10008545073406092</c:v>
                </c:pt>
                <c:pt idx="8">
                  <c:v>2.3549425550085497E-2</c:v>
                </c:pt>
                <c:pt idx="9">
                  <c:v>1.944194943787227E-2</c:v>
                </c:pt>
                <c:pt idx="10">
                  <c:v>4.8221209012716842E-2</c:v>
                </c:pt>
                <c:pt idx="11">
                  <c:v>6.4144840224656455E-2</c:v>
                </c:pt>
                <c:pt idx="12">
                  <c:v>4.3397147333213801E-2</c:v>
                </c:pt>
                <c:pt idx="13">
                  <c:v>3.762952033078959E-2</c:v>
                </c:pt>
                <c:pt idx="14">
                  <c:v>1.2346939436349569E-2</c:v>
                </c:pt>
                <c:pt idx="15">
                  <c:v>1.701258610162211E-2</c:v>
                </c:pt>
                <c:pt idx="16">
                  <c:v>1.7678081575980883E-2</c:v>
                </c:pt>
                <c:pt idx="17">
                  <c:v>1.9118472632613473E-2</c:v>
                </c:pt>
                <c:pt idx="18">
                  <c:v>1.8482179429219758E-2</c:v>
                </c:pt>
                <c:pt idx="19">
                  <c:v>1.5587878045528079E-2</c:v>
                </c:pt>
                <c:pt idx="20">
                  <c:v>1.6749685647554798E-2</c:v>
                </c:pt>
                <c:pt idx="21">
                  <c:v>1.4588325948635105E-2</c:v>
                </c:pt>
                <c:pt idx="22">
                  <c:v>0</c:v>
                </c:pt>
                <c:pt idx="23">
                  <c:v>0</c:v>
                </c:pt>
                <c:pt idx="24">
                  <c:v>1.275389009925984E-2</c:v>
                </c:pt>
                <c:pt idx="25">
                  <c:v>1.2647564855762147E-2</c:v>
                </c:pt>
                <c:pt idx="26">
                  <c:v>1.2318451179427783E-2</c:v>
                </c:pt>
                <c:pt idx="27">
                  <c:v>1.2102762110964336E-2</c:v>
                </c:pt>
                <c:pt idx="28">
                  <c:v>0</c:v>
                </c:pt>
                <c:pt idx="29">
                  <c:v>0</c:v>
                </c:pt>
                <c:pt idx="30">
                  <c:v>1.3108800590309133E-2</c:v>
                </c:pt>
                <c:pt idx="31">
                  <c:v>1.451013677872216E-2</c:v>
                </c:pt>
                <c:pt idx="32">
                  <c:v>3.1696391753374058E-3</c:v>
                </c:pt>
                <c:pt idx="33">
                  <c:v>5.9567701226806782E-3</c:v>
                </c:pt>
                <c:pt idx="35">
                  <c:v>0</c:v>
                </c:pt>
              </c:numCache>
            </c:numRef>
          </c:val>
          <c:extLst>
            <c:ext xmlns:c16="http://schemas.microsoft.com/office/drawing/2014/chart" uri="{C3380CC4-5D6E-409C-BE32-E72D297353CC}">
              <c16:uniqueId val="{00000009-9D96-4974-8B5D-F0CFECA4CE6A}"/>
            </c:ext>
          </c:extLst>
        </c:ser>
        <c:ser>
          <c:idx val="5"/>
          <c:order val="5"/>
          <c:tx>
            <c:strRef>
              <c:f>'Figure 12'!$V$6</c:f>
              <c:strCache>
                <c:ptCount val="1"/>
                <c:pt idx="0">
                  <c:v>Annual leave</c:v>
                </c:pt>
              </c:strCache>
            </c:strRef>
          </c:tx>
          <c:spPr>
            <a:solidFill>
              <a:schemeClr val="accent6">
                <a:lumMod val="75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12'!$V$7:$V$46</c15:sqref>
                  </c15:fullRef>
                </c:ext>
              </c:extLst>
              <c:f>('Figure 12'!$V$7:$V$32,'Figure 12'!$V$35:$V$46)</c:f>
              <c:numCache>
                <c:formatCode>0%</c:formatCode>
                <c:ptCount val="36"/>
                <c:pt idx="0">
                  <c:v>3.309212564180699E-2</c:v>
                </c:pt>
                <c:pt idx="1">
                  <c:v>4.1154972744631195E-2</c:v>
                </c:pt>
                <c:pt idx="2">
                  <c:v>1.5556642384439302E-2</c:v>
                </c:pt>
                <c:pt idx="3">
                  <c:v>1.1598522435819188E-2</c:v>
                </c:pt>
                <c:pt idx="4">
                  <c:v>1.7717065922192476E-2</c:v>
                </c:pt>
                <c:pt idx="5">
                  <c:v>1.4713746090723743E-2</c:v>
                </c:pt>
                <c:pt idx="6">
                  <c:v>1.8225194104218904E-2</c:v>
                </c:pt>
                <c:pt idx="7">
                  <c:v>3.3361816911353641E-2</c:v>
                </c:pt>
                <c:pt idx="8">
                  <c:v>1.0989731923373233E-2</c:v>
                </c:pt>
                <c:pt idx="9">
                  <c:v>9.0729097376737247E-3</c:v>
                </c:pt>
                <c:pt idx="10">
                  <c:v>1.2137839562202187E-2</c:v>
                </c:pt>
                <c:pt idx="11">
                  <c:v>1.6150318451400761E-2</c:v>
                </c:pt>
                <c:pt idx="12">
                  <c:v>2.16985736666069E-2</c:v>
                </c:pt>
                <c:pt idx="13">
                  <c:v>1.8814760165394795E-2</c:v>
                </c:pt>
                <c:pt idx="14">
                  <c:v>1.2346939436349569E-2</c:v>
                </c:pt>
                <c:pt idx="15">
                  <c:v>1.701258610162211E-2</c:v>
                </c:pt>
                <c:pt idx="16">
                  <c:v>8.8390407879904414E-3</c:v>
                </c:pt>
                <c:pt idx="17">
                  <c:v>9.5592363163067347E-3</c:v>
                </c:pt>
                <c:pt idx="18">
                  <c:v>1.8482179429219758E-2</c:v>
                </c:pt>
                <c:pt idx="19">
                  <c:v>1.5587878045528079E-2</c:v>
                </c:pt>
                <c:pt idx="20">
                  <c:v>7.8130950504806135E-3</c:v>
                </c:pt>
                <c:pt idx="21">
                  <c:v>6.8078854426963809E-3</c:v>
                </c:pt>
                <c:pt idx="22">
                  <c:v>8.2994466060493152E-3</c:v>
                </c:pt>
                <c:pt idx="23">
                  <c:v>1.3390859225727246E-2</c:v>
                </c:pt>
                <c:pt idx="24">
                  <c:v>1.7005186799013122E-2</c:v>
                </c:pt>
                <c:pt idx="25">
                  <c:v>1.6863419807682863E-2</c:v>
                </c:pt>
                <c:pt idx="26">
                  <c:v>8.6229158255994483E-3</c:v>
                </c:pt>
                <c:pt idx="27">
                  <c:v>8.4719334776750359E-3</c:v>
                </c:pt>
                <c:pt idx="28">
                  <c:v>6.1126741402671809E-3</c:v>
                </c:pt>
                <c:pt idx="29">
                  <c:v>8.0382428391001202E-3</c:v>
                </c:pt>
                <c:pt idx="30">
                  <c:v>7.8652803541854784E-3</c:v>
                </c:pt>
                <c:pt idx="31">
                  <c:v>8.7060820672332957E-3</c:v>
                </c:pt>
                <c:pt idx="32">
                  <c:v>2.9583298969815788E-3</c:v>
                </c:pt>
                <c:pt idx="33">
                  <c:v>7.8301283242598486E-3</c:v>
                </c:pt>
                <c:pt idx="34">
                  <c:v>3.749616046085738E-3</c:v>
                </c:pt>
                <c:pt idx="35">
                  <c:v>5.2476924995590148E-3</c:v>
                </c:pt>
              </c:numCache>
            </c:numRef>
          </c:val>
          <c:extLst>
            <c:ext xmlns:c16="http://schemas.microsoft.com/office/drawing/2014/chart" uri="{C3380CC4-5D6E-409C-BE32-E72D297353CC}">
              <c16:uniqueId val="{0000000B-9D96-4974-8B5D-F0CFECA4CE6A}"/>
            </c:ext>
          </c:extLst>
        </c:ser>
        <c:ser>
          <c:idx val="6"/>
          <c:order val="6"/>
          <c:tx>
            <c:strRef>
              <c:f>'Figure 12'!$W$6</c:f>
              <c:strCache>
                <c:ptCount val="1"/>
                <c:pt idx="0">
                  <c:v>Severance payment (without just cause)</c:v>
                </c:pt>
              </c:strCache>
            </c:strRef>
          </c:tx>
          <c:spPr>
            <a:solidFill>
              <a:schemeClr val="accent1">
                <a:lumMod val="40000"/>
                <a:lumOff val="60000"/>
              </a:schemeClr>
            </a:solidFill>
          </c:spPr>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12'!$W$7:$W$46</c15:sqref>
                  </c15:fullRef>
                </c:ext>
              </c:extLst>
              <c:f>('Figure 12'!$W$7:$W$32,'Figure 12'!$W$35:$W$46)</c:f>
              <c:numCache>
                <c:formatCode>0%</c:formatCode>
                <c:ptCount val="36"/>
                <c:pt idx="0">
                  <c:v>4.9638188462710481E-2</c:v>
                </c:pt>
                <c:pt idx="1">
                  <c:v>6.1732459116946796E-2</c:v>
                </c:pt>
                <c:pt idx="2">
                  <c:v>1.9445802980549126E-2</c:v>
                </c:pt>
                <c:pt idx="3">
                  <c:v>1.4498153044773985E-2</c:v>
                </c:pt>
                <c:pt idx="4">
                  <c:v>3.5434131844384952E-2</c:v>
                </c:pt>
                <c:pt idx="5">
                  <c:v>2.9427492181447492E-2</c:v>
                </c:pt>
                <c:pt idx="6">
                  <c:v>2.733779115632835E-2</c:v>
                </c:pt>
                <c:pt idx="7">
                  <c:v>5.0042725367030458E-2</c:v>
                </c:pt>
                <c:pt idx="8">
                  <c:v>1.6641594055393751E-2</c:v>
                </c:pt>
                <c:pt idx="9">
                  <c:v>1.3764900202013562E-2</c:v>
                </c:pt>
                <c:pt idx="10">
                  <c:v>2.3943135574754998E-2</c:v>
                </c:pt>
                <c:pt idx="11">
                  <c:v>3.1858162424680946E-2</c:v>
                </c:pt>
                <c:pt idx="12">
                  <c:v>3.2547860499910347E-2</c:v>
                </c:pt>
                <c:pt idx="13">
                  <c:v>2.8222140248092192E-2</c:v>
                </c:pt>
                <c:pt idx="14">
                  <c:v>1.9695499872627625E-2</c:v>
                </c:pt>
                <c:pt idx="15">
                  <c:v>2.6861978055192807E-2</c:v>
                </c:pt>
                <c:pt idx="16">
                  <c:v>1.2963926489052643E-2</c:v>
                </c:pt>
                <c:pt idx="17">
                  <c:v>1.4020213263916545E-2</c:v>
                </c:pt>
                <c:pt idx="18">
                  <c:v>1.4662529013847674E-2</c:v>
                </c:pt>
                <c:pt idx="19">
                  <c:v>1.2366383249452278E-2</c:v>
                </c:pt>
                <c:pt idx="20">
                  <c:v>1.6742346536744172E-2</c:v>
                </c:pt>
                <c:pt idx="21">
                  <c:v>1.4588325948635102E-2</c:v>
                </c:pt>
                <c:pt idx="22">
                  <c:v>8.2994466060493169E-3</c:v>
                </c:pt>
                <c:pt idx="23">
                  <c:v>1.3390859225727246E-2</c:v>
                </c:pt>
                <c:pt idx="24">
                  <c:v>4.8974937981157785E-3</c:v>
                </c:pt>
                <c:pt idx="25">
                  <c:v>4.8566649046126635E-3</c:v>
                </c:pt>
                <c:pt idx="26">
                  <c:v>1.4700018407450489E-2</c:v>
                </c:pt>
                <c:pt idx="27">
                  <c:v>1.4442629452417439E-2</c:v>
                </c:pt>
                <c:pt idx="28">
                  <c:v>1.2225348280534362E-2</c:v>
                </c:pt>
                <c:pt idx="29">
                  <c:v>1.6076485678200244E-2</c:v>
                </c:pt>
                <c:pt idx="30">
                  <c:v>1.0050080452570335E-2</c:v>
                </c:pt>
                <c:pt idx="31">
                  <c:v>1.1124438197020321E-2</c:v>
                </c:pt>
                <c:pt idx="32">
                  <c:v>7.9162858141847807E-3</c:v>
                </c:pt>
                <c:pt idx="33">
                  <c:v>1.4877243816093712E-2</c:v>
                </c:pt>
                <c:pt idx="34">
                  <c:v>4.4459733117873743E-3</c:v>
                </c:pt>
                <c:pt idx="35">
                  <c:v>5.6225276780989455E-3</c:v>
                </c:pt>
              </c:numCache>
            </c:numRef>
          </c:val>
          <c:extLst>
            <c:ext xmlns:c16="http://schemas.microsoft.com/office/drawing/2014/chart" uri="{C3380CC4-5D6E-409C-BE32-E72D297353CC}">
              <c16:uniqueId val="{0000000D-9D96-4974-8B5D-F0CFECA4CE6A}"/>
            </c:ext>
          </c:extLst>
        </c:ser>
        <c:ser>
          <c:idx val="7"/>
          <c:order val="7"/>
          <c:tx>
            <c:strRef>
              <c:f>'Figure 12'!$X$6</c:f>
              <c:strCache>
                <c:ptCount val="1"/>
                <c:pt idx="0">
                  <c:v>Firing notice</c:v>
                </c:pt>
              </c:strCache>
            </c:strRef>
          </c:tx>
          <c:invertIfNegative val="0"/>
          <c:cat>
            <c:multiLvlStrRef>
              <c:extLst>
                <c:ext xmlns:c15="http://schemas.microsoft.com/office/drawing/2012/chart" uri="{02D57815-91ED-43cb-92C2-25804820EDAC}">
                  <c15:fullRef>
                    <c15:sqref>'Figure 12'!$N$7:$O$46</c15:sqref>
                  </c15:fullRef>
                </c:ext>
              </c:extLst>
              <c:f>('Figure 12'!$N$7:$O$32,'Figure 12'!$N$35:$O$46)</c:f>
              <c:multiLvlStrCache>
                <c:ptCount val="36"/>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lvl>
                <c:lvl>
                  <c:pt idx="0">
                    <c:v>HND</c:v>
                  </c:pt>
                  <c:pt idx="2">
                    <c:v>PRY</c:v>
                  </c:pt>
                  <c:pt idx="4">
                    <c:v>GTM</c:v>
                  </c:pt>
                  <c:pt idx="6">
                    <c:v>BOL</c:v>
                  </c:pt>
                  <c:pt idx="8">
                    <c:v>CRI</c:v>
                  </c:pt>
                  <c:pt idx="10">
                    <c:v>ECU</c:v>
                  </c:pt>
                  <c:pt idx="12">
                    <c:v>PER</c:v>
                  </c:pt>
                  <c:pt idx="14">
                    <c:v>SLV</c:v>
                  </c:pt>
                  <c:pt idx="16">
                    <c:v>COL</c:v>
                  </c:pt>
                  <c:pt idx="18">
                    <c:v>PAN</c:v>
                  </c:pt>
                  <c:pt idx="20">
                    <c:v>ARG</c:v>
                  </c:pt>
                  <c:pt idx="22">
                    <c:v>JAM</c:v>
                  </c:pt>
                  <c:pt idx="24">
                    <c:v>BRA</c:v>
                  </c:pt>
                  <c:pt idx="26">
                    <c:v>URY</c:v>
                  </c:pt>
                  <c:pt idx="28">
                    <c:v>CHL</c:v>
                  </c:pt>
                  <c:pt idx="30">
                    <c:v>DOM</c:v>
                  </c:pt>
                  <c:pt idx="32">
                    <c:v>MEX</c:v>
                  </c:pt>
                  <c:pt idx="34">
                    <c:v>TTO</c:v>
                  </c:pt>
                </c:lvl>
              </c:multiLvlStrCache>
            </c:multiLvlStrRef>
          </c:cat>
          <c:val>
            <c:numRef>
              <c:extLst>
                <c:ext xmlns:c15="http://schemas.microsoft.com/office/drawing/2012/chart" uri="{02D57815-91ED-43cb-92C2-25804820EDAC}">
                  <c15:fullRef>
                    <c15:sqref>'Figure 12'!$X$7:$X$44</c15:sqref>
                  </c15:fullRef>
                </c:ext>
              </c:extLst>
              <c:f>('Figure 12'!$X$7:$X$32,'Figure 12'!$X$35:$X$44)</c:f>
              <c:numCache>
                <c:formatCode>0%</c:formatCode>
                <c:ptCount val="34"/>
                <c:pt idx="0">
                  <c:v>9.9276376925420944E-3</c:v>
                </c:pt>
                <c:pt idx="1">
                  <c:v>2.4692983646778712E-2</c:v>
                </c:pt>
                <c:pt idx="2">
                  <c:v>1.1667481788329475E-2</c:v>
                </c:pt>
                <c:pt idx="3">
                  <c:v>8.6988918268643915E-3</c:v>
                </c:pt>
                <c:pt idx="4">
                  <c:v>0</c:v>
                </c:pt>
                <c:pt idx="5">
                  <c:v>0</c:v>
                </c:pt>
                <c:pt idx="6">
                  <c:v>1.6402674693797008E-2</c:v>
                </c:pt>
                <c:pt idx="7">
                  <c:v>3.002563522021828E-2</c:v>
                </c:pt>
                <c:pt idx="8">
                  <c:v>4.7098851100170992E-3</c:v>
                </c:pt>
                <c:pt idx="9">
                  <c:v>3.8883898875744531E-3</c:v>
                </c:pt>
                <c:pt idx="10">
                  <c:v>0</c:v>
                </c:pt>
                <c:pt idx="11">
                  <c:v>0</c:v>
                </c:pt>
                <c:pt idx="12">
                  <c:v>0</c:v>
                </c:pt>
                <c:pt idx="13">
                  <c:v>0</c:v>
                </c:pt>
                <c:pt idx="14">
                  <c:v>0</c:v>
                </c:pt>
                <c:pt idx="15">
                  <c:v>0</c:v>
                </c:pt>
                <c:pt idx="16">
                  <c:v>8.8390407879904414E-4</c:v>
                </c:pt>
                <c:pt idx="17">
                  <c:v>9.5592363163067324E-4</c:v>
                </c:pt>
                <c:pt idx="18">
                  <c:v>0</c:v>
                </c:pt>
                <c:pt idx="19">
                  <c:v>0</c:v>
                </c:pt>
                <c:pt idx="20">
                  <c:v>6.696938614697669E-3</c:v>
                </c:pt>
                <c:pt idx="21">
                  <c:v>5.8353303794540417E-3</c:v>
                </c:pt>
                <c:pt idx="22">
                  <c:v>3.3197786424197261E-3</c:v>
                </c:pt>
                <c:pt idx="23">
                  <c:v>5.3563436902908977E-3</c:v>
                </c:pt>
                <c:pt idx="24">
                  <c:v>3.5710892277927555E-3</c:v>
                </c:pt>
                <c:pt idx="25">
                  <c:v>3.7942694567286443E-3</c:v>
                </c:pt>
                <c:pt idx="26">
                  <c:v>0</c:v>
                </c:pt>
                <c:pt idx="27">
                  <c:v>0</c:v>
                </c:pt>
                <c:pt idx="28">
                  <c:v>2.4450696561068722E-3</c:v>
                </c:pt>
                <c:pt idx="29">
                  <c:v>3.215297135640048E-3</c:v>
                </c:pt>
                <c:pt idx="30">
                  <c:v>2.4469761101910386E-3</c:v>
                </c:pt>
                <c:pt idx="31">
                  <c:v>2.7085588653614698E-3</c:v>
                </c:pt>
                <c:pt idx="32">
                  <c:v>0</c:v>
                </c:pt>
                <c:pt idx="33">
                  <c:v>0</c:v>
                </c:pt>
              </c:numCache>
            </c:numRef>
          </c:val>
          <c:extLst>
            <c:ext xmlns:c16="http://schemas.microsoft.com/office/drawing/2014/chart" uri="{C3380CC4-5D6E-409C-BE32-E72D297353CC}">
              <c16:uniqueId val="{0000000F-9D96-4974-8B5D-F0CFECA4CE6A}"/>
            </c:ext>
          </c:extLst>
        </c:ser>
        <c:dLbls>
          <c:showLegendKey val="0"/>
          <c:showVal val="0"/>
          <c:showCatName val="0"/>
          <c:showSerName val="0"/>
          <c:showPercent val="0"/>
          <c:showBubbleSize val="0"/>
        </c:dLbls>
        <c:gapWidth val="150"/>
        <c:overlap val="100"/>
        <c:axId val="241201152"/>
        <c:axId val="241202688"/>
      </c:barChart>
      <c:catAx>
        <c:axId val="241201152"/>
        <c:scaling>
          <c:orientation val="minMax"/>
        </c:scaling>
        <c:delete val="0"/>
        <c:axPos val="b"/>
        <c:numFmt formatCode="General" sourceLinked="0"/>
        <c:majorTickMark val="out"/>
        <c:minorTickMark val="none"/>
        <c:tickLblPos val="nextTo"/>
        <c:txPr>
          <a:bodyPr/>
          <a:lstStyle/>
          <a:p>
            <a:pPr>
              <a:defRPr sz="700"/>
            </a:pPr>
            <a:endParaRPr lang="es-DO"/>
          </a:p>
        </c:txPr>
        <c:crossAx val="241202688"/>
        <c:crosses val="autoZero"/>
        <c:auto val="1"/>
        <c:lblAlgn val="ctr"/>
        <c:lblOffset val="100"/>
        <c:noMultiLvlLbl val="0"/>
      </c:catAx>
      <c:valAx>
        <c:axId val="241202688"/>
        <c:scaling>
          <c:orientation val="minMax"/>
        </c:scaling>
        <c:delete val="0"/>
        <c:axPos val="l"/>
        <c:title>
          <c:tx>
            <c:rich>
              <a:bodyPr rot="-5400000" vert="horz"/>
              <a:lstStyle/>
              <a:p>
                <a:pPr>
                  <a:defRPr sz="800"/>
                </a:pPr>
                <a:r>
                  <a:rPr lang="en-US" sz="800" b="1" i="0" u="none" strike="noStrike" kern="1200" baseline="0">
                    <a:solidFill>
                      <a:sysClr val="windowText" lastClr="000000"/>
                    </a:solidFill>
                    <a:latin typeface="Times New Roman" panose="02020603050405020304" pitchFamily="18" charset="0"/>
                    <a:cs typeface="Times New Roman" panose="02020603050405020304" pitchFamily="18" charset="0"/>
                  </a:rPr>
                  <a:t>Minimum cost of salaried labor for employers (% of GDP per worker)</a:t>
                </a:r>
                <a:endParaRPr lang="es-ES_tradnl" sz="800" b="1" i="0" u="none" strike="noStrike" kern="1200" baseline="0">
                  <a:solidFill>
                    <a:sysClr val="windowText" lastClr="000000"/>
                  </a:solidFill>
                  <a:latin typeface="Times New Roman" panose="02020603050405020304" pitchFamily="18" charset="0"/>
                  <a:cs typeface="Times New Roman" panose="02020603050405020304" pitchFamily="18" charset="0"/>
                </a:endParaRPr>
              </a:p>
            </c:rich>
          </c:tx>
          <c:layout>
            <c:manualLayout>
              <c:xMode val="edge"/>
              <c:yMode val="edge"/>
              <c:x val="0"/>
              <c:y val="2.5078706593900831E-2"/>
            </c:manualLayout>
          </c:layout>
          <c:overlay val="0"/>
        </c:title>
        <c:numFmt formatCode="0%" sourceLinked="1"/>
        <c:majorTickMark val="out"/>
        <c:minorTickMark val="none"/>
        <c:tickLblPos val="nextTo"/>
        <c:txPr>
          <a:bodyPr/>
          <a:lstStyle/>
          <a:p>
            <a:pPr>
              <a:defRPr sz="800"/>
            </a:pPr>
            <a:endParaRPr lang="es-DO"/>
          </a:p>
        </c:txPr>
        <c:crossAx val="241201152"/>
        <c:crosses val="autoZero"/>
        <c:crossBetween val="between"/>
      </c:valAx>
    </c:plotArea>
    <c:legend>
      <c:legendPos val="b"/>
      <c:layout>
        <c:manualLayout>
          <c:xMode val="edge"/>
          <c:yMode val="edge"/>
          <c:x val="1.07681954310462E-3"/>
          <c:y val="0.94050803888541556"/>
          <c:w val="0.99797494634673789"/>
          <c:h val="5.8677396914849564E-2"/>
        </c:manualLayout>
      </c:layout>
      <c:overlay val="0"/>
      <c:txPr>
        <a:bodyPr/>
        <a:lstStyle/>
        <a:p>
          <a:pPr>
            <a:defRPr sz="800"/>
          </a:pPr>
          <a:endParaRPr lang="es-DO"/>
        </a:p>
      </c:txPr>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409426274897"/>
          <c:y val="4.5643153526970952E-2"/>
          <c:w val="0.8725229640204063"/>
          <c:h val="0.74465057013101577"/>
        </c:manualLayout>
      </c:layout>
      <c:barChart>
        <c:barDir val="col"/>
        <c:grouping val="stacked"/>
        <c:varyColors val="0"/>
        <c:ser>
          <c:idx val="0"/>
          <c:order val="0"/>
          <c:tx>
            <c:strRef>
              <c:f>'Figure 13'!$N$31</c:f>
              <c:strCache>
                <c:ptCount val="1"/>
                <c:pt idx="0">
                  <c:v>Mandatory contributions</c:v>
                </c:pt>
              </c:strCache>
            </c:strRef>
          </c:tx>
          <c:spPr>
            <a:solidFill>
              <a:schemeClr val="tx2"/>
            </a:solidFill>
          </c:spPr>
          <c:invertIfNegative val="0"/>
          <c:dPt>
            <c:idx val="2"/>
            <c:invertIfNegative val="0"/>
            <c:bubble3D val="0"/>
            <c:spPr>
              <a:pattFill prst="pct50">
                <a:fgClr>
                  <a:schemeClr val="tx2"/>
                </a:fgClr>
                <a:bgClr>
                  <a:schemeClr val="bg1"/>
                </a:bgClr>
              </a:pattFill>
            </c:spPr>
            <c:extLst>
              <c:ext xmlns:c16="http://schemas.microsoft.com/office/drawing/2014/chart" uri="{C3380CC4-5D6E-409C-BE32-E72D297353CC}">
                <c16:uniqueId val="{00000001-F960-48AA-8FE8-7D2AA65D9180}"/>
              </c:ext>
            </c:extLst>
          </c:dPt>
          <c:dPt>
            <c:idx val="5"/>
            <c:invertIfNegative val="0"/>
            <c:bubble3D val="0"/>
            <c:spPr>
              <a:pattFill prst="pct50">
                <a:fgClr>
                  <a:schemeClr val="tx2"/>
                </a:fgClr>
                <a:bgClr>
                  <a:schemeClr val="bg1"/>
                </a:bgClr>
              </a:pattFill>
            </c:spPr>
            <c:extLst>
              <c:ext xmlns:c16="http://schemas.microsoft.com/office/drawing/2014/chart" uri="{C3380CC4-5D6E-409C-BE32-E72D297353CC}">
                <c16:uniqueId val="{00000003-F960-48AA-8FE8-7D2AA65D9180}"/>
              </c:ext>
            </c:extLst>
          </c:dPt>
          <c:dPt>
            <c:idx val="8"/>
            <c:invertIfNegative val="0"/>
            <c:bubble3D val="0"/>
            <c:spPr>
              <a:pattFill prst="pct50">
                <a:fgClr>
                  <a:schemeClr val="tx2"/>
                </a:fgClr>
                <a:bgClr>
                  <a:schemeClr val="bg1"/>
                </a:bgClr>
              </a:pattFill>
            </c:spPr>
            <c:extLst>
              <c:ext xmlns:c16="http://schemas.microsoft.com/office/drawing/2014/chart" uri="{C3380CC4-5D6E-409C-BE32-E72D297353CC}">
                <c16:uniqueId val="{00000005-F960-48AA-8FE8-7D2AA65D9180}"/>
              </c:ext>
            </c:extLst>
          </c:dPt>
          <c:dPt>
            <c:idx val="11"/>
            <c:invertIfNegative val="0"/>
            <c:bubble3D val="0"/>
            <c:spPr>
              <a:pattFill prst="pct50">
                <a:fgClr>
                  <a:schemeClr val="tx2"/>
                </a:fgClr>
                <a:bgClr>
                  <a:schemeClr val="bg1"/>
                </a:bgClr>
              </a:pattFill>
            </c:spPr>
            <c:extLst>
              <c:ext xmlns:c16="http://schemas.microsoft.com/office/drawing/2014/chart" uri="{C3380CC4-5D6E-409C-BE32-E72D297353CC}">
                <c16:uniqueId val="{00000007-F960-48AA-8FE8-7D2AA65D9180}"/>
              </c:ext>
            </c:extLst>
          </c:dPt>
          <c:dPt>
            <c:idx val="14"/>
            <c:invertIfNegative val="0"/>
            <c:bubble3D val="0"/>
            <c:spPr>
              <a:pattFill prst="pct50">
                <a:fgClr>
                  <a:schemeClr val="tx2"/>
                </a:fgClr>
                <a:bgClr>
                  <a:schemeClr val="bg1"/>
                </a:bgClr>
              </a:pattFill>
            </c:spPr>
            <c:extLst>
              <c:ext xmlns:c16="http://schemas.microsoft.com/office/drawing/2014/chart" uri="{C3380CC4-5D6E-409C-BE32-E72D297353CC}">
                <c16:uniqueId val="{00000009-F960-48AA-8FE8-7D2AA65D9180}"/>
              </c:ext>
            </c:extLst>
          </c:dPt>
          <c:dPt>
            <c:idx val="17"/>
            <c:invertIfNegative val="0"/>
            <c:bubble3D val="0"/>
            <c:spPr>
              <a:pattFill prst="pct50">
                <a:fgClr>
                  <a:schemeClr val="tx2"/>
                </a:fgClr>
                <a:bgClr>
                  <a:schemeClr val="bg1"/>
                </a:bgClr>
              </a:pattFill>
            </c:spPr>
            <c:extLst>
              <c:ext xmlns:c16="http://schemas.microsoft.com/office/drawing/2014/chart" uri="{C3380CC4-5D6E-409C-BE32-E72D297353CC}">
                <c16:uniqueId val="{0000000B-F960-48AA-8FE8-7D2AA65D9180}"/>
              </c:ext>
            </c:extLst>
          </c:dPt>
          <c:dPt>
            <c:idx val="20"/>
            <c:invertIfNegative val="0"/>
            <c:bubble3D val="0"/>
            <c:spPr>
              <a:pattFill prst="pct50">
                <a:fgClr>
                  <a:schemeClr val="tx2"/>
                </a:fgClr>
                <a:bgClr>
                  <a:schemeClr val="bg1"/>
                </a:bgClr>
              </a:pattFill>
            </c:spPr>
            <c:extLst>
              <c:ext xmlns:c16="http://schemas.microsoft.com/office/drawing/2014/chart" uri="{C3380CC4-5D6E-409C-BE32-E72D297353CC}">
                <c16:uniqueId val="{0000000D-F960-48AA-8FE8-7D2AA65D9180}"/>
              </c:ext>
            </c:extLst>
          </c:dPt>
          <c:cat>
            <c:multiLvlStrRef>
              <c:f>'Figure 13'!$L$35:$M$55</c:f>
              <c:multiLvlStrCache>
                <c:ptCount val="21"/>
                <c:lvl>
                  <c:pt idx="0">
                    <c:v>2013</c:v>
                  </c:pt>
                  <c:pt idx="1">
                    <c:v>2023</c:v>
                  </c:pt>
                  <c:pt idx="2">
                    <c:v>2025</c:v>
                  </c:pt>
                  <c:pt idx="3">
                    <c:v>2013</c:v>
                  </c:pt>
                  <c:pt idx="4">
                    <c:v>2023</c:v>
                  </c:pt>
                  <c:pt idx="5">
                    <c:v>2025</c:v>
                  </c:pt>
                  <c:pt idx="6">
                    <c:v>2013</c:v>
                  </c:pt>
                  <c:pt idx="7">
                    <c:v>2023</c:v>
                  </c:pt>
                  <c:pt idx="8">
                    <c:v>2025</c:v>
                  </c:pt>
                  <c:pt idx="9">
                    <c:v>2013</c:v>
                  </c:pt>
                  <c:pt idx="10">
                    <c:v>2023</c:v>
                  </c:pt>
                  <c:pt idx="11">
                    <c:v>2025</c:v>
                  </c:pt>
                  <c:pt idx="12">
                    <c:v>2013</c:v>
                  </c:pt>
                  <c:pt idx="13">
                    <c:v>2023</c:v>
                  </c:pt>
                  <c:pt idx="14">
                    <c:v>2025</c:v>
                  </c:pt>
                  <c:pt idx="15">
                    <c:v>2013</c:v>
                  </c:pt>
                  <c:pt idx="16">
                    <c:v>2023</c:v>
                  </c:pt>
                  <c:pt idx="17">
                    <c:v>2025</c:v>
                  </c:pt>
                  <c:pt idx="18">
                    <c:v>2013</c:v>
                  </c:pt>
                  <c:pt idx="19">
                    <c:v>2023</c:v>
                  </c:pt>
                  <c:pt idx="20">
                    <c:v>2025</c:v>
                  </c:pt>
                </c:lvl>
                <c:lvl>
                  <c:pt idx="0">
                    <c:v>COL</c:v>
                  </c:pt>
                  <c:pt idx="3">
                    <c:v>PAN</c:v>
                  </c:pt>
                  <c:pt idx="6">
                    <c:v>LAC</c:v>
                  </c:pt>
                  <c:pt idx="9">
                    <c:v>MEX</c:v>
                  </c:pt>
                  <c:pt idx="12">
                    <c:v>VEN</c:v>
                  </c:pt>
                  <c:pt idx="15">
                    <c:v>HND</c:v>
                  </c:pt>
                  <c:pt idx="18">
                    <c:v>CHL</c:v>
                  </c:pt>
                </c:lvl>
              </c:multiLvlStrCache>
            </c:multiLvlStrRef>
          </c:cat>
          <c:val>
            <c:numRef>
              <c:f>'Figure 13'!$N$35:$N$55</c:f>
              <c:numCache>
                <c:formatCode>0%</c:formatCode>
                <c:ptCount val="21"/>
                <c:pt idx="0">
                  <c:v>0.3467386301369863</c:v>
                </c:pt>
                <c:pt idx="1">
                  <c:v>0.33348000000000005</c:v>
                </c:pt>
                <c:pt idx="2">
                  <c:v>0.35053894183371676</c:v>
                </c:pt>
                <c:pt idx="3">
                  <c:v>0.28976913900755835</c:v>
                </c:pt>
                <c:pt idx="4">
                  <c:v>0.28976913900755835</c:v>
                </c:pt>
                <c:pt idx="5">
                  <c:v>0.29976913900755836</c:v>
                </c:pt>
                <c:pt idx="6">
                  <c:v>0.28217008007986755</c:v>
                </c:pt>
                <c:pt idx="7">
                  <c:v>0.28744893329535542</c:v>
                </c:pt>
                <c:pt idx="8">
                  <c:v>0.29416402161577604</c:v>
                </c:pt>
                <c:pt idx="9">
                  <c:v>0.22755808969748248</c:v>
                </c:pt>
                <c:pt idx="10">
                  <c:v>0.23999312292980507</c:v>
                </c:pt>
                <c:pt idx="11">
                  <c:v>0.25582933067250613</c:v>
                </c:pt>
                <c:pt idx="12">
                  <c:v>0.21752500000000002</c:v>
                </c:pt>
                <c:pt idx="13">
                  <c:v>0.2175</c:v>
                </c:pt>
                <c:pt idx="14">
                  <c:v>0.3075</c:v>
                </c:pt>
                <c:pt idx="15">
                  <c:v>0.14700000000000002</c:v>
                </c:pt>
                <c:pt idx="16">
                  <c:v>0.14700000000000002</c:v>
                </c:pt>
                <c:pt idx="17">
                  <c:v>0.14626682241906644</c:v>
                </c:pt>
                <c:pt idx="18">
                  <c:v>0.2369</c:v>
                </c:pt>
                <c:pt idx="19">
                  <c:v>0.23899999999999999</c:v>
                </c:pt>
                <c:pt idx="20">
                  <c:v>0.25180000000000002</c:v>
                </c:pt>
              </c:numCache>
            </c:numRef>
          </c:val>
          <c:extLst>
            <c:ext xmlns:c16="http://schemas.microsoft.com/office/drawing/2014/chart" uri="{C3380CC4-5D6E-409C-BE32-E72D297353CC}">
              <c16:uniqueId val="{0000000E-F960-48AA-8FE8-7D2AA65D9180}"/>
            </c:ext>
          </c:extLst>
        </c:ser>
        <c:ser>
          <c:idx val="1"/>
          <c:order val="1"/>
          <c:tx>
            <c:strRef>
              <c:f>'Figure 13'!$O$32</c:f>
              <c:strCache>
                <c:ptCount val="1"/>
                <c:pt idx="0">
                  <c:v>Bonus</c:v>
                </c:pt>
              </c:strCache>
            </c:strRef>
          </c:tx>
          <c:spPr>
            <a:solidFill>
              <a:schemeClr val="accent2">
                <a:lumMod val="20000"/>
                <a:lumOff val="80000"/>
              </a:schemeClr>
            </a:solidFill>
          </c:spPr>
          <c:invertIfNegative val="0"/>
          <c:dPt>
            <c:idx val="2"/>
            <c:invertIfNegative val="0"/>
            <c:bubble3D val="0"/>
            <c:spPr>
              <a:pattFill prst="pct50">
                <a:fgClr>
                  <a:schemeClr val="accent2">
                    <a:lumMod val="20000"/>
                    <a:lumOff val="80000"/>
                  </a:schemeClr>
                </a:fgClr>
                <a:bgClr>
                  <a:schemeClr val="bg1"/>
                </a:bgClr>
              </a:pattFill>
            </c:spPr>
            <c:extLst>
              <c:ext xmlns:c16="http://schemas.microsoft.com/office/drawing/2014/chart" uri="{C3380CC4-5D6E-409C-BE32-E72D297353CC}">
                <c16:uniqueId val="{00000010-F960-48AA-8FE8-7D2AA65D9180}"/>
              </c:ext>
            </c:extLst>
          </c:dPt>
          <c:dPt>
            <c:idx val="5"/>
            <c:invertIfNegative val="0"/>
            <c:bubble3D val="0"/>
            <c:spPr>
              <a:pattFill prst="pct50">
                <a:fgClr>
                  <a:schemeClr val="accent2">
                    <a:lumMod val="20000"/>
                    <a:lumOff val="80000"/>
                  </a:schemeClr>
                </a:fgClr>
                <a:bgClr>
                  <a:schemeClr val="bg1"/>
                </a:bgClr>
              </a:pattFill>
            </c:spPr>
            <c:extLst>
              <c:ext xmlns:c16="http://schemas.microsoft.com/office/drawing/2014/chart" uri="{C3380CC4-5D6E-409C-BE32-E72D297353CC}">
                <c16:uniqueId val="{00000012-F960-48AA-8FE8-7D2AA65D9180}"/>
              </c:ext>
            </c:extLst>
          </c:dPt>
          <c:dPt>
            <c:idx val="8"/>
            <c:invertIfNegative val="0"/>
            <c:bubble3D val="0"/>
            <c:spPr>
              <a:pattFill prst="pct50">
                <a:fgClr>
                  <a:schemeClr val="accent2">
                    <a:lumMod val="20000"/>
                    <a:lumOff val="80000"/>
                  </a:schemeClr>
                </a:fgClr>
                <a:bgClr>
                  <a:schemeClr val="bg1"/>
                </a:bgClr>
              </a:pattFill>
            </c:spPr>
            <c:extLst>
              <c:ext xmlns:c16="http://schemas.microsoft.com/office/drawing/2014/chart" uri="{C3380CC4-5D6E-409C-BE32-E72D297353CC}">
                <c16:uniqueId val="{00000014-F960-48AA-8FE8-7D2AA65D9180}"/>
              </c:ext>
            </c:extLst>
          </c:dPt>
          <c:dPt>
            <c:idx val="11"/>
            <c:invertIfNegative val="0"/>
            <c:bubble3D val="0"/>
            <c:spPr>
              <a:pattFill prst="pct50">
                <a:fgClr>
                  <a:schemeClr val="accent2">
                    <a:lumMod val="20000"/>
                    <a:lumOff val="80000"/>
                  </a:schemeClr>
                </a:fgClr>
                <a:bgClr>
                  <a:schemeClr val="bg1"/>
                </a:bgClr>
              </a:pattFill>
            </c:spPr>
            <c:extLst>
              <c:ext xmlns:c16="http://schemas.microsoft.com/office/drawing/2014/chart" uri="{C3380CC4-5D6E-409C-BE32-E72D297353CC}">
                <c16:uniqueId val="{00000016-F960-48AA-8FE8-7D2AA65D9180}"/>
              </c:ext>
            </c:extLst>
          </c:dPt>
          <c:dPt>
            <c:idx val="14"/>
            <c:invertIfNegative val="0"/>
            <c:bubble3D val="0"/>
            <c:spPr>
              <a:pattFill prst="pct50">
                <a:fgClr>
                  <a:schemeClr val="accent2">
                    <a:lumMod val="20000"/>
                    <a:lumOff val="80000"/>
                  </a:schemeClr>
                </a:fgClr>
                <a:bgClr>
                  <a:schemeClr val="bg1"/>
                </a:bgClr>
              </a:pattFill>
            </c:spPr>
            <c:extLst>
              <c:ext xmlns:c16="http://schemas.microsoft.com/office/drawing/2014/chart" uri="{C3380CC4-5D6E-409C-BE32-E72D297353CC}">
                <c16:uniqueId val="{00000018-F960-48AA-8FE8-7D2AA65D9180}"/>
              </c:ext>
            </c:extLst>
          </c:dPt>
          <c:dPt>
            <c:idx val="17"/>
            <c:invertIfNegative val="0"/>
            <c:bubble3D val="0"/>
            <c:spPr>
              <a:pattFill prst="pct50">
                <a:fgClr>
                  <a:schemeClr val="accent2">
                    <a:lumMod val="20000"/>
                    <a:lumOff val="80000"/>
                  </a:schemeClr>
                </a:fgClr>
                <a:bgClr>
                  <a:schemeClr val="bg1"/>
                </a:bgClr>
              </a:pattFill>
            </c:spPr>
            <c:extLst>
              <c:ext xmlns:c16="http://schemas.microsoft.com/office/drawing/2014/chart" uri="{C3380CC4-5D6E-409C-BE32-E72D297353CC}">
                <c16:uniqueId val="{0000001A-F960-48AA-8FE8-7D2AA65D9180}"/>
              </c:ext>
            </c:extLst>
          </c:dPt>
          <c:cat>
            <c:multiLvlStrRef>
              <c:f>'Figure 13'!$L$35:$M$55</c:f>
              <c:multiLvlStrCache>
                <c:ptCount val="21"/>
                <c:lvl>
                  <c:pt idx="0">
                    <c:v>2013</c:v>
                  </c:pt>
                  <c:pt idx="1">
                    <c:v>2023</c:v>
                  </c:pt>
                  <c:pt idx="2">
                    <c:v>2025</c:v>
                  </c:pt>
                  <c:pt idx="3">
                    <c:v>2013</c:v>
                  </c:pt>
                  <c:pt idx="4">
                    <c:v>2023</c:v>
                  </c:pt>
                  <c:pt idx="5">
                    <c:v>2025</c:v>
                  </c:pt>
                  <c:pt idx="6">
                    <c:v>2013</c:v>
                  </c:pt>
                  <c:pt idx="7">
                    <c:v>2023</c:v>
                  </c:pt>
                  <c:pt idx="8">
                    <c:v>2025</c:v>
                  </c:pt>
                  <c:pt idx="9">
                    <c:v>2013</c:v>
                  </c:pt>
                  <c:pt idx="10">
                    <c:v>2023</c:v>
                  </c:pt>
                  <c:pt idx="11">
                    <c:v>2025</c:v>
                  </c:pt>
                  <c:pt idx="12">
                    <c:v>2013</c:v>
                  </c:pt>
                  <c:pt idx="13">
                    <c:v>2023</c:v>
                  </c:pt>
                  <c:pt idx="14">
                    <c:v>2025</c:v>
                  </c:pt>
                  <c:pt idx="15">
                    <c:v>2013</c:v>
                  </c:pt>
                  <c:pt idx="16">
                    <c:v>2023</c:v>
                  </c:pt>
                  <c:pt idx="17">
                    <c:v>2025</c:v>
                  </c:pt>
                  <c:pt idx="18">
                    <c:v>2013</c:v>
                  </c:pt>
                  <c:pt idx="19">
                    <c:v>2023</c:v>
                  </c:pt>
                  <c:pt idx="20">
                    <c:v>2025</c:v>
                  </c:pt>
                </c:lvl>
                <c:lvl>
                  <c:pt idx="0">
                    <c:v>COL</c:v>
                  </c:pt>
                  <c:pt idx="3">
                    <c:v>PAN</c:v>
                  </c:pt>
                  <c:pt idx="6">
                    <c:v>LAC</c:v>
                  </c:pt>
                  <c:pt idx="9">
                    <c:v>MEX</c:v>
                  </c:pt>
                  <c:pt idx="12">
                    <c:v>VEN</c:v>
                  </c:pt>
                  <c:pt idx="15">
                    <c:v>HND</c:v>
                  </c:pt>
                  <c:pt idx="18">
                    <c:v>CHL</c:v>
                  </c:pt>
                </c:lvl>
              </c:multiLvlStrCache>
            </c:multiLvlStrRef>
          </c:cat>
          <c:val>
            <c:numRef>
              <c:f>'Figure 13'!$O$35:$O$55</c:f>
              <c:numCache>
                <c:formatCode>0%</c:formatCode>
                <c:ptCount val="21"/>
                <c:pt idx="0">
                  <c:v>8.2191780821917804E-2</c:v>
                </c:pt>
                <c:pt idx="1">
                  <c:v>8.2155767334866917E-2</c:v>
                </c:pt>
                <c:pt idx="2">
                  <c:v>8.2155767334866917E-2</c:v>
                </c:pt>
                <c:pt idx="3">
                  <c:v>8.2155767334866917E-2</c:v>
                </c:pt>
                <c:pt idx="4">
                  <c:v>8.2155767334866917E-2</c:v>
                </c:pt>
                <c:pt idx="5">
                  <c:v>8.2155767334866917E-2</c:v>
                </c:pt>
                <c:pt idx="6">
                  <c:v>8.6652704376516898E-2</c:v>
                </c:pt>
                <c:pt idx="7">
                  <c:v>8.5512082729423525E-2</c:v>
                </c:pt>
                <c:pt idx="8">
                  <c:v>8.564031281241602E-2</c:v>
                </c:pt>
                <c:pt idx="9">
                  <c:v>4.1666666666666664E-2</c:v>
                </c:pt>
                <c:pt idx="10">
                  <c:v>4.1666666666666664E-2</c:v>
                </c:pt>
                <c:pt idx="11">
                  <c:v>4.1666666666666664E-2</c:v>
                </c:pt>
                <c:pt idx="12">
                  <c:v>8.2191780821917804E-2</c:v>
                </c:pt>
                <c:pt idx="13">
                  <c:v>8.2155767334866903E-2</c:v>
                </c:pt>
                <c:pt idx="14">
                  <c:v>8.2155767334866903E-2</c:v>
                </c:pt>
                <c:pt idx="15">
                  <c:v>0.16431153466973381</c:v>
                </c:pt>
                <c:pt idx="16">
                  <c:v>0.16431153466973381</c:v>
                </c:pt>
                <c:pt idx="17">
                  <c:v>0.16431153466973381</c:v>
                </c:pt>
                <c:pt idx="18">
                  <c:v>0</c:v>
                </c:pt>
                <c:pt idx="19">
                  <c:v>0</c:v>
                </c:pt>
                <c:pt idx="20">
                  <c:v>0</c:v>
                </c:pt>
              </c:numCache>
            </c:numRef>
          </c:val>
          <c:extLst>
            <c:ext xmlns:c16="http://schemas.microsoft.com/office/drawing/2014/chart" uri="{C3380CC4-5D6E-409C-BE32-E72D297353CC}">
              <c16:uniqueId val="{0000001B-F960-48AA-8FE8-7D2AA65D9180}"/>
            </c:ext>
          </c:extLst>
        </c:ser>
        <c:ser>
          <c:idx val="2"/>
          <c:order val="2"/>
          <c:tx>
            <c:strRef>
              <c:f>'Figure 13'!$P$32</c:f>
              <c:strCache>
                <c:ptCount val="1"/>
                <c:pt idx="0">
                  <c:v>Annual leave</c:v>
                </c:pt>
              </c:strCache>
            </c:strRef>
          </c:tx>
          <c:spPr>
            <a:solidFill>
              <a:schemeClr val="accent2"/>
            </a:solidFill>
          </c:spPr>
          <c:invertIfNegative val="0"/>
          <c:dPt>
            <c:idx val="2"/>
            <c:invertIfNegative val="0"/>
            <c:bubble3D val="0"/>
            <c:spPr>
              <a:pattFill prst="pct50">
                <a:fgClr>
                  <a:schemeClr val="accent2"/>
                </a:fgClr>
                <a:bgClr>
                  <a:schemeClr val="bg1"/>
                </a:bgClr>
              </a:pattFill>
            </c:spPr>
            <c:extLst>
              <c:ext xmlns:c16="http://schemas.microsoft.com/office/drawing/2014/chart" uri="{C3380CC4-5D6E-409C-BE32-E72D297353CC}">
                <c16:uniqueId val="{0000001D-F960-48AA-8FE8-7D2AA65D9180}"/>
              </c:ext>
            </c:extLst>
          </c:dPt>
          <c:dPt>
            <c:idx val="5"/>
            <c:invertIfNegative val="0"/>
            <c:bubble3D val="0"/>
            <c:spPr>
              <a:pattFill prst="pct50">
                <a:fgClr>
                  <a:schemeClr val="accent2"/>
                </a:fgClr>
                <a:bgClr>
                  <a:schemeClr val="bg1"/>
                </a:bgClr>
              </a:pattFill>
            </c:spPr>
            <c:extLst>
              <c:ext xmlns:c16="http://schemas.microsoft.com/office/drawing/2014/chart" uri="{C3380CC4-5D6E-409C-BE32-E72D297353CC}">
                <c16:uniqueId val="{0000001F-F960-48AA-8FE8-7D2AA65D9180}"/>
              </c:ext>
            </c:extLst>
          </c:dPt>
          <c:dPt>
            <c:idx val="8"/>
            <c:invertIfNegative val="0"/>
            <c:bubble3D val="0"/>
            <c:spPr>
              <a:pattFill prst="pct50">
                <a:fgClr>
                  <a:schemeClr val="accent2"/>
                </a:fgClr>
                <a:bgClr>
                  <a:schemeClr val="bg1"/>
                </a:bgClr>
              </a:pattFill>
            </c:spPr>
            <c:extLst>
              <c:ext xmlns:c16="http://schemas.microsoft.com/office/drawing/2014/chart" uri="{C3380CC4-5D6E-409C-BE32-E72D297353CC}">
                <c16:uniqueId val="{00000021-F960-48AA-8FE8-7D2AA65D9180}"/>
              </c:ext>
            </c:extLst>
          </c:dPt>
          <c:dPt>
            <c:idx val="11"/>
            <c:invertIfNegative val="0"/>
            <c:bubble3D val="0"/>
            <c:spPr>
              <a:pattFill prst="pct50">
                <a:fgClr>
                  <a:schemeClr val="accent2"/>
                </a:fgClr>
                <a:bgClr>
                  <a:schemeClr val="bg1"/>
                </a:bgClr>
              </a:pattFill>
            </c:spPr>
            <c:extLst>
              <c:ext xmlns:c16="http://schemas.microsoft.com/office/drawing/2014/chart" uri="{C3380CC4-5D6E-409C-BE32-E72D297353CC}">
                <c16:uniqueId val="{00000023-F960-48AA-8FE8-7D2AA65D9180}"/>
              </c:ext>
            </c:extLst>
          </c:dPt>
          <c:dPt>
            <c:idx val="14"/>
            <c:invertIfNegative val="0"/>
            <c:bubble3D val="0"/>
            <c:spPr>
              <a:pattFill prst="pct50">
                <a:fgClr>
                  <a:schemeClr val="accent2"/>
                </a:fgClr>
                <a:bgClr>
                  <a:schemeClr val="bg1"/>
                </a:bgClr>
              </a:pattFill>
            </c:spPr>
            <c:extLst>
              <c:ext xmlns:c16="http://schemas.microsoft.com/office/drawing/2014/chart" uri="{C3380CC4-5D6E-409C-BE32-E72D297353CC}">
                <c16:uniqueId val="{00000025-F960-48AA-8FE8-7D2AA65D9180}"/>
              </c:ext>
            </c:extLst>
          </c:dPt>
          <c:dPt>
            <c:idx val="17"/>
            <c:invertIfNegative val="0"/>
            <c:bubble3D val="0"/>
            <c:spPr>
              <a:pattFill prst="pct50">
                <a:fgClr>
                  <a:schemeClr val="accent2"/>
                </a:fgClr>
                <a:bgClr>
                  <a:schemeClr val="bg1"/>
                </a:bgClr>
              </a:pattFill>
            </c:spPr>
            <c:extLst>
              <c:ext xmlns:c16="http://schemas.microsoft.com/office/drawing/2014/chart" uri="{C3380CC4-5D6E-409C-BE32-E72D297353CC}">
                <c16:uniqueId val="{00000027-F960-48AA-8FE8-7D2AA65D9180}"/>
              </c:ext>
            </c:extLst>
          </c:dPt>
          <c:dPt>
            <c:idx val="20"/>
            <c:invertIfNegative val="0"/>
            <c:bubble3D val="0"/>
            <c:spPr>
              <a:pattFill prst="pct50">
                <a:fgClr>
                  <a:schemeClr val="accent2"/>
                </a:fgClr>
                <a:bgClr>
                  <a:schemeClr val="bg1"/>
                </a:bgClr>
              </a:pattFill>
            </c:spPr>
            <c:extLst>
              <c:ext xmlns:c16="http://schemas.microsoft.com/office/drawing/2014/chart" uri="{C3380CC4-5D6E-409C-BE32-E72D297353CC}">
                <c16:uniqueId val="{00000029-F960-48AA-8FE8-7D2AA65D9180}"/>
              </c:ext>
            </c:extLst>
          </c:dPt>
          <c:cat>
            <c:multiLvlStrRef>
              <c:f>'Figure 13'!$L$35:$M$55</c:f>
              <c:multiLvlStrCache>
                <c:ptCount val="21"/>
                <c:lvl>
                  <c:pt idx="0">
                    <c:v>2013</c:v>
                  </c:pt>
                  <c:pt idx="1">
                    <c:v>2023</c:v>
                  </c:pt>
                  <c:pt idx="2">
                    <c:v>2025</c:v>
                  </c:pt>
                  <c:pt idx="3">
                    <c:v>2013</c:v>
                  </c:pt>
                  <c:pt idx="4">
                    <c:v>2023</c:v>
                  </c:pt>
                  <c:pt idx="5">
                    <c:v>2025</c:v>
                  </c:pt>
                  <c:pt idx="6">
                    <c:v>2013</c:v>
                  </c:pt>
                  <c:pt idx="7">
                    <c:v>2023</c:v>
                  </c:pt>
                  <c:pt idx="8">
                    <c:v>2025</c:v>
                  </c:pt>
                  <c:pt idx="9">
                    <c:v>2013</c:v>
                  </c:pt>
                  <c:pt idx="10">
                    <c:v>2023</c:v>
                  </c:pt>
                  <c:pt idx="11">
                    <c:v>2025</c:v>
                  </c:pt>
                  <c:pt idx="12">
                    <c:v>2013</c:v>
                  </c:pt>
                  <c:pt idx="13">
                    <c:v>2023</c:v>
                  </c:pt>
                  <c:pt idx="14">
                    <c:v>2025</c:v>
                  </c:pt>
                  <c:pt idx="15">
                    <c:v>2013</c:v>
                  </c:pt>
                  <c:pt idx="16">
                    <c:v>2023</c:v>
                  </c:pt>
                  <c:pt idx="17">
                    <c:v>2025</c:v>
                  </c:pt>
                  <c:pt idx="18">
                    <c:v>2013</c:v>
                  </c:pt>
                  <c:pt idx="19">
                    <c:v>2023</c:v>
                  </c:pt>
                  <c:pt idx="20">
                    <c:v>2025</c:v>
                  </c:pt>
                </c:lvl>
                <c:lvl>
                  <c:pt idx="0">
                    <c:v>COL</c:v>
                  </c:pt>
                  <c:pt idx="3">
                    <c:v>PAN</c:v>
                  </c:pt>
                  <c:pt idx="6">
                    <c:v>LAC</c:v>
                  </c:pt>
                  <c:pt idx="9">
                    <c:v>MEX</c:v>
                  </c:pt>
                  <c:pt idx="12">
                    <c:v>VEN</c:v>
                  </c:pt>
                  <c:pt idx="15">
                    <c:v>HND</c:v>
                  </c:pt>
                  <c:pt idx="18">
                    <c:v>CHL</c:v>
                  </c:pt>
                </c:lvl>
              </c:multiLvlStrCache>
            </c:multiLvlStrRef>
          </c:cat>
          <c:val>
            <c:numRef>
              <c:f>'Figure 13'!$P$35:$P$55</c:f>
              <c:numCache>
                <c:formatCode>0%</c:formatCode>
                <c:ptCount val="21"/>
                <c:pt idx="0">
                  <c:v>4.1095890410958902E-2</c:v>
                </c:pt>
                <c:pt idx="1">
                  <c:v>4.1077883667433451E-2</c:v>
                </c:pt>
                <c:pt idx="2">
                  <c:v>4.1077883667433451E-2</c:v>
                </c:pt>
                <c:pt idx="3">
                  <c:v>8.2155767334866917E-2</c:v>
                </c:pt>
                <c:pt idx="4">
                  <c:v>8.2155767334866917E-2</c:v>
                </c:pt>
                <c:pt idx="5">
                  <c:v>8.2155767334866917E-2</c:v>
                </c:pt>
                <c:pt idx="6">
                  <c:v>5.2536300502432895E-2</c:v>
                </c:pt>
                <c:pt idx="7">
                  <c:v>5.2639506258251624E-2</c:v>
                </c:pt>
                <c:pt idx="8">
                  <c:v>5.2639506258251624E-2</c:v>
                </c:pt>
                <c:pt idx="9">
                  <c:v>3.888888888888889E-2</c:v>
                </c:pt>
                <c:pt idx="10">
                  <c:v>5.4770511556577937E-2</c:v>
                </c:pt>
                <c:pt idx="11">
                  <c:v>5.4770511556577937E-2</c:v>
                </c:pt>
                <c:pt idx="12">
                  <c:v>5.2054794520547946E-2</c:v>
                </c:pt>
                <c:pt idx="13">
                  <c:v>5.2031985978749043E-2</c:v>
                </c:pt>
                <c:pt idx="14">
                  <c:v>5.2031985978749043E-2</c:v>
                </c:pt>
                <c:pt idx="15">
                  <c:v>5.4770511556577951E-2</c:v>
                </c:pt>
                <c:pt idx="16">
                  <c:v>5.4770511556577944E-2</c:v>
                </c:pt>
                <c:pt idx="17">
                  <c:v>5.477051155657793E-2</c:v>
                </c:pt>
                <c:pt idx="18">
                  <c:v>4.1095890410958902E-2</c:v>
                </c:pt>
                <c:pt idx="19">
                  <c:v>4.1077883667433451E-2</c:v>
                </c:pt>
                <c:pt idx="20">
                  <c:v>4.1077883667433458E-2</c:v>
                </c:pt>
              </c:numCache>
            </c:numRef>
          </c:val>
          <c:extLst>
            <c:ext xmlns:c16="http://schemas.microsoft.com/office/drawing/2014/chart" uri="{C3380CC4-5D6E-409C-BE32-E72D297353CC}">
              <c16:uniqueId val="{0000002A-F960-48AA-8FE8-7D2AA65D9180}"/>
            </c:ext>
          </c:extLst>
        </c:ser>
        <c:ser>
          <c:idx val="3"/>
          <c:order val="3"/>
          <c:tx>
            <c:strRef>
              <c:f>'Figure 13'!$Q$32</c:f>
              <c:strCache>
                <c:ptCount val="1"/>
                <c:pt idx="0">
                  <c:v>Severance payment (flow)</c:v>
                </c:pt>
              </c:strCache>
            </c:strRef>
          </c:tx>
          <c:spPr>
            <a:solidFill>
              <a:schemeClr val="tx2">
                <a:lumMod val="25000"/>
                <a:lumOff val="75000"/>
              </a:schemeClr>
            </a:solidFill>
          </c:spPr>
          <c:invertIfNegative val="0"/>
          <c:dPt>
            <c:idx val="2"/>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2C-F960-48AA-8FE8-7D2AA65D9180}"/>
              </c:ext>
            </c:extLst>
          </c:dPt>
          <c:dPt>
            <c:idx val="5"/>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2E-F960-48AA-8FE8-7D2AA65D9180}"/>
              </c:ext>
            </c:extLst>
          </c:dPt>
          <c:dPt>
            <c:idx val="8"/>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30-F960-48AA-8FE8-7D2AA65D9180}"/>
              </c:ext>
            </c:extLst>
          </c:dPt>
          <c:dPt>
            <c:idx val="11"/>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32-F960-48AA-8FE8-7D2AA65D9180}"/>
              </c:ext>
            </c:extLst>
          </c:dPt>
          <c:dPt>
            <c:idx val="14"/>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34-F960-48AA-8FE8-7D2AA65D9180}"/>
              </c:ext>
            </c:extLst>
          </c:dPt>
          <c:dPt>
            <c:idx val="17"/>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36-F960-48AA-8FE8-7D2AA65D9180}"/>
              </c:ext>
            </c:extLst>
          </c:dPt>
          <c:dPt>
            <c:idx val="20"/>
            <c:invertIfNegative val="0"/>
            <c:bubble3D val="0"/>
            <c:spPr>
              <a:pattFill prst="pct50">
                <a:fgClr>
                  <a:schemeClr val="tx2">
                    <a:lumMod val="25000"/>
                    <a:lumOff val="75000"/>
                  </a:schemeClr>
                </a:fgClr>
                <a:bgClr>
                  <a:schemeClr val="bg1"/>
                </a:bgClr>
              </a:pattFill>
            </c:spPr>
            <c:extLst>
              <c:ext xmlns:c16="http://schemas.microsoft.com/office/drawing/2014/chart" uri="{C3380CC4-5D6E-409C-BE32-E72D297353CC}">
                <c16:uniqueId val="{00000038-F960-48AA-8FE8-7D2AA65D9180}"/>
              </c:ext>
            </c:extLst>
          </c:dPt>
          <c:cat>
            <c:multiLvlStrRef>
              <c:f>'Figure 13'!$L$35:$M$55</c:f>
              <c:multiLvlStrCache>
                <c:ptCount val="21"/>
                <c:lvl>
                  <c:pt idx="0">
                    <c:v>2013</c:v>
                  </c:pt>
                  <c:pt idx="1">
                    <c:v>2023</c:v>
                  </c:pt>
                  <c:pt idx="2">
                    <c:v>2025</c:v>
                  </c:pt>
                  <c:pt idx="3">
                    <c:v>2013</c:v>
                  </c:pt>
                  <c:pt idx="4">
                    <c:v>2023</c:v>
                  </c:pt>
                  <c:pt idx="5">
                    <c:v>2025</c:v>
                  </c:pt>
                  <c:pt idx="6">
                    <c:v>2013</c:v>
                  </c:pt>
                  <c:pt idx="7">
                    <c:v>2023</c:v>
                  </c:pt>
                  <c:pt idx="8">
                    <c:v>2025</c:v>
                  </c:pt>
                  <c:pt idx="9">
                    <c:v>2013</c:v>
                  </c:pt>
                  <c:pt idx="10">
                    <c:v>2023</c:v>
                  </c:pt>
                  <c:pt idx="11">
                    <c:v>2025</c:v>
                  </c:pt>
                  <c:pt idx="12">
                    <c:v>2013</c:v>
                  </c:pt>
                  <c:pt idx="13">
                    <c:v>2023</c:v>
                  </c:pt>
                  <c:pt idx="14">
                    <c:v>2025</c:v>
                  </c:pt>
                  <c:pt idx="15">
                    <c:v>2013</c:v>
                  </c:pt>
                  <c:pt idx="16">
                    <c:v>2023</c:v>
                  </c:pt>
                  <c:pt idx="17">
                    <c:v>2025</c:v>
                  </c:pt>
                  <c:pt idx="18">
                    <c:v>2013</c:v>
                  </c:pt>
                  <c:pt idx="19">
                    <c:v>2023</c:v>
                  </c:pt>
                  <c:pt idx="20">
                    <c:v>2025</c:v>
                  </c:pt>
                </c:lvl>
                <c:lvl>
                  <c:pt idx="0">
                    <c:v>COL</c:v>
                  </c:pt>
                  <c:pt idx="3">
                    <c:v>PAN</c:v>
                  </c:pt>
                  <c:pt idx="6">
                    <c:v>LAC</c:v>
                  </c:pt>
                  <c:pt idx="9">
                    <c:v>MEX</c:v>
                  </c:pt>
                  <c:pt idx="12">
                    <c:v>VEN</c:v>
                  </c:pt>
                  <c:pt idx="15">
                    <c:v>HND</c:v>
                  </c:pt>
                  <c:pt idx="18">
                    <c:v>CHL</c:v>
                  </c:pt>
                </c:lvl>
              </c:multiLvlStrCache>
            </c:multiLvlStrRef>
          </c:cat>
          <c:val>
            <c:numRef>
              <c:f>'Figure 13'!$Q$35:$Q$55</c:f>
              <c:numCache>
                <c:formatCode>0%</c:formatCode>
                <c:ptCount val="21"/>
                <c:pt idx="0">
                  <c:v>6.0273972602739735E-2</c:v>
                </c:pt>
                <c:pt idx="1">
                  <c:v>6.0247562712235733E-2</c:v>
                </c:pt>
                <c:pt idx="2">
                  <c:v>6.0247562712235726E-2</c:v>
                </c:pt>
                <c:pt idx="3">
                  <c:v>6.5176908752327747E-2</c:v>
                </c:pt>
                <c:pt idx="4">
                  <c:v>6.5176908752327747E-2</c:v>
                </c:pt>
                <c:pt idx="5">
                  <c:v>6.5176908752327747E-2</c:v>
                </c:pt>
                <c:pt idx="6">
                  <c:v>7.2996574532952066E-2</c:v>
                </c:pt>
                <c:pt idx="7">
                  <c:v>7.2696777574780713E-2</c:v>
                </c:pt>
                <c:pt idx="8">
                  <c:v>7.269488212809383E-2</c:v>
                </c:pt>
                <c:pt idx="9">
                  <c:v>0.10406397195749809</c:v>
                </c:pt>
                <c:pt idx="10">
                  <c:v>0.10406397195749809</c:v>
                </c:pt>
                <c:pt idx="11">
                  <c:v>0.10406397195749809</c:v>
                </c:pt>
                <c:pt idx="12">
                  <c:v>8.2191780821917804E-2</c:v>
                </c:pt>
                <c:pt idx="13">
                  <c:v>8.2155767334866903E-2</c:v>
                </c:pt>
                <c:pt idx="14">
                  <c:v>8.2155767334866903E-2</c:v>
                </c:pt>
                <c:pt idx="15">
                  <c:v>8.2155767334866917E-2</c:v>
                </c:pt>
                <c:pt idx="16">
                  <c:v>8.2155767334866917E-2</c:v>
                </c:pt>
                <c:pt idx="17">
                  <c:v>8.2155767334866917E-2</c:v>
                </c:pt>
                <c:pt idx="18">
                  <c:v>8.2191780821917804E-2</c:v>
                </c:pt>
                <c:pt idx="19">
                  <c:v>8.215576733486693E-2</c:v>
                </c:pt>
                <c:pt idx="20">
                  <c:v>8.2155767334866917E-2</c:v>
                </c:pt>
              </c:numCache>
            </c:numRef>
          </c:val>
          <c:extLst>
            <c:ext xmlns:c16="http://schemas.microsoft.com/office/drawing/2014/chart" uri="{C3380CC4-5D6E-409C-BE32-E72D297353CC}">
              <c16:uniqueId val="{00000039-F960-48AA-8FE8-7D2AA65D9180}"/>
            </c:ext>
          </c:extLst>
        </c:ser>
        <c:ser>
          <c:idx val="4"/>
          <c:order val="4"/>
          <c:tx>
            <c:strRef>
              <c:f>'Figure 13'!$R$32</c:f>
              <c:strCache>
                <c:ptCount val="1"/>
                <c:pt idx="0">
                  <c:v>Firing notice (flow)</c:v>
                </c:pt>
              </c:strCache>
            </c:strRef>
          </c:tx>
          <c:spPr>
            <a:solidFill>
              <a:schemeClr val="tx2">
                <a:lumMod val="50000"/>
                <a:lumOff val="50000"/>
              </a:schemeClr>
            </a:solidFill>
          </c:spPr>
          <c:invertIfNegative val="0"/>
          <c:dPt>
            <c:idx val="2"/>
            <c:invertIfNegative val="0"/>
            <c:bubble3D val="0"/>
            <c:spPr>
              <a:pattFill prst="pct50">
                <a:fgClr>
                  <a:schemeClr val="tx2">
                    <a:lumMod val="50000"/>
                    <a:lumOff val="50000"/>
                  </a:schemeClr>
                </a:fgClr>
                <a:bgClr>
                  <a:schemeClr val="bg1"/>
                </a:bgClr>
              </a:pattFill>
            </c:spPr>
            <c:extLst>
              <c:ext xmlns:c16="http://schemas.microsoft.com/office/drawing/2014/chart" uri="{C3380CC4-5D6E-409C-BE32-E72D297353CC}">
                <c16:uniqueId val="{0000003B-F960-48AA-8FE8-7D2AA65D9180}"/>
              </c:ext>
            </c:extLst>
          </c:dPt>
          <c:dPt>
            <c:idx val="8"/>
            <c:invertIfNegative val="0"/>
            <c:bubble3D val="0"/>
            <c:spPr>
              <a:pattFill prst="pct50">
                <a:fgClr>
                  <a:schemeClr val="tx2">
                    <a:lumMod val="50000"/>
                    <a:lumOff val="50000"/>
                  </a:schemeClr>
                </a:fgClr>
                <a:bgClr>
                  <a:schemeClr val="bg1"/>
                </a:bgClr>
              </a:pattFill>
            </c:spPr>
            <c:extLst>
              <c:ext xmlns:c16="http://schemas.microsoft.com/office/drawing/2014/chart" uri="{C3380CC4-5D6E-409C-BE32-E72D297353CC}">
                <c16:uniqueId val="{0000003D-F960-48AA-8FE8-7D2AA65D9180}"/>
              </c:ext>
            </c:extLst>
          </c:dPt>
          <c:dPt>
            <c:idx val="17"/>
            <c:invertIfNegative val="0"/>
            <c:bubble3D val="0"/>
            <c:spPr>
              <a:pattFill prst="pct50">
                <a:fgClr>
                  <a:schemeClr val="tx2">
                    <a:lumMod val="50000"/>
                    <a:lumOff val="50000"/>
                  </a:schemeClr>
                </a:fgClr>
                <a:bgClr>
                  <a:schemeClr val="bg1"/>
                </a:bgClr>
              </a:pattFill>
            </c:spPr>
            <c:extLst>
              <c:ext xmlns:c16="http://schemas.microsoft.com/office/drawing/2014/chart" uri="{C3380CC4-5D6E-409C-BE32-E72D297353CC}">
                <c16:uniqueId val="{0000003F-F960-48AA-8FE8-7D2AA65D9180}"/>
              </c:ext>
            </c:extLst>
          </c:dPt>
          <c:dPt>
            <c:idx val="20"/>
            <c:invertIfNegative val="0"/>
            <c:bubble3D val="0"/>
            <c:spPr>
              <a:pattFill prst="pct50">
                <a:fgClr>
                  <a:schemeClr val="tx2">
                    <a:lumMod val="50000"/>
                    <a:lumOff val="50000"/>
                  </a:schemeClr>
                </a:fgClr>
                <a:bgClr>
                  <a:schemeClr val="bg1"/>
                </a:bgClr>
              </a:pattFill>
            </c:spPr>
            <c:extLst>
              <c:ext xmlns:c16="http://schemas.microsoft.com/office/drawing/2014/chart" uri="{C3380CC4-5D6E-409C-BE32-E72D297353CC}">
                <c16:uniqueId val="{00000041-F960-48AA-8FE8-7D2AA65D9180}"/>
              </c:ext>
            </c:extLst>
          </c:dPt>
          <c:cat>
            <c:multiLvlStrRef>
              <c:f>'Figure 13'!$L$35:$M$55</c:f>
              <c:multiLvlStrCache>
                <c:ptCount val="21"/>
                <c:lvl>
                  <c:pt idx="0">
                    <c:v>2013</c:v>
                  </c:pt>
                  <c:pt idx="1">
                    <c:v>2023</c:v>
                  </c:pt>
                  <c:pt idx="2">
                    <c:v>2025</c:v>
                  </c:pt>
                  <c:pt idx="3">
                    <c:v>2013</c:v>
                  </c:pt>
                  <c:pt idx="4">
                    <c:v>2023</c:v>
                  </c:pt>
                  <c:pt idx="5">
                    <c:v>2025</c:v>
                  </c:pt>
                  <c:pt idx="6">
                    <c:v>2013</c:v>
                  </c:pt>
                  <c:pt idx="7">
                    <c:v>2023</c:v>
                  </c:pt>
                  <c:pt idx="8">
                    <c:v>2025</c:v>
                  </c:pt>
                  <c:pt idx="9">
                    <c:v>2013</c:v>
                  </c:pt>
                  <c:pt idx="10">
                    <c:v>2023</c:v>
                  </c:pt>
                  <c:pt idx="11">
                    <c:v>2025</c:v>
                  </c:pt>
                  <c:pt idx="12">
                    <c:v>2013</c:v>
                  </c:pt>
                  <c:pt idx="13">
                    <c:v>2023</c:v>
                  </c:pt>
                  <c:pt idx="14">
                    <c:v>2025</c:v>
                  </c:pt>
                  <c:pt idx="15">
                    <c:v>2013</c:v>
                  </c:pt>
                  <c:pt idx="16">
                    <c:v>2023</c:v>
                  </c:pt>
                  <c:pt idx="17">
                    <c:v>2025</c:v>
                  </c:pt>
                  <c:pt idx="18">
                    <c:v>2013</c:v>
                  </c:pt>
                  <c:pt idx="19">
                    <c:v>2023</c:v>
                  </c:pt>
                  <c:pt idx="20">
                    <c:v>2025</c:v>
                  </c:pt>
                </c:lvl>
                <c:lvl>
                  <c:pt idx="0">
                    <c:v>COL</c:v>
                  </c:pt>
                  <c:pt idx="3">
                    <c:v>PAN</c:v>
                  </c:pt>
                  <c:pt idx="6">
                    <c:v>LAC</c:v>
                  </c:pt>
                  <c:pt idx="9">
                    <c:v>MEX</c:v>
                  </c:pt>
                  <c:pt idx="12">
                    <c:v>VEN</c:v>
                  </c:pt>
                  <c:pt idx="15">
                    <c:v>HND</c:v>
                  </c:pt>
                  <c:pt idx="18">
                    <c:v>CHL</c:v>
                  </c:pt>
                </c:lvl>
              </c:multiLvlStrCache>
            </c:multiLvlStrRef>
          </c:cat>
          <c:val>
            <c:numRef>
              <c:f>'Figure 13'!$R$35:$R$55</c:f>
              <c:numCache>
                <c:formatCode>0%</c:formatCode>
                <c:ptCount val="21"/>
                <c:pt idx="0">
                  <c:v>4.10958904109589E-3</c:v>
                </c:pt>
                <c:pt idx="1">
                  <c:v>4.1077883667433443E-3</c:v>
                </c:pt>
                <c:pt idx="2">
                  <c:v>4.107788366743346E-3</c:v>
                </c:pt>
                <c:pt idx="3">
                  <c:v>0</c:v>
                </c:pt>
                <c:pt idx="4">
                  <c:v>0</c:v>
                </c:pt>
                <c:pt idx="5">
                  <c:v>0</c:v>
                </c:pt>
                <c:pt idx="6">
                  <c:v>1.212445376583004E-2</c:v>
                </c:pt>
                <c:pt idx="7">
                  <c:v>1.2208058760110926E-2</c:v>
                </c:pt>
                <c:pt idx="8">
                  <c:v>1.134326120921759E-2</c:v>
                </c:pt>
                <c:pt idx="9">
                  <c:v>0</c:v>
                </c:pt>
                <c:pt idx="10">
                  <c:v>0</c:v>
                </c:pt>
                <c:pt idx="11">
                  <c:v>0</c:v>
                </c:pt>
                <c:pt idx="12">
                  <c:v>0</c:v>
                </c:pt>
                <c:pt idx="13">
                  <c:v>0</c:v>
                </c:pt>
                <c:pt idx="14">
                  <c:v>0</c:v>
                </c:pt>
                <c:pt idx="15">
                  <c:v>3.2862306933946761E-2</c:v>
                </c:pt>
                <c:pt idx="16">
                  <c:v>1.6431153466973381E-2</c:v>
                </c:pt>
                <c:pt idx="17">
                  <c:v>1.6431153466973381E-2</c:v>
                </c:pt>
                <c:pt idx="18">
                  <c:v>1.643835616438356E-2</c:v>
                </c:pt>
                <c:pt idx="19">
                  <c:v>1.6431153466973381E-2</c:v>
                </c:pt>
                <c:pt idx="20">
                  <c:v>1.6431153466973381E-2</c:v>
                </c:pt>
              </c:numCache>
            </c:numRef>
          </c:val>
          <c:extLst>
            <c:ext xmlns:c16="http://schemas.microsoft.com/office/drawing/2014/chart" uri="{C3380CC4-5D6E-409C-BE32-E72D297353CC}">
              <c16:uniqueId val="{00000042-F960-48AA-8FE8-7D2AA65D9180}"/>
            </c:ext>
          </c:extLst>
        </c:ser>
        <c:dLbls>
          <c:showLegendKey val="0"/>
          <c:showVal val="0"/>
          <c:showCatName val="0"/>
          <c:showSerName val="0"/>
          <c:showPercent val="0"/>
          <c:showBubbleSize val="0"/>
        </c:dLbls>
        <c:gapWidth val="150"/>
        <c:overlap val="100"/>
        <c:axId val="232903424"/>
        <c:axId val="232904960"/>
      </c:barChart>
      <c:barChart>
        <c:barDir val="col"/>
        <c:grouping val="clustered"/>
        <c:varyColors val="0"/>
        <c:ser>
          <c:idx val="5"/>
          <c:order val="5"/>
          <c:tx>
            <c:v>Total</c:v>
          </c:tx>
          <c:spPr>
            <a:noFill/>
          </c:spPr>
          <c:invertIfNegative val="0"/>
          <c:dLbls>
            <c:dLbl>
              <c:idx val="6"/>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3-F960-48AA-8FE8-7D2AA65D9180}"/>
                </c:ext>
              </c:extLst>
            </c:dLbl>
            <c:dLbl>
              <c:idx val="7"/>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4-F960-48AA-8FE8-7D2AA65D9180}"/>
                </c:ext>
              </c:extLst>
            </c:dLbl>
            <c:dLbl>
              <c:idx val="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45-F960-48AA-8FE8-7D2AA65D9180}"/>
                </c:ext>
              </c:extLst>
            </c:dLbl>
            <c:numFmt formatCode="0.0%" sourceLinked="0"/>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1"/>
              </c:ext>
            </c:extLst>
          </c:dLbls>
          <c:val>
            <c:numRef>
              <c:f>'Figure 13'!$S$35:$S$55</c:f>
              <c:numCache>
                <c:formatCode>0.0%</c:formatCode>
                <c:ptCount val="21"/>
                <c:pt idx="0">
                  <c:v>0.53440986301369864</c:v>
                </c:pt>
                <c:pt idx="1">
                  <c:v>0.52106900208127949</c:v>
                </c:pt>
                <c:pt idx="2">
                  <c:v>0.53812794391499619</c:v>
                </c:pt>
                <c:pt idx="3">
                  <c:v>0.51925758242961995</c:v>
                </c:pt>
                <c:pt idx="4">
                  <c:v>0.51925758242961995</c:v>
                </c:pt>
                <c:pt idx="5">
                  <c:v>0.52925758242961995</c:v>
                </c:pt>
                <c:pt idx="6">
                  <c:v>0.50648011325759945</c:v>
                </c:pt>
                <c:pt idx="7">
                  <c:v>0.51050535861792223</c:v>
                </c:pt>
                <c:pt idx="8">
                  <c:v>0.51648198402375511</c:v>
                </c:pt>
                <c:pt idx="9">
                  <c:v>0.41217761721053614</c:v>
                </c:pt>
                <c:pt idx="10">
                  <c:v>0.44049427311054778</c:v>
                </c:pt>
                <c:pt idx="11">
                  <c:v>0.45633048085324879</c:v>
                </c:pt>
                <c:pt idx="12">
                  <c:v>0.43396335616438358</c:v>
                </c:pt>
                <c:pt idx="13">
                  <c:v>0.43384352064848281</c:v>
                </c:pt>
                <c:pt idx="14">
                  <c:v>0.52384352064848283</c:v>
                </c:pt>
                <c:pt idx="15">
                  <c:v>0.42514657639073372</c:v>
                </c:pt>
                <c:pt idx="16">
                  <c:v>0.46466896702815208</c:v>
                </c:pt>
                <c:pt idx="17">
                  <c:v>0.46393578944721842</c:v>
                </c:pt>
                <c:pt idx="18">
                  <c:v>0.37662602739726025</c:v>
                </c:pt>
                <c:pt idx="19">
                  <c:v>0.37866480446927381</c:v>
                </c:pt>
                <c:pt idx="20">
                  <c:v>0.39146480446927379</c:v>
                </c:pt>
              </c:numCache>
            </c:numRef>
          </c:val>
          <c:extLst>
            <c:ext xmlns:c16="http://schemas.microsoft.com/office/drawing/2014/chart" uri="{C3380CC4-5D6E-409C-BE32-E72D297353CC}">
              <c16:uniqueId val="{00000046-F960-48AA-8FE8-7D2AA65D9180}"/>
            </c:ext>
          </c:extLst>
        </c:ser>
        <c:dLbls>
          <c:showLegendKey val="0"/>
          <c:showVal val="0"/>
          <c:showCatName val="0"/>
          <c:showSerName val="0"/>
          <c:showPercent val="0"/>
          <c:showBubbleSize val="0"/>
        </c:dLbls>
        <c:gapWidth val="150"/>
        <c:axId val="1997347376"/>
        <c:axId val="1997338256"/>
      </c:barChart>
      <c:catAx>
        <c:axId val="232903424"/>
        <c:scaling>
          <c:orientation val="minMax"/>
        </c:scaling>
        <c:delete val="0"/>
        <c:axPos val="b"/>
        <c:numFmt formatCode="General" sourceLinked="0"/>
        <c:majorTickMark val="none"/>
        <c:minorTickMark val="none"/>
        <c:tickLblPos val="nextTo"/>
        <c:txPr>
          <a:bodyPr/>
          <a:lstStyle/>
          <a:p>
            <a:pPr>
              <a:defRPr sz="700"/>
            </a:pPr>
            <a:endParaRPr lang="es-DO"/>
          </a:p>
        </c:txPr>
        <c:crossAx val="232904960"/>
        <c:crosses val="autoZero"/>
        <c:auto val="1"/>
        <c:lblAlgn val="ctr"/>
        <c:lblOffset val="100"/>
        <c:noMultiLvlLbl val="0"/>
      </c:catAx>
      <c:valAx>
        <c:axId val="232904960"/>
        <c:scaling>
          <c:orientation val="minMax"/>
        </c:scaling>
        <c:delete val="0"/>
        <c:axPos val="l"/>
        <c:title>
          <c:tx>
            <c:rich>
              <a:bodyPr rot="-5400000" vert="horz"/>
              <a:lstStyle/>
              <a:p>
                <a:pPr>
                  <a:defRPr/>
                </a:pPr>
                <a:r>
                  <a:rPr lang="en-US"/>
                  <a:t>Cost of salaried labor as % of the average wage of formal workers</a:t>
                </a:r>
              </a:p>
            </c:rich>
          </c:tx>
          <c:layout>
            <c:manualLayout>
              <c:xMode val="edge"/>
              <c:yMode val="edge"/>
              <c:x val="1.0309278350515464E-2"/>
              <c:y val="5.7933234536159166E-2"/>
            </c:manualLayout>
          </c:layout>
          <c:overlay val="0"/>
        </c:title>
        <c:numFmt formatCode="0%" sourceLinked="0"/>
        <c:majorTickMark val="out"/>
        <c:minorTickMark val="none"/>
        <c:tickLblPos val="nextTo"/>
        <c:crossAx val="232903424"/>
        <c:crosses val="autoZero"/>
        <c:crossBetween val="between"/>
      </c:valAx>
      <c:valAx>
        <c:axId val="1997338256"/>
        <c:scaling>
          <c:orientation val="minMax"/>
        </c:scaling>
        <c:delete val="0"/>
        <c:axPos val="r"/>
        <c:numFmt formatCode="0.0%" sourceLinked="1"/>
        <c:majorTickMark val="out"/>
        <c:minorTickMark val="none"/>
        <c:tickLblPos val="none"/>
        <c:crossAx val="1997347376"/>
        <c:crosses val="max"/>
        <c:crossBetween val="between"/>
      </c:valAx>
      <c:catAx>
        <c:axId val="1997347376"/>
        <c:scaling>
          <c:orientation val="minMax"/>
        </c:scaling>
        <c:delete val="1"/>
        <c:axPos val="b"/>
        <c:majorTickMark val="out"/>
        <c:minorTickMark val="none"/>
        <c:tickLblPos val="nextTo"/>
        <c:crossAx val="1997338256"/>
        <c:crosses val="autoZero"/>
        <c:auto val="1"/>
        <c:lblAlgn val="ctr"/>
        <c:lblOffset val="100"/>
        <c:noMultiLvlLbl val="0"/>
      </c:catAx>
    </c:plotArea>
    <c:legend>
      <c:legendPos val="b"/>
      <c:legendEntry>
        <c:idx val="5"/>
        <c:delete val="1"/>
      </c:legendEntry>
      <c:layout>
        <c:manualLayout>
          <c:xMode val="edge"/>
          <c:yMode val="edge"/>
          <c:x val="5.2136752136752125E-2"/>
          <c:y val="0.88665990147103546"/>
          <c:w val="0.94786324090263008"/>
          <c:h val="9.2858961002126733E-2"/>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Minimum_JSP!$B$30</c:f>
              <c:strCache>
                <c:ptCount val="1"/>
                <c:pt idx="0">
                  <c:v>Severance payment (without just cause)</c:v>
                </c:pt>
              </c:strCache>
            </c:strRef>
          </c:tx>
          <c:spPr>
            <a:solidFill>
              <a:schemeClr val="accent1"/>
            </a:solidFill>
            <a:ln>
              <a:noFill/>
            </a:ln>
            <a:effectLst/>
          </c:spPr>
          <c:invertIfNegative val="0"/>
          <c:cat>
            <c:strRef>
              <c:f>Minimum_JSP!$A$31:$A$50</c:f>
              <c:strCache>
                <c:ptCount val="20"/>
                <c:pt idx="0">
                  <c:v>HND</c:v>
                </c:pt>
                <c:pt idx="1">
                  <c:v>BOL</c:v>
                </c:pt>
                <c:pt idx="2">
                  <c:v>GTM</c:v>
                </c:pt>
                <c:pt idx="3">
                  <c:v>PER</c:v>
                </c:pt>
                <c:pt idx="4">
                  <c:v>PRY</c:v>
                </c:pt>
                <c:pt idx="5">
                  <c:v>NIC</c:v>
                </c:pt>
                <c:pt idx="6">
                  <c:v>ECU</c:v>
                </c:pt>
                <c:pt idx="7">
                  <c:v>ARG</c:v>
                </c:pt>
                <c:pt idx="8">
                  <c:v>CRI</c:v>
                </c:pt>
                <c:pt idx="9">
                  <c:v>SLV</c:v>
                </c:pt>
                <c:pt idx="10">
                  <c:v>VEN</c:v>
                </c:pt>
                <c:pt idx="11">
                  <c:v>CHL</c:v>
                </c:pt>
                <c:pt idx="12">
                  <c:v>PAN</c:v>
                </c:pt>
                <c:pt idx="13">
                  <c:v>COL</c:v>
                </c:pt>
                <c:pt idx="14">
                  <c:v>URY</c:v>
                </c:pt>
                <c:pt idx="15">
                  <c:v>JAM</c:v>
                </c:pt>
                <c:pt idx="16">
                  <c:v>DOM</c:v>
                </c:pt>
                <c:pt idx="17">
                  <c:v>BRA</c:v>
                </c:pt>
                <c:pt idx="18">
                  <c:v>MEX</c:v>
                </c:pt>
                <c:pt idx="19">
                  <c:v>TTO</c:v>
                </c:pt>
              </c:strCache>
            </c:strRef>
          </c:cat>
          <c:val>
            <c:numRef>
              <c:f>Minimum_JSP!$B$31:$B$50</c:f>
              <c:numCache>
                <c:formatCode>0%</c:formatCode>
                <c:ptCount val="20"/>
                <c:pt idx="0">
                  <c:v>0.27924089315484057</c:v>
                </c:pt>
                <c:pt idx="1">
                  <c:v>0.13668895578164175</c:v>
                </c:pt>
                <c:pt idx="2">
                  <c:v>0.17717065922192476</c:v>
                </c:pt>
                <c:pt idx="3">
                  <c:v>0.1628106400795242</c:v>
                </c:pt>
                <c:pt idx="4">
                  <c:v>9.7229014902745631E-2</c:v>
                </c:pt>
                <c:pt idx="5">
                  <c:v>0.15532989075404877</c:v>
                </c:pt>
                <c:pt idx="6">
                  <c:v>0.1197156778891839</c:v>
                </c:pt>
                <c:pt idx="7">
                  <c:v>8.3748423803330044E-2</c:v>
                </c:pt>
                <c:pt idx="8">
                  <c:v>8.320797027696876E-2</c:v>
                </c:pt>
                <c:pt idx="9">
                  <c:v>9.752028834279175E-2</c:v>
                </c:pt>
                <c:pt idx="10">
                  <c:v>7.7341720887738802E-2</c:v>
                </c:pt>
                <c:pt idx="11">
                  <c:v>6.1126741402671811E-2</c:v>
                </c:pt>
                <c:pt idx="12">
                  <c:v>7.2799498012281472E-2</c:v>
                </c:pt>
                <c:pt idx="13">
                  <c:v>6.4819632445263217E-2</c:v>
                </c:pt>
                <c:pt idx="14">
                  <c:v>6.4606734696348603E-2</c:v>
                </c:pt>
                <c:pt idx="15">
                  <c:v>4.1497233030246584E-2</c:v>
                </c:pt>
                <c:pt idx="16">
                  <c:v>4.0011442066433277E-2</c:v>
                </c:pt>
                <c:pt idx="17">
                  <c:v>2.4487468990578892E-2</c:v>
                </c:pt>
                <c:pt idx="18">
                  <c:v>3.9594427255182765E-2</c:v>
                </c:pt>
                <c:pt idx="19">
                  <c:v>2.222986655893687E-2</c:v>
                </c:pt>
              </c:numCache>
            </c:numRef>
          </c:val>
          <c:extLst>
            <c:ext xmlns:c16="http://schemas.microsoft.com/office/drawing/2014/chart" uri="{C3380CC4-5D6E-409C-BE32-E72D297353CC}">
              <c16:uniqueId val="{00000000-0230-48BF-979B-FD57B7CAA023}"/>
            </c:ext>
          </c:extLst>
        </c:ser>
        <c:ser>
          <c:idx val="1"/>
          <c:order val="1"/>
          <c:tx>
            <c:strRef>
              <c:f>Minimum_JSP!$C$30</c:f>
              <c:strCache>
                <c:ptCount val="1"/>
                <c:pt idx="0">
                  <c:v>Firing notice</c:v>
                </c:pt>
              </c:strCache>
            </c:strRef>
          </c:tx>
          <c:spPr>
            <a:solidFill>
              <a:schemeClr val="accent2"/>
            </a:solidFill>
            <a:ln>
              <a:noFill/>
            </a:ln>
            <a:effectLst/>
          </c:spPr>
          <c:invertIfNegative val="0"/>
          <c:cat>
            <c:strRef>
              <c:f>Minimum_JSP!$A$31:$A$50</c:f>
              <c:strCache>
                <c:ptCount val="20"/>
                <c:pt idx="0">
                  <c:v>HND</c:v>
                </c:pt>
                <c:pt idx="1">
                  <c:v>BOL</c:v>
                </c:pt>
                <c:pt idx="2">
                  <c:v>GTM</c:v>
                </c:pt>
                <c:pt idx="3">
                  <c:v>PER</c:v>
                </c:pt>
                <c:pt idx="4">
                  <c:v>PRY</c:v>
                </c:pt>
                <c:pt idx="5">
                  <c:v>NIC</c:v>
                </c:pt>
                <c:pt idx="6">
                  <c:v>ECU</c:v>
                </c:pt>
                <c:pt idx="7">
                  <c:v>ARG</c:v>
                </c:pt>
                <c:pt idx="8">
                  <c:v>CRI</c:v>
                </c:pt>
                <c:pt idx="9">
                  <c:v>SLV</c:v>
                </c:pt>
                <c:pt idx="10">
                  <c:v>VEN</c:v>
                </c:pt>
                <c:pt idx="11">
                  <c:v>CHL</c:v>
                </c:pt>
                <c:pt idx="12">
                  <c:v>PAN</c:v>
                </c:pt>
                <c:pt idx="13">
                  <c:v>COL</c:v>
                </c:pt>
                <c:pt idx="14">
                  <c:v>URY</c:v>
                </c:pt>
                <c:pt idx="15">
                  <c:v>JAM</c:v>
                </c:pt>
                <c:pt idx="16">
                  <c:v>DOM</c:v>
                </c:pt>
                <c:pt idx="17">
                  <c:v>BRA</c:v>
                </c:pt>
                <c:pt idx="18">
                  <c:v>MEX</c:v>
                </c:pt>
                <c:pt idx="19">
                  <c:v>TTO</c:v>
                </c:pt>
              </c:strCache>
            </c:strRef>
          </c:cat>
          <c:val>
            <c:numRef>
              <c:f>Minimum_JSP!$C$31:$C$50</c:f>
              <c:numCache>
                <c:formatCode>0.0%</c:formatCode>
                <c:ptCount val="20"/>
                <c:pt idx="0" formatCode="0%">
                  <c:v>5.5848178630968109E-2</c:v>
                </c:pt>
                <c:pt idx="1">
                  <c:v>8.2013373468985046E-2</c:v>
                </c:pt>
                <c:pt idx="2" formatCode="0%">
                  <c:v>0</c:v>
                </c:pt>
                <c:pt idx="3" formatCode="0%">
                  <c:v>0</c:v>
                </c:pt>
                <c:pt idx="4" formatCode="0%">
                  <c:v>5.8337408941647378E-2</c:v>
                </c:pt>
                <c:pt idx="5" formatCode="0%">
                  <c:v>0</c:v>
                </c:pt>
                <c:pt idx="6" formatCode="0%">
                  <c:v>0</c:v>
                </c:pt>
                <c:pt idx="7" formatCode="0%">
                  <c:v>3.3499369521332027E-2</c:v>
                </c:pt>
                <c:pt idx="8" formatCode="0%">
                  <c:v>2.3549425550085497E-2</c:v>
                </c:pt>
                <c:pt idx="9" formatCode="0%">
                  <c:v>0</c:v>
                </c:pt>
                <c:pt idx="10" formatCode="0%">
                  <c:v>0</c:v>
                </c:pt>
                <c:pt idx="11" formatCode="0%">
                  <c:v>1.2225348280534362E-2</c:v>
                </c:pt>
                <c:pt idx="12" formatCode="0%">
                  <c:v>0</c:v>
                </c:pt>
                <c:pt idx="13" formatCode="0%">
                  <c:v>4.4195203939952207E-3</c:v>
                </c:pt>
                <c:pt idx="14" formatCode="0%">
                  <c:v>0</c:v>
                </c:pt>
                <c:pt idx="15" formatCode="0%">
                  <c:v>1.659889321209863E-2</c:v>
                </c:pt>
                <c:pt idx="16" formatCode="0%">
                  <c:v>9.7419163292185376E-3</c:v>
                </c:pt>
                <c:pt idx="17" formatCode="0%">
                  <c:v>1.7855446138963778E-2</c:v>
                </c:pt>
                <c:pt idx="18" formatCode="0%">
                  <c:v>0</c:v>
                </c:pt>
              </c:numCache>
            </c:numRef>
          </c:val>
          <c:extLst>
            <c:ext xmlns:c16="http://schemas.microsoft.com/office/drawing/2014/chart" uri="{C3380CC4-5D6E-409C-BE32-E72D297353CC}">
              <c16:uniqueId val="{00000001-0230-48BF-979B-FD57B7CAA023}"/>
            </c:ext>
          </c:extLst>
        </c:ser>
        <c:dLbls>
          <c:showLegendKey val="0"/>
          <c:showVal val="0"/>
          <c:showCatName val="0"/>
          <c:showSerName val="0"/>
          <c:showPercent val="0"/>
          <c:showBubbleSize val="0"/>
        </c:dLbls>
        <c:gapWidth val="150"/>
        <c:overlap val="100"/>
        <c:axId val="236081920"/>
        <c:axId val="236083456"/>
      </c:barChart>
      <c:catAx>
        <c:axId val="2360819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083456"/>
        <c:crosses val="autoZero"/>
        <c:auto val="1"/>
        <c:lblAlgn val="ctr"/>
        <c:lblOffset val="100"/>
        <c:noMultiLvlLbl val="0"/>
      </c:catAx>
      <c:valAx>
        <c:axId val="23608345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s-ES"/>
                  <a:t>Job security provision as % of GDP per worker</a:t>
                </a:r>
              </a:p>
            </c:rich>
          </c:tx>
          <c:layout>
            <c:manualLayout>
              <c:xMode val="edge"/>
              <c:yMode val="edge"/>
              <c:x val="6.6555740432612314E-3"/>
              <c:y val="8.562659153346027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0819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Minimum_JSP!$E$30</c:f>
              <c:strCache>
                <c:ptCount val="1"/>
                <c:pt idx="0">
                  <c:v>Severance payment (without just cause)</c:v>
                </c:pt>
              </c:strCache>
            </c:strRef>
          </c:tx>
          <c:spPr>
            <a:solidFill>
              <a:schemeClr val="accent1"/>
            </a:solidFill>
            <a:ln>
              <a:noFill/>
            </a:ln>
            <a:effectLst/>
          </c:spPr>
          <c:invertIfNegative val="0"/>
          <c:cat>
            <c:strRef>
              <c:f>Minimum_JSP!$A$31:$A$50</c:f>
              <c:strCache>
                <c:ptCount val="20"/>
                <c:pt idx="0">
                  <c:v>HND</c:v>
                </c:pt>
                <c:pt idx="1">
                  <c:v>BOL</c:v>
                </c:pt>
                <c:pt idx="2">
                  <c:v>GTM</c:v>
                </c:pt>
                <c:pt idx="3">
                  <c:v>PER</c:v>
                </c:pt>
                <c:pt idx="4">
                  <c:v>PRY</c:v>
                </c:pt>
                <c:pt idx="5">
                  <c:v>NIC</c:v>
                </c:pt>
                <c:pt idx="6">
                  <c:v>ECU</c:v>
                </c:pt>
                <c:pt idx="7">
                  <c:v>ARG</c:v>
                </c:pt>
                <c:pt idx="8">
                  <c:v>CRI</c:v>
                </c:pt>
                <c:pt idx="9">
                  <c:v>SLV</c:v>
                </c:pt>
                <c:pt idx="10">
                  <c:v>VEN</c:v>
                </c:pt>
                <c:pt idx="11">
                  <c:v>CHL</c:v>
                </c:pt>
                <c:pt idx="12">
                  <c:v>PAN</c:v>
                </c:pt>
                <c:pt idx="13">
                  <c:v>COL</c:v>
                </c:pt>
                <c:pt idx="14">
                  <c:v>URY</c:v>
                </c:pt>
                <c:pt idx="15">
                  <c:v>JAM</c:v>
                </c:pt>
                <c:pt idx="16">
                  <c:v>DOM</c:v>
                </c:pt>
                <c:pt idx="17">
                  <c:v>BRA</c:v>
                </c:pt>
                <c:pt idx="18">
                  <c:v>MEX</c:v>
                </c:pt>
                <c:pt idx="19">
                  <c:v>TTO</c:v>
                </c:pt>
              </c:strCache>
            </c:strRef>
          </c:cat>
          <c:val>
            <c:numRef>
              <c:f>Minimum_JSP!$E$31:$E$50</c:f>
              <c:numCache>
                <c:formatCode>0%</c:formatCode>
                <c:ptCount val="20"/>
                <c:pt idx="0">
                  <c:v>5.5848178630968116E-2</c:v>
                </c:pt>
                <c:pt idx="1">
                  <c:v>2.733779115632835E-2</c:v>
                </c:pt>
                <c:pt idx="2">
                  <c:v>3.5434131844384952E-2</c:v>
                </c:pt>
                <c:pt idx="3">
                  <c:v>3.2562128015904843E-2</c:v>
                </c:pt>
                <c:pt idx="4">
                  <c:v>1.9445802980549126E-2</c:v>
                </c:pt>
                <c:pt idx="5">
                  <c:v>3.1065978150809755E-2</c:v>
                </c:pt>
                <c:pt idx="6">
                  <c:v>2.3943135577836779E-2</c:v>
                </c:pt>
                <c:pt idx="7">
                  <c:v>1.674968476066601E-2</c:v>
                </c:pt>
                <c:pt idx="8">
                  <c:v>1.6641594055393751E-2</c:v>
                </c:pt>
                <c:pt idx="9">
                  <c:v>1.9504057668558349E-2</c:v>
                </c:pt>
                <c:pt idx="10">
                  <c:v>1.546834417754776E-2</c:v>
                </c:pt>
                <c:pt idx="11">
                  <c:v>1.2225348280534362E-2</c:v>
                </c:pt>
                <c:pt idx="12">
                  <c:v>1.4559899602456294E-2</c:v>
                </c:pt>
                <c:pt idx="13">
                  <c:v>1.2963926489052643E-2</c:v>
                </c:pt>
                <c:pt idx="14">
                  <c:v>1.2921346939269721E-2</c:v>
                </c:pt>
                <c:pt idx="15">
                  <c:v>8.2994466060493169E-3</c:v>
                </c:pt>
                <c:pt idx="16">
                  <c:v>8.0022884132866547E-3</c:v>
                </c:pt>
                <c:pt idx="17">
                  <c:v>4.8974937981157785E-3</c:v>
                </c:pt>
                <c:pt idx="18">
                  <c:v>7.9188854510365524E-3</c:v>
                </c:pt>
                <c:pt idx="19">
                  <c:v>4.4459733117873743E-3</c:v>
                </c:pt>
              </c:numCache>
            </c:numRef>
          </c:val>
          <c:extLst>
            <c:ext xmlns:c16="http://schemas.microsoft.com/office/drawing/2014/chart" uri="{C3380CC4-5D6E-409C-BE32-E72D297353CC}">
              <c16:uniqueId val="{00000000-6AE1-4B2F-BF79-517610BC8E04}"/>
            </c:ext>
          </c:extLst>
        </c:ser>
        <c:ser>
          <c:idx val="1"/>
          <c:order val="1"/>
          <c:tx>
            <c:strRef>
              <c:f>Minimum_JSP!$F$30</c:f>
              <c:strCache>
                <c:ptCount val="1"/>
                <c:pt idx="0">
                  <c:v>Firing notice</c:v>
                </c:pt>
              </c:strCache>
            </c:strRef>
          </c:tx>
          <c:spPr>
            <a:solidFill>
              <a:schemeClr val="accent2"/>
            </a:solidFill>
            <a:ln>
              <a:noFill/>
            </a:ln>
            <a:effectLst/>
          </c:spPr>
          <c:invertIfNegative val="0"/>
          <c:cat>
            <c:strRef>
              <c:f>Minimum_JSP!$A$31:$A$50</c:f>
              <c:strCache>
                <c:ptCount val="20"/>
                <c:pt idx="0">
                  <c:v>HND</c:v>
                </c:pt>
                <c:pt idx="1">
                  <c:v>BOL</c:v>
                </c:pt>
                <c:pt idx="2">
                  <c:v>GTM</c:v>
                </c:pt>
                <c:pt idx="3">
                  <c:v>PER</c:v>
                </c:pt>
                <c:pt idx="4">
                  <c:v>PRY</c:v>
                </c:pt>
                <c:pt idx="5">
                  <c:v>NIC</c:v>
                </c:pt>
                <c:pt idx="6">
                  <c:v>ECU</c:v>
                </c:pt>
                <c:pt idx="7">
                  <c:v>ARG</c:v>
                </c:pt>
                <c:pt idx="8">
                  <c:v>CRI</c:v>
                </c:pt>
                <c:pt idx="9">
                  <c:v>SLV</c:v>
                </c:pt>
                <c:pt idx="10">
                  <c:v>VEN</c:v>
                </c:pt>
                <c:pt idx="11">
                  <c:v>CHL</c:v>
                </c:pt>
                <c:pt idx="12">
                  <c:v>PAN</c:v>
                </c:pt>
                <c:pt idx="13">
                  <c:v>COL</c:v>
                </c:pt>
                <c:pt idx="14">
                  <c:v>URY</c:v>
                </c:pt>
                <c:pt idx="15">
                  <c:v>JAM</c:v>
                </c:pt>
                <c:pt idx="16">
                  <c:v>DOM</c:v>
                </c:pt>
                <c:pt idx="17">
                  <c:v>BRA</c:v>
                </c:pt>
                <c:pt idx="18">
                  <c:v>MEX</c:v>
                </c:pt>
                <c:pt idx="19">
                  <c:v>TTO</c:v>
                </c:pt>
              </c:strCache>
            </c:strRef>
          </c:cat>
          <c:val>
            <c:numRef>
              <c:f>Minimum_JSP!$F$31:$F$50</c:f>
              <c:numCache>
                <c:formatCode>0%</c:formatCode>
                <c:ptCount val="20"/>
                <c:pt idx="0">
                  <c:v>1.1169635726193622E-2</c:v>
                </c:pt>
                <c:pt idx="1">
                  <c:v>1.6402674693797008E-2</c:v>
                </c:pt>
                <c:pt idx="2">
                  <c:v>0</c:v>
                </c:pt>
                <c:pt idx="3">
                  <c:v>0</c:v>
                </c:pt>
                <c:pt idx="4">
                  <c:v>1.1667481788329475E-2</c:v>
                </c:pt>
                <c:pt idx="5">
                  <c:v>0</c:v>
                </c:pt>
                <c:pt idx="6">
                  <c:v>0</c:v>
                </c:pt>
                <c:pt idx="7">
                  <c:v>6.6998739042664051E-3</c:v>
                </c:pt>
                <c:pt idx="8">
                  <c:v>4.7098851100170992E-3</c:v>
                </c:pt>
                <c:pt idx="9">
                  <c:v>0</c:v>
                </c:pt>
                <c:pt idx="10">
                  <c:v>0</c:v>
                </c:pt>
                <c:pt idx="11">
                  <c:v>2.4450696561068722E-3</c:v>
                </c:pt>
                <c:pt idx="12">
                  <c:v>0</c:v>
                </c:pt>
                <c:pt idx="13">
                  <c:v>8.8390407879904414E-4</c:v>
                </c:pt>
                <c:pt idx="14">
                  <c:v>0</c:v>
                </c:pt>
                <c:pt idx="15">
                  <c:v>3.3197786424197261E-3</c:v>
                </c:pt>
                <c:pt idx="16">
                  <c:v>1.9483832658437074E-3</c:v>
                </c:pt>
                <c:pt idx="17">
                  <c:v>3.5710892277927555E-3</c:v>
                </c:pt>
                <c:pt idx="18">
                  <c:v>0</c:v>
                </c:pt>
                <c:pt idx="19">
                  <c:v>0</c:v>
                </c:pt>
              </c:numCache>
            </c:numRef>
          </c:val>
          <c:extLst>
            <c:ext xmlns:c16="http://schemas.microsoft.com/office/drawing/2014/chart" uri="{C3380CC4-5D6E-409C-BE32-E72D297353CC}">
              <c16:uniqueId val="{00000001-6AE1-4B2F-BF79-517610BC8E04}"/>
            </c:ext>
          </c:extLst>
        </c:ser>
        <c:dLbls>
          <c:showLegendKey val="0"/>
          <c:showVal val="0"/>
          <c:showCatName val="0"/>
          <c:showSerName val="0"/>
          <c:showPercent val="0"/>
          <c:showBubbleSize val="0"/>
        </c:dLbls>
        <c:gapWidth val="150"/>
        <c:overlap val="100"/>
        <c:axId val="236096512"/>
        <c:axId val="236663552"/>
      </c:barChart>
      <c:catAx>
        <c:axId val="23609651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663552"/>
        <c:crosses val="autoZero"/>
        <c:auto val="1"/>
        <c:lblAlgn val="ctr"/>
        <c:lblOffset val="100"/>
        <c:noMultiLvlLbl val="0"/>
      </c:catAx>
      <c:valAx>
        <c:axId val="236663552"/>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s-ES"/>
                  <a:t>Job security provision as % of GDP per worker</a:t>
                </a:r>
              </a:p>
            </c:rich>
          </c:tx>
          <c:layout>
            <c:manualLayout>
              <c:xMode val="edge"/>
              <c:yMode val="edge"/>
              <c:x val="6.6555740432612314E-3"/>
              <c:y val="8.5626591533460278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09651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15_16_17'!$B$3</c:f>
              <c:strCache>
                <c:ptCount val="1"/>
                <c:pt idx="0">
                  <c:v> Difficulty of dismissal </c:v>
                </c:pt>
              </c:strCache>
            </c:strRef>
          </c:tx>
          <c:spPr>
            <a:solidFill>
              <a:schemeClr val="accent1"/>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2FBB-4107-AC79-4F8AC603C58C}"/>
              </c:ext>
            </c:extLst>
          </c:dPt>
          <c:dPt>
            <c:idx val="23"/>
            <c:invertIfNegative val="0"/>
            <c:bubble3D val="0"/>
            <c:spPr>
              <a:solidFill>
                <a:schemeClr val="accent6">
                  <a:lumMod val="75000"/>
                </a:schemeClr>
              </a:solidFill>
              <a:ln>
                <a:noFill/>
              </a:ln>
              <a:effectLst/>
            </c:spPr>
            <c:extLst>
              <c:ext xmlns:c16="http://schemas.microsoft.com/office/drawing/2014/chart" uri="{C3380CC4-5D6E-409C-BE32-E72D297353CC}">
                <c16:uniqueId val="{00000003-2FBB-4107-AC79-4F8AC603C58C}"/>
              </c:ext>
            </c:extLst>
          </c:dPt>
          <c:cat>
            <c:strRef>
              <c:f>'Figure 15_16_17'!$A$4:$A$27</c:f>
              <c:strCache>
                <c:ptCount val="24"/>
                <c:pt idx="0">
                  <c:v> DOM </c:v>
                </c:pt>
                <c:pt idx="1">
                  <c:v> GTM </c:v>
                </c:pt>
                <c:pt idx="2">
                  <c:v> SLV </c:v>
                </c:pt>
                <c:pt idx="3">
                  <c:v> BRB </c:v>
                </c:pt>
                <c:pt idx="4">
                  <c:v> CRI </c:v>
                </c:pt>
                <c:pt idx="5">
                  <c:v> ECU </c:v>
                </c:pt>
                <c:pt idx="6">
                  <c:v> BRA </c:v>
                </c:pt>
                <c:pt idx="7">
                  <c:v> JAM </c:v>
                </c:pt>
                <c:pt idx="8">
                  <c:v> URY </c:v>
                </c:pt>
                <c:pt idx="9">
                  <c:v> COL </c:v>
                </c:pt>
                <c:pt idx="10">
                  <c:v> ARG </c:v>
                </c:pt>
                <c:pt idx="11">
                  <c:v> NIC </c:v>
                </c:pt>
                <c:pt idx="12">
                  <c:v> Caribe </c:v>
                </c:pt>
                <c:pt idx="13">
                  <c:v> LAC  </c:v>
                </c:pt>
                <c:pt idx="14">
                  <c:v> PER </c:v>
                </c:pt>
                <c:pt idx="15">
                  <c:v> LA  </c:v>
                </c:pt>
                <c:pt idx="16">
                  <c:v> BHM </c:v>
                </c:pt>
                <c:pt idx="17">
                  <c:v> PRY </c:v>
                </c:pt>
                <c:pt idx="18">
                  <c:v> PAN </c:v>
                </c:pt>
                <c:pt idx="19">
                  <c:v> CHL </c:v>
                </c:pt>
                <c:pt idx="20">
                  <c:v> MEX </c:v>
                </c:pt>
                <c:pt idx="21">
                  <c:v> HND </c:v>
                </c:pt>
                <c:pt idx="22">
                  <c:v> BOL </c:v>
                </c:pt>
                <c:pt idx="23">
                  <c:v> VEN </c:v>
                </c:pt>
              </c:strCache>
            </c:strRef>
          </c:cat>
          <c:val>
            <c:numRef>
              <c:f>'Figure 15_16_17'!$B$4:$B$27</c:f>
              <c:numCache>
                <c:formatCode>_(* #,##0.00_);_(* \(#,##0.00\);_(* "-"??_);_(@_)</c:formatCode>
                <c:ptCount val="24"/>
                <c:pt idx="0">
                  <c:v>0.46666666865348816</c:v>
                </c:pt>
                <c:pt idx="1">
                  <c:v>0.53333336114883423</c:v>
                </c:pt>
                <c:pt idx="2">
                  <c:v>0.60000002384185791</c:v>
                </c:pt>
                <c:pt idx="3">
                  <c:v>0.60000002384185791</c:v>
                </c:pt>
                <c:pt idx="4">
                  <c:v>0.66666668653488159</c:v>
                </c:pt>
                <c:pt idx="5">
                  <c:v>0.66666668653488159</c:v>
                </c:pt>
                <c:pt idx="6">
                  <c:v>0.73333333333333262</c:v>
                </c:pt>
                <c:pt idx="7">
                  <c:v>0.80000001192092896</c:v>
                </c:pt>
                <c:pt idx="8">
                  <c:v>0.80000001192092896</c:v>
                </c:pt>
                <c:pt idx="9">
                  <c:v>0.80000001192092896</c:v>
                </c:pt>
                <c:pt idx="10">
                  <c:v>0.80000001192092896</c:v>
                </c:pt>
                <c:pt idx="11">
                  <c:v>0.80000001192092896</c:v>
                </c:pt>
                <c:pt idx="12">
                  <c:v>0.80000001192092896</c:v>
                </c:pt>
                <c:pt idx="13">
                  <c:v>0.93015873838984764</c:v>
                </c:pt>
                <c:pt idx="14">
                  <c:v>0.93333333730697632</c:v>
                </c:pt>
                <c:pt idx="15">
                  <c:v>0.95185185946800077</c:v>
                </c:pt>
                <c:pt idx="16">
                  <c:v>1</c:v>
                </c:pt>
                <c:pt idx="17">
                  <c:v>1</c:v>
                </c:pt>
                <c:pt idx="18">
                  <c:v>1</c:v>
                </c:pt>
                <c:pt idx="19">
                  <c:v>1.0666666666666655</c:v>
                </c:pt>
                <c:pt idx="20">
                  <c:v>1.1333333333333322</c:v>
                </c:pt>
                <c:pt idx="21">
                  <c:v>1.3999999761581421</c:v>
                </c:pt>
                <c:pt idx="22">
                  <c:v>1.7333333492279053</c:v>
                </c:pt>
                <c:pt idx="23">
                  <c:v>2</c:v>
                </c:pt>
              </c:numCache>
            </c:numRef>
          </c:val>
          <c:extLst>
            <c:ext xmlns:c16="http://schemas.microsoft.com/office/drawing/2014/chart" uri="{C3380CC4-5D6E-409C-BE32-E72D297353CC}">
              <c16:uniqueId val="{00000004-2FBB-4107-AC79-4F8AC603C58C}"/>
            </c:ext>
          </c:extLst>
        </c:ser>
        <c:dLbls>
          <c:showLegendKey val="0"/>
          <c:showVal val="0"/>
          <c:showCatName val="0"/>
          <c:showSerName val="0"/>
          <c:showPercent val="0"/>
          <c:showBubbleSize val="0"/>
        </c:dLbls>
        <c:gapWidth val="219"/>
        <c:overlap val="-27"/>
        <c:axId val="236701952"/>
        <c:axId val="236707840"/>
      </c:barChart>
      <c:catAx>
        <c:axId val="2367019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36707840"/>
        <c:crosses val="autoZero"/>
        <c:auto val="1"/>
        <c:lblAlgn val="ctr"/>
        <c:lblOffset val="100"/>
        <c:noMultiLvlLbl val="0"/>
      </c:catAx>
      <c:valAx>
        <c:axId val="236707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b="1" i="0" baseline="0">
                    <a:effectLst/>
                    <a:latin typeface="Arial" panose="020B0604020202020204" pitchFamily="34" charset="0"/>
                    <a:cs typeface="Arial" panose="020B0604020202020204" pitchFamily="34" charset="0"/>
                  </a:rPr>
                  <a:t>Index values 0 to 6</a:t>
                </a:r>
                <a:endParaRPr lang="en-US" sz="900">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sz="900">
                  <a:latin typeface="Arial" panose="020B0604020202020204" pitchFamily="34" charset="0"/>
                  <a:cs typeface="Arial" panose="020B0604020202020204" pitchFamily="34" charset="0"/>
                </a:endParaRPr>
              </a:p>
            </c:rich>
          </c:tx>
          <c:overlay val="0"/>
        </c:title>
        <c:numFmt formatCode="#,##0.0" sourceLinked="0"/>
        <c:majorTickMark val="none"/>
        <c:minorTickMark val="none"/>
        <c:tickLblPos val="nextTo"/>
        <c:spPr>
          <a:noFill/>
          <a:ln>
            <a:noFill/>
          </a:ln>
          <a:effectLst/>
        </c:spPr>
        <c:txPr>
          <a:bodyPr rot="-60000000" vert="horz"/>
          <a:lstStyle/>
          <a:p>
            <a:pPr>
              <a:defRPr/>
            </a:pPr>
            <a:endParaRPr lang="es-DO"/>
          </a:p>
        </c:txPr>
        <c:crossAx val="23670195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DO"/>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15_16_17'!$E$3</c:f>
              <c:strCache>
                <c:ptCount val="1"/>
                <c:pt idx="0">
                  <c:v> Notice&amp;severance pay-individual dismissal </c:v>
                </c:pt>
              </c:strCache>
            </c:strRef>
          </c:tx>
          <c:spPr>
            <a:solidFill>
              <a:schemeClr val="accent1"/>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3B4D-48D6-B6FE-43D1B9219464}"/>
              </c:ext>
            </c:extLst>
          </c:dPt>
          <c:dPt>
            <c:idx val="23"/>
            <c:invertIfNegative val="0"/>
            <c:bubble3D val="0"/>
            <c:spPr>
              <a:solidFill>
                <a:schemeClr val="accent6">
                  <a:lumMod val="75000"/>
                </a:schemeClr>
              </a:solidFill>
              <a:ln>
                <a:noFill/>
              </a:ln>
              <a:effectLst/>
            </c:spPr>
            <c:extLst>
              <c:ext xmlns:c16="http://schemas.microsoft.com/office/drawing/2014/chart" uri="{C3380CC4-5D6E-409C-BE32-E72D297353CC}">
                <c16:uniqueId val="{00000003-3B4D-48D6-B6FE-43D1B9219464}"/>
              </c:ext>
            </c:extLst>
          </c:dPt>
          <c:cat>
            <c:strRef>
              <c:f>'Figure 15_16_17'!$D$4:$D$27</c:f>
              <c:strCache>
                <c:ptCount val="24"/>
                <c:pt idx="0">
                  <c:v>PER</c:v>
                </c:pt>
                <c:pt idx="1">
                  <c:v>VEN</c:v>
                </c:pt>
                <c:pt idx="2">
                  <c:v>PAN</c:v>
                </c:pt>
                <c:pt idx="3">
                  <c:v>HND</c:v>
                </c:pt>
                <c:pt idx="4">
                  <c:v>MEX</c:v>
                </c:pt>
                <c:pt idx="5">
                  <c:v>BOL</c:v>
                </c:pt>
                <c:pt idx="6">
                  <c:v>BRB</c:v>
                </c:pt>
                <c:pt idx="7">
                  <c:v>JAM</c:v>
                </c:pt>
                <c:pt idx="8">
                  <c:v>COL</c:v>
                </c:pt>
                <c:pt idx="9">
                  <c:v>Caribe</c:v>
                </c:pt>
                <c:pt idx="10">
                  <c:v>PRY</c:v>
                </c:pt>
                <c:pt idx="11">
                  <c:v>NIC</c:v>
                </c:pt>
                <c:pt idx="12">
                  <c:v>LAC</c:v>
                </c:pt>
                <c:pt idx="13">
                  <c:v>LA </c:v>
                </c:pt>
                <c:pt idx="14">
                  <c:v>BHM</c:v>
                </c:pt>
                <c:pt idx="15">
                  <c:v>URY</c:v>
                </c:pt>
                <c:pt idx="16">
                  <c:v>CRI</c:v>
                </c:pt>
                <c:pt idx="17">
                  <c:v>SLV</c:v>
                </c:pt>
                <c:pt idx="18">
                  <c:v>BRA</c:v>
                </c:pt>
                <c:pt idx="19">
                  <c:v>CHL</c:v>
                </c:pt>
                <c:pt idx="20">
                  <c:v>DOM</c:v>
                </c:pt>
                <c:pt idx="21">
                  <c:v>GTM</c:v>
                </c:pt>
                <c:pt idx="22">
                  <c:v>ARG</c:v>
                </c:pt>
                <c:pt idx="23">
                  <c:v>ECU</c:v>
                </c:pt>
              </c:strCache>
            </c:strRef>
          </c:cat>
          <c:val>
            <c:numRef>
              <c:f>'Figure 15_16_17'!$E$4:$E$27</c:f>
              <c:numCache>
                <c:formatCode>_(* #,##0.00_);_(* \(#,##0.00\);_(* "-"??_);_(@_)</c:formatCode>
                <c:ptCount val="24"/>
                <c:pt idx="0">
                  <c:v>0</c:v>
                </c:pt>
                <c:pt idx="1">
                  <c:v>0</c:v>
                </c:pt>
                <c:pt idx="2">
                  <c:v>9.5238097012042999E-2</c:v>
                </c:pt>
                <c:pt idx="3">
                  <c:v>0.3333333432674408</c:v>
                </c:pt>
                <c:pt idx="4">
                  <c:v>0.44444444444444398</c:v>
                </c:pt>
                <c:pt idx="5">
                  <c:v>0.47619050741195679</c:v>
                </c:pt>
                <c:pt idx="6">
                  <c:v>0.47619050741195679</c:v>
                </c:pt>
                <c:pt idx="7">
                  <c:v>0.49206352233886719</c:v>
                </c:pt>
                <c:pt idx="8">
                  <c:v>0.53968256711959839</c:v>
                </c:pt>
                <c:pt idx="9">
                  <c:v>0.55555558204650879</c:v>
                </c:pt>
                <c:pt idx="10">
                  <c:v>0.57142859697341919</c:v>
                </c:pt>
                <c:pt idx="11">
                  <c:v>0.57142859697341919</c:v>
                </c:pt>
                <c:pt idx="12">
                  <c:v>0.5941043258873423</c:v>
                </c:pt>
                <c:pt idx="13">
                  <c:v>0.60052911652748109</c:v>
                </c:pt>
                <c:pt idx="14">
                  <c:v>0.60317462682723999</c:v>
                </c:pt>
                <c:pt idx="15">
                  <c:v>0.63492065668106079</c:v>
                </c:pt>
                <c:pt idx="16">
                  <c:v>0.68253970146179199</c:v>
                </c:pt>
                <c:pt idx="17">
                  <c:v>0.76190477609634399</c:v>
                </c:pt>
                <c:pt idx="18">
                  <c:v>0.7777777777777769</c:v>
                </c:pt>
                <c:pt idx="19">
                  <c:v>0.79365079365079261</c:v>
                </c:pt>
                <c:pt idx="20">
                  <c:v>0.8253968358039856</c:v>
                </c:pt>
                <c:pt idx="21">
                  <c:v>0.88888895511627197</c:v>
                </c:pt>
                <c:pt idx="22">
                  <c:v>0.9841269850730896</c:v>
                </c:pt>
                <c:pt idx="23">
                  <c:v>1.4285714626312256</c:v>
                </c:pt>
              </c:numCache>
            </c:numRef>
          </c:val>
          <c:extLst>
            <c:ext xmlns:c16="http://schemas.microsoft.com/office/drawing/2014/chart" uri="{C3380CC4-5D6E-409C-BE32-E72D297353CC}">
              <c16:uniqueId val="{00000004-3B4D-48D6-B6FE-43D1B9219464}"/>
            </c:ext>
          </c:extLst>
        </c:ser>
        <c:dLbls>
          <c:showLegendKey val="0"/>
          <c:showVal val="0"/>
          <c:showCatName val="0"/>
          <c:showSerName val="0"/>
          <c:showPercent val="0"/>
          <c:showBubbleSize val="0"/>
        </c:dLbls>
        <c:gapWidth val="219"/>
        <c:overlap val="-27"/>
        <c:axId val="236728704"/>
        <c:axId val="236730240"/>
      </c:barChart>
      <c:catAx>
        <c:axId val="2367287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36730240"/>
        <c:crosses val="autoZero"/>
        <c:auto val="1"/>
        <c:lblAlgn val="ctr"/>
        <c:lblOffset val="100"/>
        <c:noMultiLvlLbl val="0"/>
      </c:catAx>
      <c:valAx>
        <c:axId val="2367302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lgn="ctr" rtl="0">
                  <a:defRPr/>
                </a:pPr>
                <a:r>
                  <a:rPr lang="en-US"/>
                  <a:t>Index values 0 to 6</a:t>
                </a:r>
              </a:p>
              <a:p>
                <a:pPr algn="ctr" rtl="0">
                  <a:defRPr/>
                </a:pPr>
                <a:endParaRPr lang="en-US"/>
              </a:p>
            </c:rich>
          </c:tx>
          <c:overlay val="0"/>
        </c:title>
        <c:numFmt formatCode="#,##0.0" sourceLinked="0"/>
        <c:majorTickMark val="none"/>
        <c:minorTickMark val="none"/>
        <c:tickLblPos val="nextTo"/>
        <c:spPr>
          <a:noFill/>
          <a:ln>
            <a:noFill/>
          </a:ln>
          <a:effectLst/>
        </c:spPr>
        <c:txPr>
          <a:bodyPr rot="-60000000" vert="horz"/>
          <a:lstStyle/>
          <a:p>
            <a:pPr>
              <a:defRPr/>
            </a:pPr>
            <a:endParaRPr lang="es-DO"/>
          </a:p>
        </c:txPr>
        <c:crossAx val="23672870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D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'act2016'!$C$24</c:f>
              <c:strCache>
                <c:ptCount val="1"/>
                <c:pt idx="0">
                  <c:v>Seguridad Social del empleado</c:v>
                </c:pt>
              </c:strCache>
            </c:strRef>
          </c:tx>
          <c:spPr>
            <a:solidFill>
              <a:schemeClr val="tx2">
                <a:lumMod val="50000"/>
              </a:schemeClr>
            </a:solidFill>
          </c:spPr>
          <c:invertIfNegative val="0"/>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'act2016'!$C$26:$C$46</c:f>
              <c:numCache>
                <c:formatCode>0%</c:formatCode>
                <c:ptCount val="21"/>
                <c:pt idx="0">
                  <c:v>0.19858219178082198</c:v>
                </c:pt>
                <c:pt idx="1">
                  <c:v>9.1679407564991822E-2</c:v>
                </c:pt>
                <c:pt idx="2">
                  <c:v>0.19887166665976036</c:v>
                </c:pt>
                <c:pt idx="3">
                  <c:v>0.12709999999999999</c:v>
                </c:pt>
                <c:pt idx="4">
                  <c:v>7.2522161871009863E-2</c:v>
                </c:pt>
                <c:pt idx="5">
                  <c:v>0.11699999999999997</c:v>
                </c:pt>
                <c:pt idx="6">
                  <c:v>0.12294520547945206</c:v>
                </c:pt>
                <c:pt idx="7">
                  <c:v>0.10735993230119259</c:v>
                </c:pt>
                <c:pt idx="8">
                  <c:v>6.9465890410958894E-2</c:v>
                </c:pt>
                <c:pt idx="9">
                  <c:v>2.5723726792496716E-2</c:v>
                </c:pt>
                <c:pt idx="10">
                  <c:v>4.4470000000000003E-2</c:v>
                </c:pt>
                <c:pt idx="11">
                  <c:v>6.0000000000000032E-2</c:v>
                </c:pt>
                <c:pt idx="12">
                  <c:v>0.05</c:v>
                </c:pt>
                <c:pt idx="13">
                  <c:v>5.8048767123287673E-2</c:v>
                </c:pt>
                <c:pt idx="14">
                  <c:v>8.7657534246575311E-2</c:v>
                </c:pt>
                <c:pt idx="15">
                  <c:v>8.1826622528681531E-2</c:v>
                </c:pt>
                <c:pt idx="16">
                  <c:v>2.4669905511387327E-2</c:v>
                </c:pt>
                <c:pt idx="17">
                  <c:v>0.18960348742778027</c:v>
                </c:pt>
                <c:pt idx="18">
                  <c:v>6.6936494505293015E-2</c:v>
                </c:pt>
                <c:pt idx="19">
                  <c:v>9.0069550010344293E-2</c:v>
                </c:pt>
                <c:pt idx="20">
                  <c:v>5.6000000000000001E-2</c:v>
                </c:pt>
              </c:numCache>
            </c:numRef>
          </c:val>
          <c:extLst>
            <c:ext xmlns:c16="http://schemas.microsoft.com/office/drawing/2014/chart" uri="{C3380CC4-5D6E-409C-BE32-E72D297353CC}">
              <c16:uniqueId val="{00000000-68AB-4E83-9E07-1EA964BC8713}"/>
            </c:ext>
          </c:extLst>
        </c:ser>
        <c:ser>
          <c:idx val="1"/>
          <c:order val="1"/>
          <c:tx>
            <c:strRef>
              <c:f>'act2016'!$D$24</c:f>
              <c:strCache>
                <c:ptCount val="1"/>
                <c:pt idx="0">
                  <c:v>Seguridad Social del empleador</c:v>
                </c:pt>
              </c:strCache>
            </c:strRef>
          </c:tx>
          <c:spPr>
            <a:solidFill>
              <a:schemeClr val="accent1">
                <a:lumMod val="75000"/>
              </a:schemeClr>
            </a:solidFill>
          </c:spPr>
          <c:invertIfNegative val="0"/>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'act2016'!$D$26:$D$46</c:f>
              <c:numCache>
                <c:formatCode>0%</c:formatCode>
                <c:ptCount val="21"/>
                <c:pt idx="0">
                  <c:v>0.27812328767123284</c:v>
                </c:pt>
                <c:pt idx="1">
                  <c:v>0.35569689779172942</c:v>
                </c:pt>
                <c:pt idx="2">
                  <c:v>0.19525000000000006</c:v>
                </c:pt>
                <c:pt idx="3">
                  <c:v>0.14710000000000001</c:v>
                </c:pt>
                <c:pt idx="4">
                  <c:v>0.35646531506849305</c:v>
                </c:pt>
                <c:pt idx="5">
                  <c:v>8.6670000000000025E-2</c:v>
                </c:pt>
                <c:pt idx="6">
                  <c:v>0.16060410958904112</c:v>
                </c:pt>
                <c:pt idx="7">
                  <c:v>0.12537489760768694</c:v>
                </c:pt>
                <c:pt idx="8">
                  <c:v>0.20154671232876717</c:v>
                </c:pt>
                <c:pt idx="9">
                  <c:v>0.25298337506441798</c:v>
                </c:pt>
                <c:pt idx="10">
                  <c:v>0.11903000000000001</c:v>
                </c:pt>
                <c:pt idx="11">
                  <c:v>0.15752500000000003</c:v>
                </c:pt>
                <c:pt idx="12">
                  <c:v>0.14531506849315071</c:v>
                </c:pt>
                <c:pt idx="13">
                  <c:v>0.16093273972602745</c:v>
                </c:pt>
                <c:pt idx="14">
                  <c:v>0.1471780821917808</c:v>
                </c:pt>
                <c:pt idx="15">
                  <c:v>0.13469155632170379</c:v>
                </c:pt>
                <c:pt idx="16">
                  <c:v>4.785961669209142E-2</c:v>
                </c:pt>
                <c:pt idx="17">
                  <c:v>4.602032753659701E-2</c:v>
                </c:pt>
                <c:pt idx="18">
                  <c:v>0.11924900222008619</c:v>
                </c:pt>
                <c:pt idx="19">
                  <c:v>0.10476030901090666</c:v>
                </c:pt>
                <c:pt idx="20">
                  <c:v>8.2000000000000003E-2</c:v>
                </c:pt>
              </c:numCache>
            </c:numRef>
          </c:val>
          <c:extLst>
            <c:ext xmlns:c16="http://schemas.microsoft.com/office/drawing/2014/chart" uri="{C3380CC4-5D6E-409C-BE32-E72D297353CC}">
              <c16:uniqueId val="{00000001-68AB-4E83-9E07-1EA964BC8713}"/>
            </c:ext>
          </c:extLst>
        </c:ser>
        <c:ser>
          <c:idx val="2"/>
          <c:order val="2"/>
          <c:tx>
            <c:strRef>
              <c:f>'act2016'!$E$24</c:f>
              <c:strCache>
                <c:ptCount val="1"/>
                <c:pt idx="0">
                  <c:v>Vacaciones</c:v>
                </c:pt>
              </c:strCache>
            </c:strRef>
          </c:tx>
          <c:spPr>
            <a:solidFill>
              <a:schemeClr val="accent1">
                <a:lumMod val="60000"/>
                <a:lumOff val="40000"/>
              </a:schemeClr>
            </a:solidFill>
          </c:spPr>
          <c:invertIfNegative val="0"/>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'act2016'!$E$26:$E$46</c:f>
              <c:numCache>
                <c:formatCode>0%</c:formatCode>
                <c:ptCount val="21"/>
                <c:pt idx="0">
                  <c:v>3.8356164383561632E-2</c:v>
                </c:pt>
                <c:pt idx="1">
                  <c:v>0.1095890410958904</c:v>
                </c:pt>
                <c:pt idx="2">
                  <c:v>5.7534246575342472E-2</c:v>
                </c:pt>
                <c:pt idx="3">
                  <c:v>5.4794520547945202E-2</c:v>
                </c:pt>
                <c:pt idx="4">
                  <c:v>4.1095890410958902E-2</c:v>
                </c:pt>
                <c:pt idx="5">
                  <c:v>8.2191780821917804E-2</c:v>
                </c:pt>
                <c:pt idx="6">
                  <c:v>8.2191780821917776E-2</c:v>
                </c:pt>
                <c:pt idx="7">
                  <c:v>4.1095890410958888E-2</c:v>
                </c:pt>
                <c:pt idx="8">
                  <c:v>3.8356164383561632E-2</c:v>
                </c:pt>
                <c:pt idx="9">
                  <c:v>3.8356164383561632E-2</c:v>
                </c:pt>
                <c:pt idx="10">
                  <c:v>4.1095890410958916E-2</c:v>
                </c:pt>
                <c:pt idx="11">
                  <c:v>5.205479452054794E-2</c:v>
                </c:pt>
                <c:pt idx="12">
                  <c:v>8.2191780821917804E-2</c:v>
                </c:pt>
                <c:pt idx="13">
                  <c:v>4.9315068493150697E-2</c:v>
                </c:pt>
                <c:pt idx="14">
                  <c:v>3.2876712328767113E-2</c:v>
                </c:pt>
                <c:pt idx="15">
                  <c:v>6.5753424657534226E-2</c:v>
                </c:pt>
                <c:pt idx="16">
                  <c:v>5.4794520547945202E-2</c:v>
                </c:pt>
                <c:pt idx="17">
                  <c:v>4.1095890410958909E-2</c:v>
                </c:pt>
                <c:pt idx="18">
                  <c:v>3.8356164383561632E-2</c:v>
                </c:pt>
                <c:pt idx="19">
                  <c:v>0</c:v>
                </c:pt>
                <c:pt idx="20">
                  <c:v>0</c:v>
                </c:pt>
              </c:numCache>
            </c:numRef>
          </c:val>
          <c:extLst>
            <c:ext xmlns:c16="http://schemas.microsoft.com/office/drawing/2014/chart" uri="{C3380CC4-5D6E-409C-BE32-E72D297353CC}">
              <c16:uniqueId val="{00000002-68AB-4E83-9E07-1EA964BC8713}"/>
            </c:ext>
          </c:extLst>
        </c:ser>
        <c:ser>
          <c:idx val="3"/>
          <c:order val="3"/>
          <c:tx>
            <c:strRef>
              <c:f>'act2016'!$F$24</c:f>
              <c:strCache>
                <c:ptCount val="1"/>
                <c:pt idx="0">
                  <c:v>Aguinaldo</c:v>
                </c:pt>
              </c:strCache>
            </c:strRef>
          </c:tx>
          <c:spPr>
            <a:solidFill>
              <a:schemeClr val="accent1">
                <a:lumMod val="20000"/>
                <a:lumOff val="80000"/>
              </a:schemeClr>
            </a:solidFill>
          </c:spPr>
          <c:invertIfNegative val="0"/>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'act2016'!$F$26:$F$46</c:f>
              <c:numCache>
                <c:formatCode>0%</c:formatCode>
                <c:ptCount val="21"/>
                <c:pt idx="0">
                  <c:v>8.2191780821917804E-2</c:v>
                </c:pt>
                <c:pt idx="1">
                  <c:v>8.2191780821917804E-2</c:v>
                </c:pt>
                <c:pt idx="2">
                  <c:v>8.2191780821917804E-2</c:v>
                </c:pt>
                <c:pt idx="3">
                  <c:v>0.16438356164383561</c:v>
                </c:pt>
                <c:pt idx="4">
                  <c:v>8.2191780821917804E-2</c:v>
                </c:pt>
                <c:pt idx="5">
                  <c:v>0.16438356164383561</c:v>
                </c:pt>
                <c:pt idx="6">
                  <c:v>8.2191780821917776E-2</c:v>
                </c:pt>
                <c:pt idx="7">
                  <c:v>0.13608393969515983</c:v>
                </c:pt>
                <c:pt idx="8">
                  <c:v>8.2191780821917804E-2</c:v>
                </c:pt>
                <c:pt idx="9">
                  <c:v>4.1095890410958909E-2</c:v>
                </c:pt>
                <c:pt idx="10">
                  <c:v>0.16438356164383566</c:v>
                </c:pt>
                <c:pt idx="11">
                  <c:v>8.2191780821917776E-2</c:v>
                </c:pt>
                <c:pt idx="12">
                  <c:v>8.2191780821917804E-2</c:v>
                </c:pt>
                <c:pt idx="13">
                  <c:v>8.2191780821917776E-2</c:v>
                </c:pt>
                <c:pt idx="14">
                  <c:v>8.2191780821917762E-2</c:v>
                </c:pt>
                <c:pt idx="15">
                  <c:v>4.1095890410958902E-2</c:v>
                </c:pt>
                <c:pt idx="16">
                  <c:v>0.16438356164383555</c:v>
                </c:pt>
                <c:pt idx="17">
                  <c:v>0</c:v>
                </c:pt>
                <c:pt idx="18">
                  <c:v>0</c:v>
                </c:pt>
                <c:pt idx="19">
                  <c:v>3.7433155080213901E-2</c:v>
                </c:pt>
                <c:pt idx="20">
                  <c:v>3.7433155080213901E-2</c:v>
                </c:pt>
              </c:numCache>
            </c:numRef>
          </c:val>
          <c:extLst>
            <c:ext xmlns:c16="http://schemas.microsoft.com/office/drawing/2014/chart" uri="{C3380CC4-5D6E-409C-BE32-E72D297353CC}">
              <c16:uniqueId val="{00000003-68AB-4E83-9E07-1EA964BC8713}"/>
            </c:ext>
          </c:extLst>
        </c:ser>
        <c:ser>
          <c:idx val="4"/>
          <c:order val="4"/>
          <c:tx>
            <c:strRef>
              <c:f>'act2016'!$G$25</c:f>
              <c:strCache>
                <c:ptCount val="1"/>
                <c:pt idx="0">
                  <c:v>Despido (flujo)</c:v>
                </c:pt>
              </c:strCache>
            </c:strRef>
          </c:tx>
          <c:spPr>
            <a:solidFill>
              <a:schemeClr val="bg1">
                <a:lumMod val="50000"/>
              </a:schemeClr>
            </a:solidFill>
          </c:spPr>
          <c:invertIfNegative val="0"/>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'act2016'!$G$26:$G$46</c:f>
              <c:numCache>
                <c:formatCode>0%</c:formatCode>
                <c:ptCount val="21"/>
                <c:pt idx="0">
                  <c:v>8.2191780821917804E-2</c:v>
                </c:pt>
                <c:pt idx="1">
                  <c:v>3.1561643835616424E-2</c:v>
                </c:pt>
                <c:pt idx="2">
                  <c:v>9.8082191780821906E-2</c:v>
                </c:pt>
                <c:pt idx="3">
                  <c:v>8.2191780821917804E-2</c:v>
                </c:pt>
                <c:pt idx="4">
                  <c:v>6.0273972602739735E-2</c:v>
                </c:pt>
                <c:pt idx="5">
                  <c:v>0.12328767123287673</c:v>
                </c:pt>
                <c:pt idx="6">
                  <c:v>6.5205479452054793E-2</c:v>
                </c:pt>
                <c:pt idx="7">
                  <c:v>8.2191780821917804E-2</c:v>
                </c:pt>
                <c:pt idx="8">
                  <c:v>5.8082191780821912E-2</c:v>
                </c:pt>
                <c:pt idx="9">
                  <c:v>0.10410958904109588</c:v>
                </c:pt>
                <c:pt idx="10">
                  <c:v>8.2191780821917804E-2</c:v>
                </c:pt>
                <c:pt idx="11">
                  <c:v>8.2191780821917804E-2</c:v>
                </c:pt>
                <c:pt idx="12">
                  <c:v>7.1232876712328697E-2</c:v>
                </c:pt>
                <c:pt idx="13">
                  <c:v>6.3013698630136977E-2</c:v>
                </c:pt>
                <c:pt idx="14">
                  <c:v>4.1095890410958902E-2</c:v>
                </c:pt>
                <c:pt idx="15">
                  <c:v>8.2191780821917804E-2</c:v>
                </c:pt>
                <c:pt idx="16">
                  <c:v>8.2191780821917804E-2</c:v>
                </c:pt>
                <c:pt idx="17">
                  <c:v>8.2191780821917804E-2</c:v>
                </c:pt>
                <c:pt idx="18">
                  <c:v>3.8356164383561632E-2</c:v>
                </c:pt>
                <c:pt idx="19">
                  <c:v>3.8888888888888896E-2</c:v>
                </c:pt>
                <c:pt idx="20">
                  <c:v>6.25E-2</c:v>
                </c:pt>
              </c:numCache>
            </c:numRef>
          </c:val>
          <c:extLst>
            <c:ext xmlns:c16="http://schemas.microsoft.com/office/drawing/2014/chart" uri="{C3380CC4-5D6E-409C-BE32-E72D297353CC}">
              <c16:uniqueId val="{00000004-68AB-4E83-9E07-1EA964BC8713}"/>
            </c:ext>
          </c:extLst>
        </c:ser>
        <c:ser>
          <c:idx val="5"/>
          <c:order val="5"/>
          <c:tx>
            <c:strRef>
              <c:f>'act2016'!$H$25</c:f>
              <c:strCache>
                <c:ptCount val="1"/>
                <c:pt idx="0">
                  <c:v>Aviso Previo (flujo)</c:v>
                </c:pt>
              </c:strCache>
            </c:strRef>
          </c:tx>
          <c:spPr>
            <a:solidFill>
              <a:schemeClr val="tx1"/>
            </a:solidFill>
          </c:spPr>
          <c:invertIfNegative val="0"/>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'act2016'!$H$26:$H$46</c:f>
              <c:numCache>
                <c:formatCode>0%</c:formatCode>
                <c:ptCount val="21"/>
                <c:pt idx="0">
                  <c:v>3.287671232876712E-2</c:v>
                </c:pt>
                <c:pt idx="1">
                  <c:v>2.301369863013699E-2</c:v>
                </c:pt>
                <c:pt idx="2">
                  <c:v>0</c:v>
                </c:pt>
                <c:pt idx="3">
                  <c:v>4.9315068493150691E-2</c:v>
                </c:pt>
                <c:pt idx="4">
                  <c:v>4.10958904109589E-3</c:v>
                </c:pt>
                <c:pt idx="5">
                  <c:v>0</c:v>
                </c:pt>
                <c:pt idx="6">
                  <c:v>0</c:v>
                </c:pt>
                <c:pt idx="7">
                  <c:v>0</c:v>
                </c:pt>
                <c:pt idx="8">
                  <c:v>1.643835616438356E-2</c:v>
                </c:pt>
                <c:pt idx="9">
                  <c:v>0</c:v>
                </c:pt>
                <c:pt idx="10">
                  <c:v>0</c:v>
                </c:pt>
                <c:pt idx="11">
                  <c:v>0</c:v>
                </c:pt>
                <c:pt idx="12">
                  <c:v>0</c:v>
                </c:pt>
                <c:pt idx="13">
                  <c:v>1.5342465753424652E-2</c:v>
                </c:pt>
                <c:pt idx="14">
                  <c:v>2.4657534246575345E-2</c:v>
                </c:pt>
                <c:pt idx="15">
                  <c:v>0</c:v>
                </c:pt>
                <c:pt idx="16">
                  <c:v>1.6438356164383557E-2</c:v>
                </c:pt>
                <c:pt idx="17">
                  <c:v>1.6438356164383564E-2</c:v>
                </c:pt>
                <c:pt idx="18">
                  <c:v>1.5342465753424652E-2</c:v>
                </c:pt>
                <c:pt idx="19">
                  <c:v>0</c:v>
                </c:pt>
                <c:pt idx="20">
                  <c:v>0</c:v>
                </c:pt>
              </c:numCache>
            </c:numRef>
          </c:val>
          <c:extLst>
            <c:ext xmlns:c16="http://schemas.microsoft.com/office/drawing/2014/chart" uri="{C3380CC4-5D6E-409C-BE32-E72D297353CC}">
              <c16:uniqueId val="{00000005-68AB-4E83-9E07-1EA964BC8713}"/>
            </c:ext>
          </c:extLst>
        </c:ser>
        <c:dLbls>
          <c:showLegendKey val="0"/>
          <c:showVal val="0"/>
          <c:showCatName val="0"/>
          <c:showSerName val="0"/>
          <c:showPercent val="0"/>
          <c:showBubbleSize val="0"/>
        </c:dLbls>
        <c:gapWidth val="150"/>
        <c:overlap val="100"/>
        <c:axId val="231786752"/>
        <c:axId val="231796736"/>
      </c:barChart>
      <c:lineChart>
        <c:grouping val="standard"/>
        <c:varyColors val="0"/>
        <c:ser>
          <c:idx val="6"/>
          <c:order val="6"/>
          <c:tx>
            <c:strRef>
              <c:f>'act2016'!$J$24</c:f>
              <c:strCache>
                <c:ptCount val="1"/>
                <c:pt idx="0">
                  <c:v>ALC: 47%</c:v>
                </c:pt>
              </c:strCache>
            </c:strRef>
          </c:tx>
          <c:spPr>
            <a:ln>
              <a:prstDash val="sysDot"/>
            </a:ln>
          </c:spPr>
          <c:marker>
            <c:symbol val="none"/>
          </c:marker>
          <c:dLbls>
            <c:dLbl>
              <c:idx val="20"/>
              <c:layout>
                <c:manualLayout>
                  <c:x val="-2.0915029809407116E-2"/>
                  <c:y val="-3.6908876730164145E-2"/>
                </c:manualLayout>
              </c:layout>
              <c:spPr/>
              <c:txPr>
                <a:bodyPr/>
                <a:lstStyle/>
                <a:p>
                  <a:pPr>
                    <a:defRPr b="1"/>
                  </a:pPr>
                  <a:endParaRPr lang="es-DO"/>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68AB-4E83-9E07-1EA964BC871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'act2016'!$B$26:$B$46</c:f>
              <c:strCache>
                <c:ptCount val="21"/>
                <c:pt idx="0">
                  <c:v>ARG</c:v>
                </c:pt>
                <c:pt idx="1">
                  <c:v>BRA</c:v>
                </c:pt>
                <c:pt idx="2">
                  <c:v>URY</c:v>
                </c:pt>
                <c:pt idx="3">
                  <c:v>BOL</c:v>
                </c:pt>
                <c:pt idx="4">
                  <c:v>COL</c:v>
                </c:pt>
                <c:pt idx="5">
                  <c:v>PER</c:v>
                </c:pt>
                <c:pt idx="6">
                  <c:v>PAN</c:v>
                </c:pt>
                <c:pt idx="7">
                  <c:v>ECU</c:v>
                </c:pt>
                <c:pt idx="8">
                  <c:v>CRI</c:v>
                </c:pt>
                <c:pt idx="9">
                  <c:v>MEX</c:v>
                </c:pt>
                <c:pt idx="10">
                  <c:v>GTM</c:v>
                </c:pt>
                <c:pt idx="11">
                  <c:v>VEN</c:v>
                </c:pt>
                <c:pt idx="12">
                  <c:v>NIC</c:v>
                </c:pt>
                <c:pt idx="13">
                  <c:v>DOM</c:v>
                </c:pt>
                <c:pt idx="14">
                  <c:v>PRY</c:v>
                </c:pt>
                <c:pt idx="15">
                  <c:v>SLV</c:v>
                </c:pt>
                <c:pt idx="16">
                  <c:v>HND</c:v>
                </c:pt>
                <c:pt idx="17">
                  <c:v>CHL</c:v>
                </c:pt>
                <c:pt idx="18">
                  <c:v>JAM</c:v>
                </c:pt>
                <c:pt idx="19">
                  <c:v>BRB</c:v>
                </c:pt>
                <c:pt idx="20">
                  <c:v>TTO</c:v>
                </c:pt>
              </c:strCache>
            </c:strRef>
          </c:cat>
          <c:val>
            <c:numRef>
              <c:f>'act2016'!$J$26:$J$46</c:f>
              <c:numCache>
                <c:formatCode>0%</c:formatCode>
                <c:ptCount val="21"/>
                <c:pt idx="0">
                  <c:v>0.47</c:v>
                </c:pt>
                <c:pt idx="1">
                  <c:v>0.47</c:v>
                </c:pt>
                <c:pt idx="2">
                  <c:v>0.47</c:v>
                </c:pt>
                <c:pt idx="3">
                  <c:v>0.47</c:v>
                </c:pt>
                <c:pt idx="4">
                  <c:v>0.47</c:v>
                </c:pt>
                <c:pt idx="5">
                  <c:v>0.47</c:v>
                </c:pt>
                <c:pt idx="6">
                  <c:v>0.47</c:v>
                </c:pt>
                <c:pt idx="7">
                  <c:v>0.47</c:v>
                </c:pt>
                <c:pt idx="8">
                  <c:v>0.47</c:v>
                </c:pt>
                <c:pt idx="9">
                  <c:v>0.47</c:v>
                </c:pt>
                <c:pt idx="10">
                  <c:v>0.47</c:v>
                </c:pt>
                <c:pt idx="11">
                  <c:v>0.47</c:v>
                </c:pt>
                <c:pt idx="12">
                  <c:v>0.47</c:v>
                </c:pt>
                <c:pt idx="13">
                  <c:v>0.47</c:v>
                </c:pt>
                <c:pt idx="14">
                  <c:v>0.47</c:v>
                </c:pt>
                <c:pt idx="15">
                  <c:v>0.47</c:v>
                </c:pt>
                <c:pt idx="16">
                  <c:v>0.47</c:v>
                </c:pt>
                <c:pt idx="17">
                  <c:v>0.47</c:v>
                </c:pt>
                <c:pt idx="18">
                  <c:v>0.47</c:v>
                </c:pt>
                <c:pt idx="19">
                  <c:v>0.47</c:v>
                </c:pt>
                <c:pt idx="20">
                  <c:v>0.47</c:v>
                </c:pt>
              </c:numCache>
            </c:numRef>
          </c:val>
          <c:smooth val="0"/>
          <c:extLst>
            <c:ext xmlns:c16="http://schemas.microsoft.com/office/drawing/2014/chart" uri="{C3380CC4-5D6E-409C-BE32-E72D297353CC}">
              <c16:uniqueId val="{00000007-68AB-4E83-9E07-1EA964BC8713}"/>
            </c:ext>
          </c:extLst>
        </c:ser>
        <c:dLbls>
          <c:showLegendKey val="0"/>
          <c:showVal val="0"/>
          <c:showCatName val="0"/>
          <c:showSerName val="0"/>
          <c:showPercent val="0"/>
          <c:showBubbleSize val="0"/>
        </c:dLbls>
        <c:marker val="1"/>
        <c:smooth val="0"/>
        <c:axId val="231786752"/>
        <c:axId val="231796736"/>
      </c:lineChart>
      <c:catAx>
        <c:axId val="231786752"/>
        <c:scaling>
          <c:orientation val="minMax"/>
        </c:scaling>
        <c:delete val="0"/>
        <c:axPos val="b"/>
        <c:numFmt formatCode="General" sourceLinked="0"/>
        <c:majorTickMark val="out"/>
        <c:minorTickMark val="none"/>
        <c:tickLblPos val="nextTo"/>
        <c:crossAx val="231796736"/>
        <c:crosses val="autoZero"/>
        <c:auto val="1"/>
        <c:lblAlgn val="ctr"/>
        <c:lblOffset val="100"/>
        <c:noMultiLvlLbl val="0"/>
      </c:catAx>
      <c:valAx>
        <c:axId val="231796736"/>
        <c:scaling>
          <c:orientation val="minMax"/>
        </c:scaling>
        <c:delete val="0"/>
        <c:axPos val="l"/>
        <c:title>
          <c:tx>
            <c:rich>
              <a:bodyPr rot="-5400000" vert="horz"/>
              <a:lstStyle/>
              <a:p>
                <a:pPr>
                  <a:defRPr/>
                </a:pPr>
                <a:r>
                  <a:rPr lang="en-US"/>
                  <a:t>Costos no salariales como porcentaje (%) del salario anual</a:t>
                </a:r>
              </a:p>
            </c:rich>
          </c:tx>
          <c:overlay val="0"/>
        </c:title>
        <c:numFmt formatCode="0%" sourceLinked="1"/>
        <c:majorTickMark val="out"/>
        <c:minorTickMark val="none"/>
        <c:tickLblPos val="nextTo"/>
        <c:crossAx val="231786752"/>
        <c:crosses val="autoZero"/>
        <c:crossBetween val="between"/>
      </c:valAx>
    </c:plotArea>
    <c:legend>
      <c:legendPos val="b"/>
      <c:layout>
        <c:manualLayout>
          <c:xMode val="edge"/>
          <c:yMode val="edge"/>
          <c:x val="7.993370319816058E-2"/>
          <c:y val="0.87492250104623592"/>
          <c:w val="0.84710413296908615"/>
          <c:h val="0.10662306058868205"/>
        </c:manualLayout>
      </c:layout>
      <c:overlay val="0"/>
    </c:legend>
    <c:plotVisOnly val="1"/>
    <c:dispBlanksAs val="gap"/>
    <c:showDLblsOverMax val="0"/>
  </c:chart>
  <c:spPr>
    <a:ln>
      <a:noFill/>
    </a:ln>
  </c:sp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15_16_17'!$H$3</c:f>
              <c:strCache>
                <c:ptCount val="1"/>
                <c:pt idx="0">
                  <c:v> Procedural inconveniences </c:v>
                </c:pt>
              </c:strCache>
            </c:strRef>
          </c:tx>
          <c:spPr>
            <a:solidFill>
              <a:schemeClr val="accent1"/>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6F33-4E2F-8746-2CDFB8938D9E}"/>
              </c:ext>
            </c:extLst>
          </c:dPt>
          <c:dPt>
            <c:idx val="23"/>
            <c:invertIfNegative val="0"/>
            <c:bubble3D val="0"/>
            <c:spPr>
              <a:solidFill>
                <a:schemeClr val="accent6">
                  <a:lumMod val="75000"/>
                </a:schemeClr>
              </a:solidFill>
              <a:ln>
                <a:noFill/>
              </a:ln>
              <a:effectLst/>
            </c:spPr>
            <c:extLst>
              <c:ext xmlns:c16="http://schemas.microsoft.com/office/drawing/2014/chart" uri="{C3380CC4-5D6E-409C-BE32-E72D297353CC}">
                <c16:uniqueId val="{00000003-6F33-4E2F-8746-2CDFB8938D9E}"/>
              </c:ext>
            </c:extLst>
          </c:dPt>
          <c:cat>
            <c:strRef>
              <c:f>'Figure 15_16_17'!$G$4:$G$27</c:f>
              <c:strCache>
                <c:ptCount val="24"/>
                <c:pt idx="0">
                  <c:v>ECU</c:v>
                </c:pt>
                <c:pt idx="1">
                  <c:v>GTM</c:v>
                </c:pt>
                <c:pt idx="2">
                  <c:v>NIC</c:v>
                </c:pt>
                <c:pt idx="3">
                  <c:v>BRA</c:v>
                </c:pt>
                <c:pt idx="4">
                  <c:v>MEX</c:v>
                </c:pt>
                <c:pt idx="5">
                  <c:v>CRI</c:v>
                </c:pt>
                <c:pt idx="6">
                  <c:v>SLV</c:v>
                </c:pt>
                <c:pt idx="7">
                  <c:v>JAM</c:v>
                </c:pt>
                <c:pt idx="8">
                  <c:v>HND</c:v>
                </c:pt>
                <c:pt idx="9">
                  <c:v>BRB</c:v>
                </c:pt>
                <c:pt idx="10">
                  <c:v>PRY</c:v>
                </c:pt>
                <c:pt idx="11">
                  <c:v>COL</c:v>
                </c:pt>
                <c:pt idx="12">
                  <c:v>ARG</c:v>
                </c:pt>
                <c:pt idx="13">
                  <c:v>Caribe</c:v>
                </c:pt>
                <c:pt idx="14">
                  <c:v>LAC</c:v>
                </c:pt>
                <c:pt idx="15">
                  <c:v>LA </c:v>
                </c:pt>
                <c:pt idx="16">
                  <c:v>BHM</c:v>
                </c:pt>
                <c:pt idx="17">
                  <c:v>URY</c:v>
                </c:pt>
                <c:pt idx="18">
                  <c:v>BOL</c:v>
                </c:pt>
                <c:pt idx="19">
                  <c:v>CHL</c:v>
                </c:pt>
                <c:pt idx="20">
                  <c:v>PER</c:v>
                </c:pt>
                <c:pt idx="21">
                  <c:v>DOM</c:v>
                </c:pt>
                <c:pt idx="22">
                  <c:v>PAN</c:v>
                </c:pt>
                <c:pt idx="23">
                  <c:v>VEN</c:v>
                </c:pt>
              </c:strCache>
            </c:strRef>
          </c:cat>
          <c:val>
            <c:numRef>
              <c:f>'Figure 15_16_17'!$H$4:$H$27</c:f>
              <c:numCache>
                <c:formatCode>_(* #,##0.00_);_(* \(#,##0.00\);_(* "-"??_);_(@_)</c:formatCode>
                <c:ptCount val="24"/>
                <c:pt idx="0">
                  <c:v>0</c:v>
                </c:pt>
                <c:pt idx="1">
                  <c:v>0</c:v>
                </c:pt>
                <c:pt idx="2">
                  <c:v>0</c:v>
                </c:pt>
                <c:pt idx="3">
                  <c:v>0.33333333333333298</c:v>
                </c:pt>
                <c:pt idx="4">
                  <c:v>0.33333333333333298</c:v>
                </c:pt>
                <c:pt idx="5">
                  <c:v>0.3333333432674408</c:v>
                </c:pt>
                <c:pt idx="6">
                  <c:v>0.3333333432674408</c:v>
                </c:pt>
                <c:pt idx="7">
                  <c:v>0.3333333432674408</c:v>
                </c:pt>
                <c:pt idx="8">
                  <c:v>0.3333333432674408</c:v>
                </c:pt>
                <c:pt idx="9">
                  <c:v>0.3333333432674408</c:v>
                </c:pt>
                <c:pt idx="10">
                  <c:v>0.3333333432674408</c:v>
                </c:pt>
                <c:pt idx="11">
                  <c:v>0.3333333432674408</c:v>
                </c:pt>
                <c:pt idx="12">
                  <c:v>0.3333333432674408</c:v>
                </c:pt>
                <c:pt idx="13">
                  <c:v>0.3888888955116272</c:v>
                </c:pt>
                <c:pt idx="14">
                  <c:v>0.46031746788630407</c:v>
                </c:pt>
                <c:pt idx="15">
                  <c:v>0.47222222994875018</c:v>
                </c:pt>
                <c:pt idx="16">
                  <c:v>0.5</c:v>
                </c:pt>
                <c:pt idx="17">
                  <c:v>0.5</c:v>
                </c:pt>
                <c:pt idx="18">
                  <c:v>0.5</c:v>
                </c:pt>
                <c:pt idx="19">
                  <c:v>0.66666666666666596</c:v>
                </c:pt>
                <c:pt idx="20">
                  <c:v>0.66666668653488159</c:v>
                </c:pt>
                <c:pt idx="21">
                  <c:v>0.66666668653488159</c:v>
                </c:pt>
                <c:pt idx="22">
                  <c:v>1.3333333730697632</c:v>
                </c:pt>
                <c:pt idx="23">
                  <c:v>1.5</c:v>
                </c:pt>
              </c:numCache>
            </c:numRef>
          </c:val>
          <c:extLst>
            <c:ext xmlns:c16="http://schemas.microsoft.com/office/drawing/2014/chart" uri="{C3380CC4-5D6E-409C-BE32-E72D297353CC}">
              <c16:uniqueId val="{00000004-6F33-4E2F-8746-2CDFB8938D9E}"/>
            </c:ext>
          </c:extLst>
        </c:ser>
        <c:dLbls>
          <c:showLegendKey val="0"/>
          <c:showVal val="0"/>
          <c:showCatName val="0"/>
          <c:showSerName val="0"/>
          <c:showPercent val="0"/>
          <c:showBubbleSize val="0"/>
        </c:dLbls>
        <c:gapWidth val="219"/>
        <c:overlap val="-27"/>
        <c:axId val="236775680"/>
        <c:axId val="236781568"/>
      </c:barChart>
      <c:catAx>
        <c:axId val="2367756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36781568"/>
        <c:crosses val="autoZero"/>
        <c:auto val="1"/>
        <c:lblAlgn val="ctr"/>
        <c:lblOffset val="100"/>
        <c:noMultiLvlLbl val="0"/>
      </c:catAx>
      <c:valAx>
        <c:axId val="236781568"/>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Index values 0 to 6</a:t>
                </a:r>
              </a:p>
            </c:rich>
          </c:tx>
          <c:overlay val="0"/>
        </c:title>
        <c:numFmt formatCode="#,##0.0" sourceLinked="0"/>
        <c:majorTickMark val="none"/>
        <c:minorTickMark val="none"/>
        <c:tickLblPos val="nextTo"/>
        <c:spPr>
          <a:noFill/>
          <a:ln>
            <a:noFill/>
          </a:ln>
          <a:effectLst/>
        </c:spPr>
        <c:txPr>
          <a:bodyPr rot="-60000000" vert="horz"/>
          <a:lstStyle/>
          <a:p>
            <a:pPr>
              <a:defRPr/>
            </a:pPr>
            <a:endParaRPr lang="es-DO"/>
          </a:p>
        </c:txPr>
        <c:crossAx val="2367756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DO"/>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15_16_17 (2)'!$B$3</c:f>
              <c:strCache>
                <c:ptCount val="1"/>
                <c:pt idx="0">
                  <c:v> Difficulty of dismissal </c:v>
                </c:pt>
              </c:strCache>
            </c:strRef>
          </c:tx>
          <c:spPr>
            <a:solidFill>
              <a:schemeClr val="accent1"/>
            </a:solidFill>
            <a:ln>
              <a:noFill/>
            </a:ln>
            <a:effectLst/>
          </c:spPr>
          <c:invertIfNegative val="0"/>
          <c:dPt>
            <c:idx val="0"/>
            <c:invertIfNegative val="0"/>
            <c:bubble3D val="0"/>
            <c:extLst>
              <c:ext xmlns:c16="http://schemas.microsoft.com/office/drawing/2014/chart" uri="{C3380CC4-5D6E-409C-BE32-E72D297353CC}">
                <c16:uniqueId val="{00000000-ACF7-4A2E-8AE7-63078113940F}"/>
              </c:ext>
            </c:extLst>
          </c:dPt>
          <c:dPt>
            <c:idx val="12"/>
            <c:invertIfNegative val="0"/>
            <c:bubble3D val="0"/>
            <c:spPr>
              <a:solidFill>
                <a:schemeClr val="accent6"/>
              </a:solidFill>
              <a:ln>
                <a:noFill/>
              </a:ln>
              <a:effectLst/>
            </c:spPr>
            <c:extLst>
              <c:ext xmlns:c16="http://schemas.microsoft.com/office/drawing/2014/chart" uri="{C3380CC4-5D6E-409C-BE32-E72D297353CC}">
                <c16:uniqueId val="{00000002-ACF7-4A2E-8AE7-63078113940F}"/>
              </c:ext>
            </c:extLst>
          </c:dPt>
          <c:dPt>
            <c:idx val="13"/>
            <c:invertIfNegative val="0"/>
            <c:bubble3D val="0"/>
            <c:spPr>
              <a:solidFill>
                <a:schemeClr val="accent6"/>
              </a:solidFill>
              <a:ln>
                <a:noFill/>
              </a:ln>
              <a:effectLst/>
            </c:spPr>
            <c:extLst>
              <c:ext xmlns:c16="http://schemas.microsoft.com/office/drawing/2014/chart" uri="{C3380CC4-5D6E-409C-BE32-E72D297353CC}">
                <c16:uniqueId val="{00000004-ACF7-4A2E-8AE7-63078113940F}"/>
              </c:ext>
            </c:extLst>
          </c:dPt>
          <c:dPt>
            <c:idx val="15"/>
            <c:invertIfNegative val="0"/>
            <c:bubble3D val="0"/>
            <c:spPr>
              <a:solidFill>
                <a:schemeClr val="accent6"/>
              </a:solidFill>
              <a:ln>
                <a:noFill/>
              </a:ln>
              <a:effectLst/>
            </c:spPr>
            <c:extLst>
              <c:ext xmlns:c16="http://schemas.microsoft.com/office/drawing/2014/chart" uri="{C3380CC4-5D6E-409C-BE32-E72D297353CC}">
                <c16:uniqueId val="{00000006-ACF7-4A2E-8AE7-63078113940F}"/>
              </c:ext>
            </c:extLst>
          </c:dPt>
          <c:dPt>
            <c:idx val="23"/>
            <c:invertIfNegative val="0"/>
            <c:bubble3D val="0"/>
            <c:extLst>
              <c:ext xmlns:c16="http://schemas.microsoft.com/office/drawing/2014/chart" uri="{C3380CC4-5D6E-409C-BE32-E72D297353CC}">
                <c16:uniqueId val="{00000007-ACF7-4A2E-8AE7-63078113940F}"/>
              </c:ext>
            </c:extLst>
          </c:dPt>
          <c:cat>
            <c:strRef>
              <c:f>'Figure 15_16_17 (2)'!$A$4:$A$27</c:f>
              <c:strCache>
                <c:ptCount val="24"/>
                <c:pt idx="0">
                  <c:v>DOM</c:v>
                </c:pt>
                <c:pt idx="1">
                  <c:v>GTM</c:v>
                </c:pt>
                <c:pt idx="2">
                  <c:v>BRB</c:v>
                </c:pt>
                <c:pt idx="3">
                  <c:v>SLV</c:v>
                </c:pt>
                <c:pt idx="4">
                  <c:v>CRI</c:v>
                </c:pt>
                <c:pt idx="5">
                  <c:v>ECU</c:v>
                </c:pt>
                <c:pt idx="6">
                  <c:v>BRA</c:v>
                </c:pt>
                <c:pt idx="7">
                  <c:v>ARG</c:v>
                </c:pt>
                <c:pt idx="8">
                  <c:v>COL</c:v>
                </c:pt>
                <c:pt idx="9">
                  <c:v>JAM</c:v>
                </c:pt>
                <c:pt idx="10">
                  <c:v>NIC</c:v>
                </c:pt>
                <c:pt idx="11">
                  <c:v>URY</c:v>
                </c:pt>
                <c:pt idx="12">
                  <c:v>Caribe</c:v>
                </c:pt>
                <c:pt idx="13">
                  <c:v>LAC</c:v>
                </c:pt>
                <c:pt idx="14">
                  <c:v>PER</c:v>
                </c:pt>
                <c:pt idx="15">
                  <c:v>LA</c:v>
                </c:pt>
                <c:pt idx="16">
                  <c:v>BHS</c:v>
                </c:pt>
                <c:pt idx="17">
                  <c:v>PAN</c:v>
                </c:pt>
                <c:pt idx="18">
                  <c:v>PRY</c:v>
                </c:pt>
                <c:pt idx="19">
                  <c:v>CHL</c:v>
                </c:pt>
                <c:pt idx="20">
                  <c:v>MEX</c:v>
                </c:pt>
                <c:pt idx="21">
                  <c:v>HND</c:v>
                </c:pt>
                <c:pt idx="22">
                  <c:v>BOL</c:v>
                </c:pt>
                <c:pt idx="23">
                  <c:v>VEN</c:v>
                </c:pt>
              </c:strCache>
            </c:strRef>
          </c:cat>
          <c:val>
            <c:numRef>
              <c:f>'Figure 15_16_17 (2)'!$B$4:$B$27</c:f>
              <c:numCache>
                <c:formatCode>0.0</c:formatCode>
                <c:ptCount val="24"/>
                <c:pt idx="0">
                  <c:v>1.4</c:v>
                </c:pt>
                <c:pt idx="1">
                  <c:v>1.6</c:v>
                </c:pt>
                <c:pt idx="2">
                  <c:v>1.8000000000000003</c:v>
                </c:pt>
                <c:pt idx="3">
                  <c:v>1.8000000000000003</c:v>
                </c:pt>
                <c:pt idx="4">
                  <c:v>2</c:v>
                </c:pt>
                <c:pt idx="5">
                  <c:v>2</c:v>
                </c:pt>
                <c:pt idx="6">
                  <c:v>2.2000000000000002</c:v>
                </c:pt>
                <c:pt idx="7">
                  <c:v>2.4000000000000004</c:v>
                </c:pt>
                <c:pt idx="8">
                  <c:v>2.4000000000000004</c:v>
                </c:pt>
                <c:pt idx="9">
                  <c:v>2.4000000000000004</c:v>
                </c:pt>
                <c:pt idx="10">
                  <c:v>2.4000000000000004</c:v>
                </c:pt>
                <c:pt idx="11">
                  <c:v>2.4000000000000004</c:v>
                </c:pt>
                <c:pt idx="12">
                  <c:v>2.4000000000000004</c:v>
                </c:pt>
                <c:pt idx="13">
                  <c:v>2.7904761904761903</c:v>
                </c:pt>
                <c:pt idx="14">
                  <c:v>2.8000000000000003</c:v>
                </c:pt>
                <c:pt idx="15">
                  <c:v>2.8555555555555552</c:v>
                </c:pt>
                <c:pt idx="16">
                  <c:v>3</c:v>
                </c:pt>
                <c:pt idx="17">
                  <c:v>3</c:v>
                </c:pt>
                <c:pt idx="18">
                  <c:v>3</c:v>
                </c:pt>
                <c:pt idx="19">
                  <c:v>3.2</c:v>
                </c:pt>
                <c:pt idx="20">
                  <c:v>3.4</c:v>
                </c:pt>
                <c:pt idx="21">
                  <c:v>4.2</c:v>
                </c:pt>
                <c:pt idx="22">
                  <c:v>5.2</c:v>
                </c:pt>
                <c:pt idx="23">
                  <c:v>6.0000000000000009</c:v>
                </c:pt>
              </c:numCache>
            </c:numRef>
          </c:val>
          <c:extLst>
            <c:ext xmlns:c16="http://schemas.microsoft.com/office/drawing/2014/chart" uri="{C3380CC4-5D6E-409C-BE32-E72D297353CC}">
              <c16:uniqueId val="{00000008-ACF7-4A2E-8AE7-63078113940F}"/>
            </c:ext>
          </c:extLst>
        </c:ser>
        <c:dLbls>
          <c:showLegendKey val="0"/>
          <c:showVal val="0"/>
          <c:showCatName val="0"/>
          <c:showSerName val="0"/>
          <c:showPercent val="0"/>
          <c:showBubbleSize val="0"/>
        </c:dLbls>
        <c:gapWidth val="219"/>
        <c:overlap val="-27"/>
        <c:axId val="237245568"/>
        <c:axId val="237247104"/>
      </c:barChart>
      <c:catAx>
        <c:axId val="2372455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37247104"/>
        <c:crosses val="autoZero"/>
        <c:auto val="1"/>
        <c:lblAlgn val="ctr"/>
        <c:lblOffset val="100"/>
        <c:noMultiLvlLbl val="0"/>
      </c:catAx>
      <c:valAx>
        <c:axId val="237247104"/>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US" sz="900" b="1" i="0" baseline="0">
                    <a:effectLst/>
                    <a:latin typeface="Arial" panose="020B0604020202020204" pitchFamily="34" charset="0"/>
                    <a:cs typeface="Arial" panose="020B0604020202020204" pitchFamily="34" charset="0"/>
                  </a:rPr>
                  <a:t>Index values 0 to 6</a:t>
                </a:r>
                <a:endParaRPr lang="en-US" sz="900">
                  <a:effectLst/>
                  <a:latin typeface="Arial" panose="020B0604020202020204" pitchFamily="34" charset="0"/>
                  <a:cs typeface="Arial" panose="020B0604020202020204" pitchFamily="34" charset="0"/>
                </a:endParaRPr>
              </a:p>
              <a:p>
                <a:pPr marL="0" marR="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sz="900">
                  <a:latin typeface="Arial" panose="020B0604020202020204" pitchFamily="34" charset="0"/>
                  <a:cs typeface="Arial" panose="020B0604020202020204" pitchFamily="34" charset="0"/>
                </a:endParaRPr>
              </a:p>
            </c:rich>
          </c:tx>
          <c:overlay val="0"/>
        </c:title>
        <c:numFmt formatCode="#,##0" sourceLinked="0"/>
        <c:majorTickMark val="none"/>
        <c:minorTickMark val="none"/>
        <c:tickLblPos val="nextTo"/>
        <c:spPr>
          <a:noFill/>
          <a:ln>
            <a:noFill/>
          </a:ln>
          <a:effectLst/>
        </c:spPr>
        <c:txPr>
          <a:bodyPr rot="-60000000" vert="horz"/>
          <a:lstStyle/>
          <a:p>
            <a:pPr>
              <a:defRPr/>
            </a:pPr>
            <a:endParaRPr lang="es-DO"/>
          </a:p>
        </c:txPr>
        <c:crossAx val="23724556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DO"/>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15_16_17 (2)'!$E$3</c:f>
              <c:strCache>
                <c:ptCount val="1"/>
                <c:pt idx="0">
                  <c:v> Notice&amp;severance pay-individual dismissal </c:v>
                </c:pt>
              </c:strCache>
            </c:strRef>
          </c:tx>
          <c:spPr>
            <a:solidFill>
              <a:schemeClr val="accent1"/>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BD48-4C92-85F2-44C2A5056B5B}"/>
              </c:ext>
            </c:extLst>
          </c:dPt>
          <c:dPt>
            <c:idx val="8"/>
            <c:invertIfNegative val="0"/>
            <c:bubble3D val="0"/>
            <c:spPr>
              <a:solidFill>
                <a:schemeClr val="accent6"/>
              </a:solidFill>
              <a:ln>
                <a:noFill/>
              </a:ln>
              <a:effectLst/>
            </c:spPr>
            <c:extLst>
              <c:ext xmlns:c16="http://schemas.microsoft.com/office/drawing/2014/chart" uri="{C3380CC4-5D6E-409C-BE32-E72D297353CC}">
                <c16:uniqueId val="{00000003-BD48-4C92-85F2-44C2A5056B5B}"/>
              </c:ext>
            </c:extLst>
          </c:dPt>
          <c:dPt>
            <c:idx val="12"/>
            <c:invertIfNegative val="0"/>
            <c:bubble3D val="0"/>
            <c:spPr>
              <a:solidFill>
                <a:schemeClr val="accent6"/>
              </a:solidFill>
              <a:ln>
                <a:noFill/>
              </a:ln>
              <a:effectLst/>
            </c:spPr>
            <c:extLst>
              <c:ext xmlns:c16="http://schemas.microsoft.com/office/drawing/2014/chart" uri="{C3380CC4-5D6E-409C-BE32-E72D297353CC}">
                <c16:uniqueId val="{00000005-BD48-4C92-85F2-44C2A5056B5B}"/>
              </c:ext>
            </c:extLst>
          </c:dPt>
          <c:dPt>
            <c:idx val="13"/>
            <c:invertIfNegative val="0"/>
            <c:bubble3D val="0"/>
            <c:spPr>
              <a:solidFill>
                <a:schemeClr val="accent6"/>
              </a:solidFill>
              <a:ln>
                <a:noFill/>
              </a:ln>
              <a:effectLst/>
            </c:spPr>
            <c:extLst>
              <c:ext xmlns:c16="http://schemas.microsoft.com/office/drawing/2014/chart" uri="{C3380CC4-5D6E-409C-BE32-E72D297353CC}">
                <c16:uniqueId val="{00000007-BD48-4C92-85F2-44C2A5056B5B}"/>
              </c:ext>
            </c:extLst>
          </c:dPt>
          <c:dPt>
            <c:idx val="23"/>
            <c:invertIfNegative val="0"/>
            <c:bubble3D val="0"/>
            <c:extLst>
              <c:ext xmlns:c16="http://schemas.microsoft.com/office/drawing/2014/chart" uri="{C3380CC4-5D6E-409C-BE32-E72D297353CC}">
                <c16:uniqueId val="{00000008-BD48-4C92-85F2-44C2A5056B5B}"/>
              </c:ext>
            </c:extLst>
          </c:dPt>
          <c:cat>
            <c:strRef>
              <c:f>'Figure 15_16_17 (2)'!$D$4:$D$27</c:f>
              <c:strCache>
                <c:ptCount val="24"/>
                <c:pt idx="0">
                  <c:v>PER</c:v>
                </c:pt>
                <c:pt idx="1">
                  <c:v>VEN</c:v>
                </c:pt>
                <c:pt idx="2">
                  <c:v>PAN</c:v>
                </c:pt>
                <c:pt idx="3">
                  <c:v>HND</c:v>
                </c:pt>
                <c:pt idx="4">
                  <c:v>MEX</c:v>
                </c:pt>
                <c:pt idx="5">
                  <c:v>BOL</c:v>
                </c:pt>
                <c:pt idx="6">
                  <c:v>BRB</c:v>
                </c:pt>
                <c:pt idx="7">
                  <c:v>JAM</c:v>
                </c:pt>
                <c:pt idx="8">
                  <c:v>Caribe</c:v>
                </c:pt>
                <c:pt idx="9">
                  <c:v>COL</c:v>
                </c:pt>
                <c:pt idx="10">
                  <c:v>NIC</c:v>
                </c:pt>
                <c:pt idx="11">
                  <c:v>PRY</c:v>
                </c:pt>
                <c:pt idx="12">
                  <c:v>LAC</c:v>
                </c:pt>
                <c:pt idx="13">
                  <c:v>LA</c:v>
                </c:pt>
                <c:pt idx="14">
                  <c:v>BHS</c:v>
                </c:pt>
                <c:pt idx="15">
                  <c:v>URY</c:v>
                </c:pt>
                <c:pt idx="16">
                  <c:v>CRI</c:v>
                </c:pt>
                <c:pt idx="17">
                  <c:v>SLV</c:v>
                </c:pt>
                <c:pt idx="18">
                  <c:v>BRA</c:v>
                </c:pt>
                <c:pt idx="19">
                  <c:v>CHL</c:v>
                </c:pt>
                <c:pt idx="20">
                  <c:v>DOM</c:v>
                </c:pt>
                <c:pt idx="21">
                  <c:v>GTM</c:v>
                </c:pt>
                <c:pt idx="22">
                  <c:v>ARG</c:v>
                </c:pt>
                <c:pt idx="23">
                  <c:v>ECU</c:v>
                </c:pt>
              </c:strCache>
            </c:strRef>
          </c:cat>
          <c:val>
            <c:numRef>
              <c:f>'Figure 15_16_17 (2)'!$E$4:$E$27</c:f>
              <c:numCache>
                <c:formatCode>0.0</c:formatCode>
                <c:ptCount val="24"/>
                <c:pt idx="0">
                  <c:v>0</c:v>
                </c:pt>
                <c:pt idx="1">
                  <c:v>0</c:v>
                </c:pt>
                <c:pt idx="2">
                  <c:v>0.2857142857142857</c:v>
                </c:pt>
                <c:pt idx="3">
                  <c:v>1</c:v>
                </c:pt>
                <c:pt idx="4">
                  <c:v>1.3333333333333333</c:v>
                </c:pt>
                <c:pt idx="5">
                  <c:v>1.4285714285714284</c:v>
                </c:pt>
                <c:pt idx="6">
                  <c:v>1.4285714285714284</c:v>
                </c:pt>
                <c:pt idx="7">
                  <c:v>1.4761904761904761</c:v>
                </c:pt>
                <c:pt idx="8">
                  <c:v>1.5714285714285714</c:v>
                </c:pt>
                <c:pt idx="9">
                  <c:v>1.6190476190476188</c:v>
                </c:pt>
                <c:pt idx="10">
                  <c:v>1.7142857142857142</c:v>
                </c:pt>
                <c:pt idx="11">
                  <c:v>1.7142857142857142</c:v>
                </c:pt>
                <c:pt idx="12">
                  <c:v>1.768707482993197</c:v>
                </c:pt>
                <c:pt idx="13">
                  <c:v>1.8015873015873014</c:v>
                </c:pt>
                <c:pt idx="14">
                  <c:v>1.8095238095238095</c:v>
                </c:pt>
                <c:pt idx="15">
                  <c:v>1.9047619047619047</c:v>
                </c:pt>
                <c:pt idx="16">
                  <c:v>2.0476190476190474</c:v>
                </c:pt>
                <c:pt idx="17">
                  <c:v>2.2857142857142856</c:v>
                </c:pt>
                <c:pt idx="18">
                  <c:v>2.333333333333333</c:v>
                </c:pt>
                <c:pt idx="19">
                  <c:v>2.3809523809523805</c:v>
                </c:pt>
                <c:pt idx="20">
                  <c:v>2.4761904761904763</c:v>
                </c:pt>
                <c:pt idx="21">
                  <c:v>2.6666666666666665</c:v>
                </c:pt>
                <c:pt idx="22">
                  <c:v>2.9523809523809521</c:v>
                </c:pt>
                <c:pt idx="23">
                  <c:v>4.2857142857142856</c:v>
                </c:pt>
              </c:numCache>
            </c:numRef>
          </c:val>
          <c:extLst>
            <c:ext xmlns:c16="http://schemas.microsoft.com/office/drawing/2014/chart" uri="{C3380CC4-5D6E-409C-BE32-E72D297353CC}">
              <c16:uniqueId val="{00000009-BD48-4C92-85F2-44C2A5056B5B}"/>
            </c:ext>
          </c:extLst>
        </c:ser>
        <c:dLbls>
          <c:showLegendKey val="0"/>
          <c:showVal val="0"/>
          <c:showCatName val="0"/>
          <c:showSerName val="0"/>
          <c:showPercent val="0"/>
          <c:showBubbleSize val="0"/>
        </c:dLbls>
        <c:gapWidth val="219"/>
        <c:overlap val="-27"/>
        <c:axId val="237289472"/>
        <c:axId val="237291008"/>
      </c:barChart>
      <c:catAx>
        <c:axId val="2372894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37291008"/>
        <c:crosses val="autoZero"/>
        <c:auto val="1"/>
        <c:lblAlgn val="ctr"/>
        <c:lblOffset val="100"/>
        <c:noMultiLvlLbl val="0"/>
      </c:catAx>
      <c:valAx>
        <c:axId val="237291008"/>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lgn="ctr" rtl="0">
                  <a:defRPr/>
                </a:pPr>
                <a:r>
                  <a:rPr lang="en-US"/>
                  <a:t>Index values 0 to 6</a:t>
                </a:r>
              </a:p>
              <a:p>
                <a:pPr algn="ctr" rtl="0">
                  <a:defRPr/>
                </a:pPr>
                <a:endParaRPr lang="en-US"/>
              </a:p>
            </c:rich>
          </c:tx>
          <c:overlay val="0"/>
        </c:title>
        <c:numFmt formatCode="#,##0" sourceLinked="0"/>
        <c:majorTickMark val="none"/>
        <c:minorTickMark val="none"/>
        <c:tickLblPos val="nextTo"/>
        <c:spPr>
          <a:noFill/>
          <a:ln>
            <a:noFill/>
          </a:ln>
          <a:effectLst/>
        </c:spPr>
        <c:txPr>
          <a:bodyPr rot="-60000000" vert="horz"/>
          <a:lstStyle/>
          <a:p>
            <a:pPr>
              <a:defRPr/>
            </a:pPr>
            <a:endParaRPr lang="es-DO"/>
          </a:p>
        </c:txPr>
        <c:crossAx val="23728947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DO"/>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'Figure 15_16_17 (2)'!$H$3</c:f>
              <c:strCache>
                <c:ptCount val="1"/>
                <c:pt idx="0">
                  <c:v> Procedural inconveniences </c:v>
                </c:pt>
              </c:strCache>
            </c:strRef>
          </c:tx>
          <c:spPr>
            <a:solidFill>
              <a:schemeClr val="accent1"/>
            </a:solidFill>
            <a:ln>
              <a:noFill/>
            </a:ln>
            <a:effectLst/>
          </c:spPr>
          <c:invertIfNegative val="0"/>
          <c:dPt>
            <c:idx val="0"/>
            <c:invertIfNegative val="0"/>
            <c:bubble3D val="0"/>
            <c:spPr>
              <a:solidFill>
                <a:schemeClr val="accent6">
                  <a:lumMod val="75000"/>
                </a:schemeClr>
              </a:solidFill>
              <a:ln>
                <a:noFill/>
              </a:ln>
              <a:effectLst/>
            </c:spPr>
            <c:extLst>
              <c:ext xmlns:c16="http://schemas.microsoft.com/office/drawing/2014/chart" uri="{C3380CC4-5D6E-409C-BE32-E72D297353CC}">
                <c16:uniqueId val="{00000001-A685-4BF7-98A7-CBC4C4AC821D}"/>
              </c:ext>
            </c:extLst>
          </c:dPt>
          <c:dPt>
            <c:idx val="13"/>
            <c:invertIfNegative val="0"/>
            <c:bubble3D val="0"/>
            <c:spPr>
              <a:solidFill>
                <a:schemeClr val="accent6"/>
              </a:solidFill>
              <a:ln>
                <a:noFill/>
              </a:ln>
              <a:effectLst/>
            </c:spPr>
            <c:extLst>
              <c:ext xmlns:c16="http://schemas.microsoft.com/office/drawing/2014/chart" uri="{C3380CC4-5D6E-409C-BE32-E72D297353CC}">
                <c16:uniqueId val="{00000003-A685-4BF7-98A7-CBC4C4AC821D}"/>
              </c:ext>
            </c:extLst>
          </c:dPt>
          <c:dPt>
            <c:idx val="14"/>
            <c:invertIfNegative val="0"/>
            <c:bubble3D val="0"/>
            <c:spPr>
              <a:solidFill>
                <a:schemeClr val="accent6"/>
              </a:solidFill>
              <a:ln>
                <a:noFill/>
              </a:ln>
              <a:effectLst/>
            </c:spPr>
            <c:extLst>
              <c:ext xmlns:c16="http://schemas.microsoft.com/office/drawing/2014/chart" uri="{C3380CC4-5D6E-409C-BE32-E72D297353CC}">
                <c16:uniqueId val="{00000005-A685-4BF7-98A7-CBC4C4AC821D}"/>
              </c:ext>
            </c:extLst>
          </c:dPt>
          <c:dPt>
            <c:idx val="15"/>
            <c:invertIfNegative val="0"/>
            <c:bubble3D val="0"/>
            <c:spPr>
              <a:solidFill>
                <a:schemeClr val="accent6"/>
              </a:solidFill>
              <a:ln>
                <a:noFill/>
              </a:ln>
              <a:effectLst/>
            </c:spPr>
            <c:extLst>
              <c:ext xmlns:c16="http://schemas.microsoft.com/office/drawing/2014/chart" uri="{C3380CC4-5D6E-409C-BE32-E72D297353CC}">
                <c16:uniqueId val="{00000007-A685-4BF7-98A7-CBC4C4AC821D}"/>
              </c:ext>
            </c:extLst>
          </c:dPt>
          <c:dPt>
            <c:idx val="23"/>
            <c:invertIfNegative val="0"/>
            <c:bubble3D val="0"/>
            <c:extLst>
              <c:ext xmlns:c16="http://schemas.microsoft.com/office/drawing/2014/chart" uri="{C3380CC4-5D6E-409C-BE32-E72D297353CC}">
                <c16:uniqueId val="{00000008-A685-4BF7-98A7-CBC4C4AC821D}"/>
              </c:ext>
            </c:extLst>
          </c:dPt>
          <c:cat>
            <c:strRef>
              <c:f>'Figure 15_16_17 (2)'!$G$4:$G$27</c:f>
              <c:strCache>
                <c:ptCount val="24"/>
                <c:pt idx="0">
                  <c:v>ECU</c:v>
                </c:pt>
                <c:pt idx="1">
                  <c:v>GTM</c:v>
                </c:pt>
                <c:pt idx="2">
                  <c:v>NIC</c:v>
                </c:pt>
                <c:pt idx="3">
                  <c:v>ARG</c:v>
                </c:pt>
                <c:pt idx="4">
                  <c:v>BRA</c:v>
                </c:pt>
                <c:pt idx="5">
                  <c:v>BRB</c:v>
                </c:pt>
                <c:pt idx="6">
                  <c:v>COL</c:v>
                </c:pt>
                <c:pt idx="7">
                  <c:v>CRI</c:v>
                </c:pt>
                <c:pt idx="8">
                  <c:v>SLV</c:v>
                </c:pt>
                <c:pt idx="9">
                  <c:v>HND</c:v>
                </c:pt>
                <c:pt idx="10">
                  <c:v>JAM</c:v>
                </c:pt>
                <c:pt idx="11">
                  <c:v>MEX</c:v>
                </c:pt>
                <c:pt idx="12">
                  <c:v>PRY</c:v>
                </c:pt>
                <c:pt idx="13">
                  <c:v>Caribe</c:v>
                </c:pt>
                <c:pt idx="14">
                  <c:v>LAC</c:v>
                </c:pt>
                <c:pt idx="15">
                  <c:v>LA</c:v>
                </c:pt>
                <c:pt idx="16">
                  <c:v>BHS</c:v>
                </c:pt>
                <c:pt idx="17">
                  <c:v>BOL</c:v>
                </c:pt>
                <c:pt idx="18">
                  <c:v>URY</c:v>
                </c:pt>
                <c:pt idx="19">
                  <c:v>CHL</c:v>
                </c:pt>
                <c:pt idx="20">
                  <c:v>DOM</c:v>
                </c:pt>
                <c:pt idx="21">
                  <c:v>PER</c:v>
                </c:pt>
                <c:pt idx="22">
                  <c:v>PAN</c:v>
                </c:pt>
                <c:pt idx="23">
                  <c:v>VEN</c:v>
                </c:pt>
              </c:strCache>
            </c:strRef>
          </c:cat>
          <c:val>
            <c:numRef>
              <c:f>'Figure 15_16_17 (2)'!$H$4:$H$27</c:f>
              <c:numCache>
                <c:formatCode>0.0</c:formatCode>
                <c:ptCount val="24"/>
                <c:pt idx="0">
                  <c:v>0</c:v>
                </c:pt>
                <c:pt idx="1">
                  <c:v>0</c:v>
                </c:pt>
                <c:pt idx="2">
                  <c:v>0</c:v>
                </c:pt>
                <c:pt idx="3">
                  <c:v>1</c:v>
                </c:pt>
                <c:pt idx="4">
                  <c:v>1</c:v>
                </c:pt>
                <c:pt idx="5">
                  <c:v>1</c:v>
                </c:pt>
                <c:pt idx="6">
                  <c:v>1</c:v>
                </c:pt>
                <c:pt idx="7">
                  <c:v>1</c:v>
                </c:pt>
                <c:pt idx="8">
                  <c:v>1</c:v>
                </c:pt>
                <c:pt idx="9">
                  <c:v>1</c:v>
                </c:pt>
                <c:pt idx="10">
                  <c:v>1</c:v>
                </c:pt>
                <c:pt idx="11">
                  <c:v>1</c:v>
                </c:pt>
                <c:pt idx="12">
                  <c:v>1</c:v>
                </c:pt>
                <c:pt idx="13">
                  <c:v>1.1666666666666667</c:v>
                </c:pt>
                <c:pt idx="14">
                  <c:v>1.3809523809523809</c:v>
                </c:pt>
                <c:pt idx="15">
                  <c:v>1.4166666666666667</c:v>
                </c:pt>
                <c:pt idx="16">
                  <c:v>1.5</c:v>
                </c:pt>
                <c:pt idx="17">
                  <c:v>1.5</c:v>
                </c:pt>
                <c:pt idx="18">
                  <c:v>1.5</c:v>
                </c:pt>
                <c:pt idx="19">
                  <c:v>2</c:v>
                </c:pt>
                <c:pt idx="20">
                  <c:v>2</c:v>
                </c:pt>
                <c:pt idx="21">
                  <c:v>2</c:v>
                </c:pt>
                <c:pt idx="22">
                  <c:v>4</c:v>
                </c:pt>
                <c:pt idx="23">
                  <c:v>4.5</c:v>
                </c:pt>
              </c:numCache>
            </c:numRef>
          </c:val>
          <c:extLst>
            <c:ext xmlns:c16="http://schemas.microsoft.com/office/drawing/2014/chart" uri="{C3380CC4-5D6E-409C-BE32-E72D297353CC}">
              <c16:uniqueId val="{00000009-A685-4BF7-98A7-CBC4C4AC821D}"/>
            </c:ext>
          </c:extLst>
        </c:ser>
        <c:dLbls>
          <c:showLegendKey val="0"/>
          <c:showVal val="0"/>
          <c:showCatName val="0"/>
          <c:showSerName val="0"/>
          <c:showPercent val="0"/>
          <c:showBubbleSize val="0"/>
        </c:dLbls>
        <c:gapWidth val="219"/>
        <c:overlap val="-27"/>
        <c:axId val="237578880"/>
        <c:axId val="237584768"/>
      </c:barChart>
      <c:catAx>
        <c:axId val="237578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vert="horz"/>
          <a:lstStyle/>
          <a:p>
            <a:pPr>
              <a:defRPr/>
            </a:pPr>
            <a:endParaRPr lang="es-DO"/>
          </a:p>
        </c:txPr>
        <c:crossAx val="237584768"/>
        <c:crosses val="autoZero"/>
        <c:auto val="1"/>
        <c:lblAlgn val="ctr"/>
        <c:lblOffset val="100"/>
        <c:noMultiLvlLbl val="0"/>
      </c:catAx>
      <c:valAx>
        <c:axId val="237584768"/>
        <c:scaling>
          <c:orientation val="minMax"/>
          <c:max val="6"/>
        </c:scaling>
        <c:delete val="0"/>
        <c:axPos val="l"/>
        <c:majorGridlines>
          <c:spPr>
            <a:ln w="9525" cap="flat" cmpd="sng" algn="ctr">
              <a:solidFill>
                <a:schemeClr val="tx1">
                  <a:lumMod val="15000"/>
                  <a:lumOff val="85000"/>
                </a:schemeClr>
              </a:solidFill>
              <a:round/>
            </a:ln>
            <a:effectLst/>
          </c:spPr>
        </c:majorGridlines>
        <c:title>
          <c:tx>
            <c:rich>
              <a:bodyPr rot="-5400000" vert="horz"/>
              <a:lstStyle/>
              <a:p>
                <a:pPr>
                  <a:defRPr/>
                </a:pPr>
                <a:r>
                  <a:rPr lang="en-US"/>
                  <a:t>Index values 0 to 6</a:t>
                </a:r>
              </a:p>
            </c:rich>
          </c:tx>
          <c:overlay val="0"/>
        </c:title>
        <c:numFmt formatCode="#,##0" sourceLinked="0"/>
        <c:majorTickMark val="none"/>
        <c:minorTickMark val="none"/>
        <c:tickLblPos val="nextTo"/>
        <c:spPr>
          <a:noFill/>
          <a:ln>
            <a:noFill/>
          </a:ln>
          <a:effectLst/>
        </c:spPr>
        <c:txPr>
          <a:bodyPr rot="-60000000" vert="horz"/>
          <a:lstStyle/>
          <a:p>
            <a:pPr>
              <a:defRPr/>
            </a:pPr>
            <a:endParaRPr lang="es-DO"/>
          </a:p>
        </c:txPr>
        <c:crossAx val="237578880"/>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latin typeface="Arial" panose="020B0604020202020204" pitchFamily="34" charset="0"/>
          <a:cs typeface="Arial" panose="020B0604020202020204" pitchFamily="34" charset="0"/>
        </a:defRPr>
      </a:pPr>
      <a:endParaRPr lang="es-DO"/>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tx>
            <c:strRef>
              <c:f>'Figure 14 (2)'!$O$3</c:f>
              <c:strCache>
                <c:ptCount val="1"/>
                <c:pt idx="0">
                  <c:v> Cost of job security provisions </c:v>
                </c:pt>
              </c:strCache>
            </c:strRef>
          </c:tx>
          <c:spPr>
            <a:ln w="28575" cap="rnd">
              <a:noFill/>
              <a:round/>
            </a:ln>
            <a:effectLst/>
          </c:spPr>
          <c:marker>
            <c:symbol val="circle"/>
            <c:size val="5"/>
            <c:spPr>
              <a:solidFill>
                <a:schemeClr val="accent1"/>
              </a:solidFill>
              <a:ln w="9525">
                <a:solidFill>
                  <a:schemeClr val="accent1"/>
                </a:solidFill>
              </a:ln>
              <a:effectLst/>
            </c:spPr>
          </c:marker>
          <c:dLbls>
            <c:dLbl>
              <c:idx val="0"/>
              <c:tx>
                <c:strRef>
                  <c:f>'Figure 14 (2)'!$A$4</c:f>
                  <c:strCache>
                    <c:ptCount val="1"/>
                    <c:pt idx="0">
                      <c:v> ARG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{82A8258C-658E-4706-93E9-52B55BA93FA4}</c15:txfldGUID>
                      <c15:f>'Figure 14 (2)'!$A$4</c15:f>
                      <c15:dlblFieldTableCache>
                        <c:ptCount val="1"/>
                        <c:pt idx="0">
                          <c:v> ARG </c:v>
                        </c:pt>
                      </c15:dlblFieldTableCache>
                    </c15:dlblFTEntry>
                  </c15:dlblFieldTable>
                  <c15:showDataLabelsRange val="0"/>
                </c:ext>
                <c:ext xmlns:c16="http://schemas.microsoft.com/office/drawing/2014/chart" uri="{C3380CC4-5D6E-409C-BE32-E72D297353CC}">
                  <c16:uniqueId val="{00000000-AF1D-48B1-A5A5-C726035878ED}"/>
                </c:ext>
              </c:extLst>
            </c:dLbl>
            <c:dLbl>
              <c:idx val="1"/>
              <c:tx>
                <c:strRef>
                  <c:f>'Figure 14 (2)'!$A$5</c:f>
                  <c:strCache>
                    <c:ptCount val="1"/>
                    <c:pt idx="0">
                      <c:v> BOL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{3424935C-C2AF-47A9-8747-A6CEFACD56D2}</c15:txfldGUID>
                      <c15:f>'Figure 14 (2)'!$A$5</c15:f>
                      <c15:dlblFieldTableCache>
                        <c:ptCount val="1"/>
                        <c:pt idx="0">
                          <c:v> BOL </c:v>
                        </c:pt>
                      </c15:dlblFieldTableCache>
                    </c15:dlblFTEntry>
                  </c15:dlblFieldTable>
                  <c15:showDataLabelsRange val="0"/>
                </c:ext>
                <c:ext xmlns:c16="http://schemas.microsoft.com/office/drawing/2014/chart" uri="{C3380CC4-5D6E-409C-BE32-E72D297353CC}">
                  <c16:uniqueId val="{00000001-AF1D-48B1-A5A5-C726035878ED}"/>
                </c:ext>
              </c:extLst>
            </c:dLbl>
            <c:dLbl>
              <c:idx val="2"/>
              <c:layout>
                <c:manualLayout>
                  <c:x val="-2.6261712758023817E-2"/>
                  <c:y val="3.3350955629161606E-2"/>
                </c:manualLayout>
              </c:layout>
              <c:tx>
                <c:strRef>
                  <c:f>'Figure 14 (2)'!$A$6</c:f>
                  <c:strCache>
                    <c:ptCount val="1"/>
                    <c:pt idx="0">
                      <c:v> BRA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{CC31E64F-CBA0-4A35-B7CA-4817DD3F750E}</c15:txfldGUID>
                      <c15:f>'Figure 14 (2)'!$A$6</c15:f>
                      <c15:dlblFieldTableCache>
                        <c:ptCount val="1"/>
                        <c:pt idx="0">
                          <c:v> BRA </c:v>
                        </c:pt>
                      </c15:dlblFieldTableCache>
                    </c15:dlblFTEntry>
                  </c15:dlblFieldTable>
                  <c15:showDataLabelsRange val="0"/>
                </c:ext>
                <c:ext xmlns:c16="http://schemas.microsoft.com/office/drawing/2014/chart" uri="{C3380CC4-5D6E-409C-BE32-E72D297353CC}">
                  <c16:uniqueId val="{00000002-AF1D-48B1-A5A5-C726035878ED}"/>
                </c:ext>
              </c:extLst>
            </c:dLbl>
            <c:dLbl>
              <c:idx val="3"/>
              <c:tx>
                <c:strRef>
                  <c:f>'Figure 14 (2)'!$A$7</c:f>
                  <c:strCache>
                    <c:ptCount val="1"/>
                    <c:pt idx="0">
                      <c:v> CHL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{01E41068-9DBE-4DF3-A23A-821D1DCF2CD7}</c15:txfldGUID>
                      <c15:f>'Figure 14 (2)'!$A$7</c15:f>
                      <c15:dlblFieldTableCache>
                        <c:ptCount val="1"/>
                        <c:pt idx="0">
                          <c:v> CHL </c:v>
                        </c:pt>
                      </c15:dlblFieldTableCache>
                    </c15:dlblFTEntry>
                  </c15:dlblFieldTable>
                  <c15:showDataLabelsRange val="0"/>
                </c:ext>
                <c:ext xmlns:c16="http://schemas.microsoft.com/office/drawing/2014/chart" uri="{C3380CC4-5D6E-409C-BE32-E72D297353CC}">
                  <c16:uniqueId val="{00000003-AF1D-48B1-A5A5-C726035878ED}"/>
                </c:ext>
              </c:extLst>
            </c:dLbl>
            <c:dLbl>
              <c:idx val="4"/>
              <c:layout>
                <c:manualLayout>
                  <c:x val="-3.6721437971729824E-2"/>
                  <c:y val="2.9837562269364334E-2"/>
                </c:manualLayout>
              </c:layout>
              <c:tx>
                <c:strRef>
                  <c:f>'Figure 14 (2)'!$A$8</c:f>
                  <c:strCache>
                    <c:ptCount val="1"/>
                    <c:pt idx="0">
                      <c:v> COL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{FAC180F1-1542-4E07-A3B3-71F81FCC9A42}</c15:txfldGUID>
                      <c15:f>'Figure 14 (2)'!$A$8</c15:f>
                      <c15:dlblFieldTableCache>
                        <c:ptCount val="1"/>
                        <c:pt idx="0">
                          <c:v> COL </c:v>
                        </c:pt>
                      </c15:dlblFieldTableCache>
                    </c15:dlblFTEntry>
                  </c15:dlblFieldTable>
                  <c15:showDataLabelsRange val="0"/>
                </c:ext>
                <c:ext xmlns:c16="http://schemas.microsoft.com/office/drawing/2014/chart" uri="{C3380CC4-5D6E-409C-BE32-E72D297353CC}">
                  <c16:uniqueId val="{00000004-AF1D-48B1-A5A5-C726035878ED}"/>
                </c:ext>
              </c:extLst>
            </c:dLbl>
            <c:dLbl>
              <c:idx val="5"/>
              <c:layout>
                <c:manualLayout>
                  <c:x val="-5.7969295567485944E-2"/>
                  <c:y val="1.7304153909866707E-3"/>
                </c:manualLayout>
              </c:layout>
              <c:tx>
                <c:strRef>
                  <c:f>'Figure 14 (2)'!$A$9</c:f>
                  <c:strCache>
                    <c:ptCount val="1"/>
                    <c:pt idx="0">
                      <c:v> CRI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{C546E6EE-FCF0-4001-93FC-4B48F541715D}</c15:txfldGUID>
                      <c15:f>'Figure 14 (2)'!$A$9</c15:f>
                      <c15:dlblFieldTableCache>
                        <c:ptCount val="1"/>
                        <c:pt idx="0">
                          <c:v> CRI </c:v>
                        </c:pt>
                      </c15:dlblFieldTableCache>
                    </c15:dlblFTEntry>
                  </c15:dlblFieldTable>
                  <c15:showDataLabelsRange val="0"/>
                </c:ext>
                <c:ext xmlns:c16="http://schemas.microsoft.com/office/drawing/2014/chart" uri="{C3380CC4-5D6E-409C-BE32-E72D297353CC}">
                  <c16:uniqueId val="{00000005-AF1D-48B1-A5A5-C726035878ED}"/>
                </c:ext>
              </c:extLst>
            </c:dLbl>
            <c:dLbl>
              <c:idx val="6"/>
              <c:layout>
                <c:manualLayout>
                  <c:x val="-3.9616937604017154E-2"/>
                  <c:y val="2.98375622693644E-2"/>
                </c:manualLayout>
              </c:layout>
              <c:tx>
                <c:strRef>
                  <c:f>'Figure 14 (2)'!$A$10</c:f>
                  <c:strCache>
                    <c:ptCount val="1"/>
                    <c:pt idx="0">
                      <c:v> DOM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{4D4CACBF-827E-43BD-A8DC-BE227E1E0887}</c15:txfldGUID>
                      <c15:f>'Figure 14 (2)'!$A$10</c15:f>
                      <c15:dlblFieldTableCache>
                        <c:ptCount val="1"/>
                        <c:pt idx="0">
                          <c:v> DOM </c:v>
                        </c:pt>
                      </c15:dlblFieldTableCache>
                    </c15:dlblFTEntry>
                  </c15:dlblFieldTable>
                  <c15:showDataLabelsRange val="0"/>
                </c:ext>
                <c:ext xmlns:c16="http://schemas.microsoft.com/office/drawing/2014/chart" uri="{C3380CC4-5D6E-409C-BE32-E72D297353CC}">
                  <c16:uniqueId val="{00000006-AF1D-48B1-A5A5-C726035878ED}"/>
                </c:ext>
              </c:extLst>
            </c:dLbl>
            <c:dLbl>
              <c:idx val="7"/>
              <c:layout>
                <c:manualLayout>
                  <c:x val="-2.1566266015668497E-3"/>
                  <c:y val="5.2438087507838786E-3"/>
                </c:manualLayout>
              </c:layout>
              <c:tx>
                <c:strRef>
                  <c:f>'Figure 14 (2)'!$A$11</c:f>
                  <c:strCache>
                    <c:ptCount val="1"/>
                    <c:pt idx="0">
                      <c:v> ECU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{F97AF92E-378D-4FAD-B361-F2ABD45AF1F1}</c15:txfldGUID>
                      <c15:f>'Figure 14 (2)'!$A$11</c15:f>
                      <c15:dlblFieldTableCache>
                        <c:ptCount val="1"/>
                        <c:pt idx="0">
                          <c:v> ECU </c:v>
                        </c:pt>
                      </c15:dlblFieldTableCache>
                    </c15:dlblFTEntry>
                  </c15:dlblFieldTable>
                  <c15:showDataLabelsRange val="0"/>
                </c:ext>
                <c:ext xmlns:c16="http://schemas.microsoft.com/office/drawing/2014/chart" uri="{C3380CC4-5D6E-409C-BE32-E72D297353CC}">
                  <c16:uniqueId val="{00000007-AF1D-48B1-A5A5-C726035878ED}"/>
                </c:ext>
              </c:extLst>
            </c:dLbl>
            <c:dLbl>
              <c:idx val="8"/>
              <c:layout>
                <c:manualLayout>
                  <c:x val="-5.9945255128409869E-2"/>
                  <c:y val="-3.6916911566782618E-2"/>
                </c:manualLayout>
              </c:layout>
              <c:tx>
                <c:strRef>
                  <c:f>'Figure 14 (2)'!$A$12</c:f>
                  <c:strCache>
                    <c:ptCount val="1"/>
                    <c:pt idx="0">
                      <c:v> GTM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{B1318234-0C50-440C-B80E-F316D71EEB2B}</c15:txfldGUID>
                      <c15:f>'Figure 14 (2)'!$A$12</c15:f>
                      <c15:dlblFieldTableCache>
                        <c:ptCount val="1"/>
                        <c:pt idx="0">
                          <c:v> GTM </c:v>
                        </c:pt>
                      </c15:dlblFieldTableCache>
                    </c15:dlblFTEntry>
                  </c15:dlblFieldTable>
                  <c15:showDataLabelsRange val="0"/>
                </c:ext>
                <c:ext xmlns:c16="http://schemas.microsoft.com/office/drawing/2014/chart" uri="{C3380CC4-5D6E-409C-BE32-E72D297353CC}">
                  <c16:uniqueId val="{00000008-AF1D-48B1-A5A5-C726035878ED}"/>
                </c:ext>
              </c:extLst>
            </c:dLbl>
            <c:dLbl>
              <c:idx val="9"/>
              <c:layout>
                <c:manualLayout>
                  <c:x val="-2.4028544013283856E-2"/>
                  <c:y val="3.6864348988958816E-2"/>
                </c:manualLayout>
              </c:layout>
              <c:tx>
                <c:strRef>
                  <c:f>'Figure 14 (2)'!$A$13</c:f>
                  <c:strCache>
                    <c:ptCount val="1"/>
                    <c:pt idx="0">
                      <c:v> HND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{AF697CDD-A1BA-4FF1-8A62-357A111A0FE7}</c15:txfldGUID>
                      <c15:f>'Figure 14 (2)'!$A$13</c15:f>
                      <c15:dlblFieldTableCache>
                        <c:ptCount val="1"/>
                        <c:pt idx="0">
                          <c:v> HND </c:v>
                        </c:pt>
                      </c15:dlblFieldTableCache>
                    </c15:dlblFTEntry>
                  </c15:dlblFieldTable>
                  <c15:showDataLabelsRange val="0"/>
                </c:ext>
                <c:ext xmlns:c16="http://schemas.microsoft.com/office/drawing/2014/chart" uri="{C3380CC4-5D6E-409C-BE32-E72D297353CC}">
                  <c16:uniqueId val="{00000009-AF1D-48B1-A5A5-C726035878ED}"/>
                </c:ext>
              </c:extLst>
            </c:dLbl>
            <c:dLbl>
              <c:idx val="10"/>
              <c:tx>
                <c:strRef>
                  <c:f>'Figure 14 (2)'!$A$14</c:f>
                  <c:strCache>
                    <c:ptCount val="1"/>
                    <c:pt idx="0">
                      <c:v> JAM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{3FB1EBC9-75CF-4292-BEFD-A7519EF94D1A}</c15:txfldGUID>
                      <c15:f>'Figure 14 (2)'!$A$14</c15:f>
                      <c15:dlblFieldTableCache>
                        <c:ptCount val="1"/>
                        <c:pt idx="0">
                          <c:v> JAM </c:v>
                        </c:pt>
                      </c15:dlblFieldTableCache>
                    </c15:dlblFTEntry>
                  </c15:dlblFieldTable>
                  <c15:showDataLabelsRange val="0"/>
                </c:ext>
                <c:ext xmlns:c16="http://schemas.microsoft.com/office/drawing/2014/chart" uri="{C3380CC4-5D6E-409C-BE32-E72D297353CC}">
                  <c16:uniqueId val="{0000000A-AF1D-48B1-A5A5-C726035878ED}"/>
                </c:ext>
              </c:extLst>
            </c:dLbl>
            <c:dLbl>
              <c:idx val="11"/>
              <c:layout>
                <c:manualLayout>
                  <c:x val="-6.1039945689556868E-2"/>
                  <c:y val="-2.9890124847188202E-2"/>
                </c:manualLayout>
              </c:layout>
              <c:tx>
                <c:strRef>
                  <c:f>'Figure 14 (2)'!$A$15</c:f>
                  <c:strCache>
                    <c:ptCount val="1"/>
                    <c:pt idx="0">
                      <c:v> MEX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{343F0E6B-FCFB-43E1-93A7-9A530E2BA72F}</c15:txfldGUID>
                      <c15:f>'Figure 14 (2)'!$A$15</c15:f>
                      <c15:dlblFieldTableCache>
                        <c:ptCount val="1"/>
                        <c:pt idx="0">
                          <c:v> MEX </c:v>
                        </c:pt>
                      </c15:dlblFieldTableCache>
                    </c15:dlblFTEntry>
                  </c15:dlblFieldTable>
                  <c15:showDataLabelsRange val="0"/>
                </c:ext>
                <c:ext xmlns:c16="http://schemas.microsoft.com/office/drawing/2014/chart" uri="{C3380CC4-5D6E-409C-BE32-E72D297353CC}">
                  <c16:uniqueId val="{0000000B-AF1D-48B1-A5A5-C726035878ED}"/>
                </c:ext>
              </c:extLst>
            </c:dLbl>
            <c:dLbl>
              <c:idx val="12"/>
              <c:tx>
                <c:strRef>
                  <c:f>'Figure 14 (2)'!$A$16</c:f>
                  <c:strCache>
                    <c:ptCount val="1"/>
                    <c:pt idx="0">
                      <c:v> NIC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{E20B14DD-CB9D-4A37-BD36-4550D3570B8A}</c15:txfldGUID>
                      <c15:f>'Figure 14 (2)'!$A$16</c15:f>
                      <c15:dlblFieldTableCache>
                        <c:ptCount val="1"/>
                        <c:pt idx="0">
                          <c:v> NIC </c:v>
                        </c:pt>
                      </c15:dlblFieldTableCache>
                    </c15:dlblFTEntry>
                  </c15:dlblFieldTable>
                  <c15:showDataLabelsRange val="0"/>
                </c:ext>
                <c:ext xmlns:c16="http://schemas.microsoft.com/office/drawing/2014/chart" uri="{C3380CC4-5D6E-409C-BE32-E72D297353CC}">
                  <c16:uniqueId val="{0000000C-AF1D-48B1-A5A5-C726035878ED}"/>
                </c:ext>
              </c:extLst>
            </c:dLbl>
            <c:dLbl>
              <c:idx val="13"/>
              <c:tx>
                <c:strRef>
                  <c:f>'Figure 14 (2)'!$A$17</c:f>
                  <c:strCache>
                    <c:ptCount val="1"/>
                    <c:pt idx="0">
                      <c:v> PAN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{4021A8D7-1226-4546-96EA-4FD2BFE52227}</c15:txfldGUID>
                      <c15:f>'Figure 14 (2)'!$A$17</c15:f>
                      <c15:dlblFieldTableCache>
                        <c:ptCount val="1"/>
                        <c:pt idx="0">
                          <c:v> PAN </c:v>
                        </c:pt>
                      </c15:dlblFieldTableCache>
                    </c15:dlblFTEntry>
                  </c15:dlblFieldTable>
                  <c15:showDataLabelsRange val="0"/>
                </c:ext>
                <c:ext xmlns:c16="http://schemas.microsoft.com/office/drawing/2014/chart" uri="{C3380CC4-5D6E-409C-BE32-E72D297353CC}">
                  <c16:uniqueId val="{0000000D-AF1D-48B1-A5A5-C726035878ED}"/>
                </c:ext>
              </c:extLst>
            </c:dLbl>
            <c:dLbl>
              <c:idx val="14"/>
              <c:tx>
                <c:strRef>
                  <c:f>'Figure 14 (2)'!$A$18</c:f>
                  <c:strCache>
                    <c:ptCount val="1"/>
                    <c:pt idx="0">
                      <c:v> PER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{95EA0794-2A81-4FD1-9CF8-0B3C8218E666}</c15:txfldGUID>
                      <c15:f>'Figure 14 (2)'!$A$18</c15:f>
                      <c15:dlblFieldTableCache>
                        <c:ptCount val="1"/>
                        <c:pt idx="0">
                          <c:v> PER </c:v>
                        </c:pt>
                      </c15:dlblFieldTableCache>
                    </c15:dlblFTEntry>
                  </c15:dlblFieldTable>
                  <c15:showDataLabelsRange val="0"/>
                </c:ext>
                <c:ext xmlns:c16="http://schemas.microsoft.com/office/drawing/2014/chart" uri="{C3380CC4-5D6E-409C-BE32-E72D297353CC}">
                  <c16:uniqueId val="{0000000E-AF1D-48B1-A5A5-C726035878ED}"/>
                </c:ext>
              </c:extLst>
            </c:dLbl>
            <c:dLbl>
              <c:idx val="15"/>
              <c:layout>
                <c:manualLayout>
                  <c:x val="-2.7279688783783271E-2"/>
                  <c:y val="3.3350955629161606E-2"/>
                </c:manualLayout>
              </c:layout>
              <c:tx>
                <c:strRef>
                  <c:f>'Figure 14 (2)'!$A$19</c:f>
                  <c:strCache>
                    <c:ptCount val="1"/>
                    <c:pt idx="0">
                      <c:v> PRY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{6C906026-4679-4BBB-9191-729342F51774}</c15:txfldGUID>
                      <c15:f>'Figure 14 (2)'!$A$19</c15:f>
                      <c15:dlblFieldTableCache>
                        <c:ptCount val="1"/>
                        <c:pt idx="0">
                          <c:v> PRY </c:v>
                        </c:pt>
                      </c15:dlblFieldTableCache>
                    </c15:dlblFTEntry>
                  </c15:dlblFieldTable>
                  <c15:showDataLabelsRange val="0"/>
                </c:ext>
                <c:ext xmlns:c16="http://schemas.microsoft.com/office/drawing/2014/chart" uri="{C3380CC4-5D6E-409C-BE32-E72D297353CC}">
                  <c16:uniqueId val="{0000000F-AF1D-48B1-A5A5-C726035878ED}"/>
                </c:ext>
              </c:extLst>
            </c:dLbl>
            <c:dLbl>
              <c:idx val="16"/>
              <c:layout>
                <c:manualLayout>
                  <c:x val="-5.0383176174844321E-2"/>
                  <c:y val="-3.6916911566782618E-2"/>
                </c:manualLayout>
              </c:layout>
              <c:tx>
                <c:strRef>
                  <c:f>'Figure 14 (2)'!$A$20</c:f>
                  <c:strCache>
                    <c:ptCount val="1"/>
                    <c:pt idx="0">
                      <c:v> SLV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{C98AEB91-9E17-4CD7-A8B2-C2B563906849}</c15:txfldGUID>
                      <c15:f>'Figure 14 (2)'!$A$20</c15:f>
                      <c15:dlblFieldTableCache>
                        <c:ptCount val="1"/>
                        <c:pt idx="0">
                          <c:v> SLV </c:v>
                        </c:pt>
                      </c15:dlblFieldTableCache>
                    </c15:dlblFTEntry>
                  </c15:dlblFieldTable>
                  <c15:showDataLabelsRange val="0"/>
                </c:ext>
                <c:ext xmlns:c16="http://schemas.microsoft.com/office/drawing/2014/chart" uri="{C3380CC4-5D6E-409C-BE32-E72D297353CC}">
                  <c16:uniqueId val="{00000010-AF1D-48B1-A5A5-C726035878ED}"/>
                </c:ext>
              </c:extLst>
            </c:dLbl>
            <c:dLbl>
              <c:idx val="17"/>
              <c:layout>
                <c:manualLayout>
                  <c:x val="-5.9162594475243351E-2"/>
                  <c:y val="1.9297382189972744E-2"/>
                </c:manualLayout>
              </c:layout>
              <c:tx>
                <c:strRef>
                  <c:f>'Figure 14 (2)'!$A$21</c:f>
                  <c:strCache>
                    <c:ptCount val="1"/>
                    <c:pt idx="0">
                      <c:v> URY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{D9B39665-BE63-49D9-A72D-91E385F66817}</c15:txfldGUID>
                      <c15:f>'Figure 14 (2)'!$A$21</c15:f>
                      <c15:dlblFieldTableCache>
                        <c:ptCount val="1"/>
                        <c:pt idx="0">
                          <c:v> URY </c:v>
                        </c:pt>
                      </c15:dlblFieldTableCache>
                    </c15:dlblFTEntry>
                  </c15:dlblFieldTable>
                  <c15:showDataLabelsRange val="0"/>
                </c:ext>
                <c:ext xmlns:c16="http://schemas.microsoft.com/office/drawing/2014/chart" uri="{C3380CC4-5D6E-409C-BE32-E72D297353CC}">
                  <c16:uniqueId val="{00000011-AF1D-48B1-A5A5-C726035878ED}"/>
                </c:ext>
              </c:extLst>
            </c:dLbl>
            <c:dLbl>
              <c:idx val="18"/>
              <c:tx>
                <c:strRef>
                  <c:f>'Figure 14 (2)'!$A$22</c:f>
                  <c:strCache>
                    <c:ptCount val="1"/>
                    <c:pt idx="0">
                      <c:v> VEN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{8AC1C035-7DBA-4FB3-9390-F98868837B42}</c15:txfldGUID>
                      <c15:f>'Figure 14 (2)'!$A$22</c15:f>
                      <c15:dlblFieldTableCache>
                        <c:ptCount val="1"/>
                        <c:pt idx="0">
                          <c:v> VEN </c:v>
                        </c:pt>
                      </c15:dlblFieldTableCache>
                    </c15:dlblFTEntry>
                  </c15:dlblFieldTable>
                  <c15:showDataLabelsRange val="0"/>
                </c:ext>
                <c:ext xmlns:c16="http://schemas.microsoft.com/office/drawing/2014/chart" uri="{C3380CC4-5D6E-409C-BE32-E72D297353CC}">
                  <c16:uniqueId val="{00000012-AF1D-48B1-A5A5-C726035878ED}"/>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D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 14 (2)'!$J$4:$J$22</c:f>
              <c:numCache>
                <c:formatCode>_(* #,##0.00_);_(* \(#,##0.00\);_(* "-"??_);_(@_)</c:formatCode>
                <c:ptCount val="19"/>
                <c:pt idx="0">
                  <c:v>2.12</c:v>
                </c:pt>
                <c:pt idx="1">
                  <c:v>2.71</c:v>
                </c:pt>
                <c:pt idx="2">
                  <c:v>1.8920634920634922</c:v>
                </c:pt>
                <c:pt idx="3">
                  <c:v>2.5299999999999998</c:v>
                </c:pt>
                <c:pt idx="4">
                  <c:v>1.67</c:v>
                </c:pt>
                <c:pt idx="5">
                  <c:v>1.68</c:v>
                </c:pt>
                <c:pt idx="6">
                  <c:v>1.96</c:v>
                </c:pt>
                <c:pt idx="7">
                  <c:v>2.1</c:v>
                </c:pt>
                <c:pt idx="8">
                  <c:v>1.42</c:v>
                </c:pt>
                <c:pt idx="9">
                  <c:v>2.0699999999999998</c:v>
                </c:pt>
                <c:pt idx="10">
                  <c:v>1.63</c:v>
                </c:pt>
                <c:pt idx="11">
                  <c:v>1.91</c:v>
                </c:pt>
                <c:pt idx="12">
                  <c:v>1.37</c:v>
                </c:pt>
                <c:pt idx="13">
                  <c:v>2.4300000000000002</c:v>
                </c:pt>
                <c:pt idx="14">
                  <c:v>1.6</c:v>
                </c:pt>
                <c:pt idx="15">
                  <c:v>1.9</c:v>
                </c:pt>
                <c:pt idx="16">
                  <c:v>1.7</c:v>
                </c:pt>
                <c:pt idx="17">
                  <c:v>1.93</c:v>
                </c:pt>
                <c:pt idx="18">
                  <c:v>3.5</c:v>
                </c:pt>
              </c:numCache>
            </c:numRef>
          </c:xVal>
          <c:yVal>
            <c:numRef>
              <c:f>'Figure 14 (2)'!$T$4:$T$22</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c:ext xmlns:c16="http://schemas.microsoft.com/office/drawing/2014/chart" uri="{C3380CC4-5D6E-409C-BE32-E72D297353CC}">
              <c16:uniqueId val="{00000015-AF1D-48B1-A5A5-C726035878ED}"/>
            </c:ext>
          </c:extLst>
        </c:ser>
        <c:dLbls>
          <c:showLegendKey val="0"/>
          <c:showVal val="0"/>
          <c:showCatName val="0"/>
          <c:showSerName val="0"/>
          <c:showPercent val="0"/>
          <c:showBubbleSize val="0"/>
        </c:dLbls>
        <c:axId val="236138496"/>
        <c:axId val="236140416"/>
      </c:scatterChart>
      <c:valAx>
        <c:axId val="236138496"/>
        <c:scaling>
          <c:orientation val="minMax"/>
          <c:min val="1"/>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EPR Indicator-individual dismissals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title>
        <c:numFmt formatCode="_(* #,##0.00_);_(* \(#,##0.00\);_(* &quot;-&quot;??_);_(@_)"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140416"/>
        <c:crosses val="autoZero"/>
        <c:crossBetween val="midCat"/>
      </c:valAx>
      <c:valAx>
        <c:axId val="236140416"/>
        <c:scaling>
          <c:orientation val="minMax"/>
          <c:min val="4.0000000000000008E-2"/>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s-ES"/>
                  <a:t>Cost of job security provisions as % of the annual wage of formal workers</a:t>
                </a:r>
              </a:p>
            </c:rich>
          </c:tx>
          <c:layout>
            <c:manualLayout>
              <c:xMode val="edge"/>
              <c:yMode val="edge"/>
              <c:x val="6.5681433668820077E-3"/>
              <c:y val="8.5861800810514935E-2"/>
            </c:manualLayout>
          </c:layout>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1384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8575" cap="rnd">
              <a:noFill/>
              <a:round/>
            </a:ln>
            <a:effectLst/>
          </c:spPr>
          <c:marker>
            <c:symbol val="circle"/>
            <c:size val="5"/>
            <c:spPr>
              <a:solidFill>
                <a:schemeClr val="accent2">
                  <a:lumMod val="75000"/>
                </a:schemeClr>
              </a:solidFill>
              <a:ln w="9525">
                <a:solidFill>
                  <a:schemeClr val="accent2">
                    <a:lumMod val="50000"/>
                  </a:schemeClr>
                </a:solidFill>
              </a:ln>
              <a:effectLst/>
            </c:spPr>
          </c:marker>
          <c:dLbls>
            <c:dLbl>
              <c:idx val="0"/>
              <c:layout>
                <c:manualLayout>
                  <c:x val="-4.597700356817401E-2"/>
                  <c:y val="-4.5472982961186327E-2"/>
                </c:manualLayout>
              </c:layout>
              <c:tx>
                <c:strRef>
                  <c:f>'Figure 14 (2)'!$A$4</c:f>
                  <c:strCache>
                    <c:ptCount val="1"/>
                    <c:pt idx="0">
                      <c:v> ARG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{E33F8D93-CF09-4E2C-9315-F9D70EB2DC92}</c15:txfldGUID>
                      <c15:f>'Figure 14 (2)'!$A$4</c15:f>
                      <c15:dlblFieldTableCache>
                        <c:ptCount val="1"/>
                        <c:pt idx="0">
                          <c:v> ARG </c:v>
                        </c:pt>
                      </c15:dlblFieldTableCache>
                    </c15:dlblFTEntry>
                  </c15:dlblFieldTable>
                  <c15:showDataLabelsRange val="0"/>
                </c:ext>
                <c:ext xmlns:c16="http://schemas.microsoft.com/office/drawing/2014/chart" uri="{C3380CC4-5D6E-409C-BE32-E72D297353CC}">
                  <c16:uniqueId val="{00000000-D75C-4223-AD9E-CE7F0C2710C8}"/>
                </c:ext>
              </c:extLst>
            </c:dLbl>
            <c:dLbl>
              <c:idx val="1"/>
              <c:tx>
                <c:strRef>
                  <c:f>'Figure 14 (2)'!$A$5</c:f>
                  <c:strCache>
                    <c:ptCount val="1"/>
                    <c:pt idx="0">
                      <c:v> BOL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{2F114E26-3AA0-4A76-A280-BAD00C18F268}</c15:txfldGUID>
                      <c15:f>'Figure 14 (2)'!$A$5</c15:f>
                      <c15:dlblFieldTableCache>
                        <c:ptCount val="1"/>
                        <c:pt idx="0">
                          <c:v> BOL </c:v>
                        </c:pt>
                      </c15:dlblFieldTableCache>
                    </c15:dlblFTEntry>
                  </c15:dlblFieldTable>
                  <c15:showDataLabelsRange val="0"/>
                </c:ext>
                <c:ext xmlns:c16="http://schemas.microsoft.com/office/drawing/2014/chart" uri="{C3380CC4-5D6E-409C-BE32-E72D297353CC}">
                  <c16:uniqueId val="{00000001-D75C-4223-AD9E-CE7F0C2710C8}"/>
                </c:ext>
              </c:extLst>
            </c:dLbl>
            <c:dLbl>
              <c:idx val="2"/>
              <c:tx>
                <c:strRef>
                  <c:f>'Figure 14 (2)'!$A$6</c:f>
                  <c:strCache>
                    <c:ptCount val="1"/>
                    <c:pt idx="0">
                      <c:v> BRA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{6DF680A1-719D-4FB6-B48E-C145807B573D}</c15:txfldGUID>
                      <c15:f>'Figure 14 (2)'!$A$6</c15:f>
                      <c15:dlblFieldTableCache>
                        <c:ptCount val="1"/>
                        <c:pt idx="0">
                          <c:v> BRA </c:v>
                        </c:pt>
                      </c15:dlblFieldTableCache>
                    </c15:dlblFTEntry>
                  </c15:dlblFieldTable>
                  <c15:showDataLabelsRange val="0"/>
                </c:ext>
                <c:ext xmlns:c16="http://schemas.microsoft.com/office/drawing/2014/chart" uri="{C3380CC4-5D6E-409C-BE32-E72D297353CC}">
                  <c16:uniqueId val="{00000002-D75C-4223-AD9E-CE7F0C2710C8}"/>
                </c:ext>
              </c:extLst>
            </c:dLbl>
            <c:dLbl>
              <c:idx val="3"/>
              <c:tx>
                <c:strRef>
                  <c:f>'Figure 14 (2)'!$A$7</c:f>
                  <c:strCache>
                    <c:ptCount val="1"/>
                    <c:pt idx="0">
                      <c:v> CHL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{5A78B2A9-AABB-45A6-A5E3-349B723CA514}</c15:txfldGUID>
                      <c15:f>'Figure 14 (2)'!$A$7</c15:f>
                      <c15:dlblFieldTableCache>
                        <c:ptCount val="1"/>
                        <c:pt idx="0">
                          <c:v> CHL </c:v>
                        </c:pt>
                      </c15:dlblFieldTableCache>
                    </c15:dlblFTEntry>
                  </c15:dlblFieldTable>
                  <c15:showDataLabelsRange val="0"/>
                </c:ext>
                <c:ext xmlns:c16="http://schemas.microsoft.com/office/drawing/2014/chart" uri="{C3380CC4-5D6E-409C-BE32-E72D297353CC}">
                  <c16:uniqueId val="{00000003-D75C-4223-AD9E-CE7F0C2710C8}"/>
                </c:ext>
              </c:extLst>
            </c:dLbl>
            <c:dLbl>
              <c:idx val="4"/>
              <c:tx>
                <c:strRef>
                  <c:f>'Figure 14 (2)'!$A$8</c:f>
                  <c:strCache>
                    <c:ptCount val="1"/>
                    <c:pt idx="0">
                      <c:v> COL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{B1E3F112-BDFB-4F65-8CF5-F961CDF6F8D2}</c15:txfldGUID>
                      <c15:f>'Figure 14 (2)'!$A$8</c15:f>
                      <c15:dlblFieldTableCache>
                        <c:ptCount val="1"/>
                        <c:pt idx="0">
                          <c:v> COL </c:v>
                        </c:pt>
                      </c15:dlblFieldTableCache>
                    </c15:dlblFTEntry>
                  </c15:dlblFieldTable>
                  <c15:showDataLabelsRange val="0"/>
                </c:ext>
                <c:ext xmlns:c16="http://schemas.microsoft.com/office/drawing/2014/chart" uri="{C3380CC4-5D6E-409C-BE32-E72D297353CC}">
                  <c16:uniqueId val="{00000004-D75C-4223-AD9E-CE7F0C2710C8}"/>
                </c:ext>
              </c:extLst>
            </c:dLbl>
            <c:dLbl>
              <c:idx val="5"/>
              <c:tx>
                <c:strRef>
                  <c:f>'Figure 14 (2)'!$A$9</c:f>
                  <c:strCache>
                    <c:ptCount val="1"/>
                    <c:pt idx="0">
                      <c:v> CRI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{F94D723B-0319-4C28-8C22-62311F2704C4}</c15:txfldGUID>
                      <c15:f>'Figure 14 (2)'!$A$9</c15:f>
                      <c15:dlblFieldTableCache>
                        <c:ptCount val="1"/>
                        <c:pt idx="0">
                          <c:v> CRI </c:v>
                        </c:pt>
                      </c15:dlblFieldTableCache>
                    </c15:dlblFTEntry>
                  </c15:dlblFieldTable>
                  <c15:showDataLabelsRange val="0"/>
                </c:ext>
                <c:ext xmlns:c16="http://schemas.microsoft.com/office/drawing/2014/chart" uri="{C3380CC4-5D6E-409C-BE32-E72D297353CC}">
                  <c16:uniqueId val="{00000005-D75C-4223-AD9E-CE7F0C2710C8}"/>
                </c:ext>
              </c:extLst>
            </c:dLbl>
            <c:dLbl>
              <c:idx val="6"/>
              <c:tx>
                <c:strRef>
                  <c:f>'Figure 14 (2)'!$A$10</c:f>
                  <c:strCache>
                    <c:ptCount val="1"/>
                    <c:pt idx="0">
                      <c:v> DOM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{B4E43C00-2CCD-4304-866C-E5422026670B}</c15:txfldGUID>
                      <c15:f>'Figure 14 (2)'!$A$10</c15:f>
                      <c15:dlblFieldTableCache>
                        <c:ptCount val="1"/>
                        <c:pt idx="0">
                          <c:v> DOM </c:v>
                        </c:pt>
                      </c15:dlblFieldTableCache>
                    </c15:dlblFTEntry>
                  </c15:dlblFieldTable>
                  <c15:showDataLabelsRange val="0"/>
                </c:ext>
                <c:ext xmlns:c16="http://schemas.microsoft.com/office/drawing/2014/chart" uri="{C3380CC4-5D6E-409C-BE32-E72D297353CC}">
                  <c16:uniqueId val="{00000006-D75C-4223-AD9E-CE7F0C2710C8}"/>
                </c:ext>
              </c:extLst>
            </c:dLbl>
            <c:dLbl>
              <c:idx val="7"/>
              <c:tx>
                <c:strRef>
                  <c:f>'Figure 14 (2)'!$A$11</c:f>
                  <c:strCache>
                    <c:ptCount val="1"/>
                    <c:pt idx="0">
                      <c:v> ECU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{C7248098-7A3D-445F-ADB6-8AA64203887E}</c15:txfldGUID>
                      <c15:f>'Figure 14 (2)'!$A$11</c15:f>
                      <c15:dlblFieldTableCache>
                        <c:ptCount val="1"/>
                        <c:pt idx="0">
                          <c:v> ECU </c:v>
                        </c:pt>
                      </c15:dlblFieldTableCache>
                    </c15:dlblFTEntry>
                  </c15:dlblFieldTable>
                  <c15:showDataLabelsRange val="0"/>
                </c:ext>
                <c:ext xmlns:c16="http://schemas.microsoft.com/office/drawing/2014/chart" uri="{C3380CC4-5D6E-409C-BE32-E72D297353CC}">
                  <c16:uniqueId val="{00000007-D75C-4223-AD9E-CE7F0C2710C8}"/>
                </c:ext>
              </c:extLst>
            </c:dLbl>
            <c:dLbl>
              <c:idx val="8"/>
              <c:layout>
                <c:manualLayout>
                  <c:x val="-6.5681433668819877E-3"/>
                  <c:y val="-3.5728772326646403E-2"/>
                </c:manualLayout>
              </c:layout>
              <c:tx>
                <c:strRef>
                  <c:f>'Figure 14 (2)'!$A$12</c:f>
                  <c:strCache>
                    <c:ptCount val="1"/>
                    <c:pt idx="0">
                      <c:v> GTM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{E5D4A5A0-2A4E-4B09-B6B1-A5203B2CF5B3}</c15:txfldGUID>
                      <c15:f>'Figure 14 (2)'!$A$12</c15:f>
                      <c15:dlblFieldTableCache>
                        <c:ptCount val="1"/>
                        <c:pt idx="0">
                          <c:v> GTM </c:v>
                        </c:pt>
                      </c15:dlblFieldTableCache>
                    </c15:dlblFTEntry>
                  </c15:dlblFieldTable>
                  <c15:showDataLabelsRange val="0"/>
                </c:ext>
                <c:ext xmlns:c16="http://schemas.microsoft.com/office/drawing/2014/chart" uri="{C3380CC4-5D6E-409C-BE32-E72D297353CC}">
                  <c16:uniqueId val="{00000008-D75C-4223-AD9E-CE7F0C2710C8}"/>
                </c:ext>
              </c:extLst>
            </c:dLbl>
            <c:dLbl>
              <c:idx val="9"/>
              <c:tx>
                <c:strRef>
                  <c:f>'Figure 14 (2)'!$A$13</c:f>
                  <c:strCache>
                    <c:ptCount val="1"/>
                    <c:pt idx="0">
                      <c:v> HND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{ED14B8A4-0512-483C-AF18-16A4C6A52D81}</c15:txfldGUID>
                      <c15:f>'Figure 14 (2)'!$A$13</c15:f>
                      <c15:dlblFieldTableCache>
                        <c:ptCount val="1"/>
                        <c:pt idx="0">
                          <c:v> HND </c:v>
                        </c:pt>
                      </c15:dlblFieldTableCache>
                    </c15:dlblFTEntry>
                  </c15:dlblFieldTable>
                  <c15:showDataLabelsRange val="0"/>
                </c:ext>
                <c:ext xmlns:c16="http://schemas.microsoft.com/office/drawing/2014/chart" uri="{C3380CC4-5D6E-409C-BE32-E72D297353CC}">
                  <c16:uniqueId val="{00000009-D75C-4223-AD9E-CE7F0C2710C8}"/>
                </c:ext>
              </c:extLst>
            </c:dLbl>
            <c:dLbl>
              <c:idx val="10"/>
              <c:layout>
                <c:manualLayout>
                  <c:x val="-7.0060195913408077E-2"/>
                  <c:y val="9.7442106345399272E-3"/>
                </c:manualLayout>
              </c:layout>
              <c:tx>
                <c:strRef>
                  <c:f>'Figure 14 (2)'!$A$14</c:f>
                  <c:strCache>
                    <c:ptCount val="1"/>
                    <c:pt idx="0">
                      <c:v> JAM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{5A372306-2676-4610-9887-AD5F1CFA242F}</c15:txfldGUID>
                      <c15:f>'Figure 14 (2)'!$A$14</c15:f>
                      <c15:dlblFieldTableCache>
                        <c:ptCount val="1"/>
                        <c:pt idx="0">
                          <c:v> JAM </c:v>
                        </c:pt>
                      </c15:dlblFieldTableCache>
                    </c15:dlblFTEntry>
                  </c15:dlblFieldTable>
                  <c15:showDataLabelsRange val="0"/>
                </c:ext>
                <c:ext xmlns:c16="http://schemas.microsoft.com/office/drawing/2014/chart" uri="{C3380CC4-5D6E-409C-BE32-E72D297353CC}">
                  <c16:uniqueId val="{0000000A-D75C-4223-AD9E-CE7F0C2710C8}"/>
                </c:ext>
              </c:extLst>
            </c:dLbl>
            <c:dLbl>
              <c:idx val="11"/>
              <c:layout>
                <c:manualLayout>
                  <c:x val="-7.4438958157996046E-2"/>
                  <c:y val="-2.9232631903619782E-2"/>
                </c:manualLayout>
              </c:layout>
              <c:tx>
                <c:strRef>
                  <c:f>'Figure 14 (2)'!$A$15</c:f>
                  <c:strCache>
                    <c:ptCount val="1"/>
                    <c:pt idx="0">
                      <c:v> MEX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{9B8033A3-6FE2-48ED-9F64-C160A3FB982A}</c15:txfldGUID>
                      <c15:f>'Figure 14 (2)'!$A$15</c15:f>
                      <c15:dlblFieldTableCache>
                        <c:ptCount val="1"/>
                        <c:pt idx="0">
                          <c:v> MEX </c:v>
                        </c:pt>
                      </c15:dlblFieldTableCache>
                    </c15:dlblFTEntry>
                  </c15:dlblFieldTable>
                  <c15:showDataLabelsRange val="0"/>
                </c:ext>
                <c:ext xmlns:c16="http://schemas.microsoft.com/office/drawing/2014/chart" uri="{C3380CC4-5D6E-409C-BE32-E72D297353CC}">
                  <c16:uniqueId val="{0000000B-D75C-4223-AD9E-CE7F0C2710C8}"/>
                </c:ext>
              </c:extLst>
            </c:dLbl>
            <c:dLbl>
              <c:idx val="12"/>
              <c:tx>
                <c:strRef>
                  <c:f>'Figure 14 (2)'!$A$16</c:f>
                  <c:strCache>
                    <c:ptCount val="1"/>
                    <c:pt idx="0">
                      <c:v> NIC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{EA6D81F0-AAAC-42DE-891C-9112919710D1}</c15:txfldGUID>
                      <c15:f>'Figure 14 (2)'!$A$16</c15:f>
                      <c15:dlblFieldTableCache>
                        <c:ptCount val="1"/>
                        <c:pt idx="0">
                          <c:v> NIC </c:v>
                        </c:pt>
                      </c15:dlblFieldTableCache>
                    </c15:dlblFTEntry>
                  </c15:dlblFieldTable>
                  <c15:showDataLabelsRange val="0"/>
                </c:ext>
                <c:ext xmlns:c16="http://schemas.microsoft.com/office/drawing/2014/chart" uri="{C3380CC4-5D6E-409C-BE32-E72D297353CC}">
                  <c16:uniqueId val="{0000000C-D75C-4223-AD9E-CE7F0C2710C8}"/>
                </c:ext>
              </c:extLst>
            </c:dLbl>
            <c:dLbl>
              <c:idx val="13"/>
              <c:tx>
                <c:strRef>
                  <c:f>'Figure 14 (2)'!$A$17</c:f>
                  <c:strCache>
                    <c:ptCount val="1"/>
                    <c:pt idx="0">
                      <c:v> PAN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{634B31CF-90DD-45B3-A15C-FBBECD41CC7D}</c15:txfldGUID>
                      <c15:f>'Figure 14 (2)'!$A$17</c15:f>
                      <c15:dlblFieldTableCache>
                        <c:ptCount val="1"/>
                        <c:pt idx="0">
                          <c:v> PAN </c:v>
                        </c:pt>
                      </c15:dlblFieldTableCache>
                    </c15:dlblFTEntry>
                  </c15:dlblFieldTable>
                  <c15:showDataLabelsRange val="0"/>
                </c:ext>
                <c:ext xmlns:c16="http://schemas.microsoft.com/office/drawing/2014/chart" uri="{C3380CC4-5D6E-409C-BE32-E72D297353CC}">
                  <c16:uniqueId val="{0000000D-D75C-4223-AD9E-CE7F0C2710C8}"/>
                </c:ext>
              </c:extLst>
            </c:dLbl>
            <c:dLbl>
              <c:idx val="14"/>
              <c:tx>
                <c:strRef>
                  <c:f>'Figure 14 (2)'!$A$18</c:f>
                  <c:strCache>
                    <c:ptCount val="1"/>
                    <c:pt idx="0">
                      <c:v> PER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{C8735812-9775-462E-BD1F-153E4C573731}</c15:txfldGUID>
                      <c15:f>'Figure 14 (2)'!$A$18</c15:f>
                      <c15:dlblFieldTableCache>
                        <c:ptCount val="1"/>
                        <c:pt idx="0">
                          <c:v> PER </c:v>
                        </c:pt>
                      </c15:dlblFieldTableCache>
                    </c15:dlblFTEntry>
                  </c15:dlblFieldTable>
                  <c15:showDataLabelsRange val="0"/>
                </c:ext>
                <c:ext xmlns:c16="http://schemas.microsoft.com/office/drawing/2014/chart" uri="{C3380CC4-5D6E-409C-BE32-E72D297353CC}">
                  <c16:uniqueId val="{0000000E-D75C-4223-AD9E-CE7F0C2710C8}"/>
                </c:ext>
              </c:extLst>
            </c:dLbl>
            <c:dLbl>
              <c:idx val="15"/>
              <c:layout>
                <c:manualLayout>
                  <c:x val="-7.0060195913408035E-2"/>
                  <c:y val="3.2480702115133689E-3"/>
                </c:manualLayout>
              </c:layout>
              <c:tx>
                <c:strRef>
                  <c:f>'Figure 14 (2)'!$A$19</c:f>
                  <c:strCache>
                    <c:ptCount val="1"/>
                    <c:pt idx="0">
                      <c:v> PRY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{7A0B6D1A-1629-4774-9419-00CB65FA993D}</c15:txfldGUID>
                      <c15:f>'Figure 14 (2)'!$A$19</c15:f>
                      <c15:dlblFieldTableCache>
                        <c:ptCount val="1"/>
                        <c:pt idx="0">
                          <c:v> PRY </c:v>
                        </c:pt>
                      </c15:dlblFieldTableCache>
                    </c15:dlblFTEntry>
                  </c15:dlblFieldTable>
                  <c15:showDataLabelsRange val="0"/>
                </c:ext>
                <c:ext xmlns:c16="http://schemas.microsoft.com/office/drawing/2014/chart" uri="{C3380CC4-5D6E-409C-BE32-E72D297353CC}">
                  <c16:uniqueId val="{0000000F-D75C-4223-AD9E-CE7F0C2710C8}"/>
                </c:ext>
              </c:extLst>
            </c:dLbl>
            <c:dLbl>
              <c:idx val="16"/>
              <c:tx>
                <c:strRef>
                  <c:f>'Figure 14 (2)'!$A$20</c:f>
                  <c:strCache>
                    <c:ptCount val="1"/>
                    <c:pt idx="0">
                      <c:v> SLV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{B67F5141-9FB6-40B7-8DAF-FF6EC005D9DD}</c15:txfldGUID>
                      <c15:f>'Figure 14 (2)'!$A$20</c15:f>
                      <c15:dlblFieldTableCache>
                        <c:ptCount val="1"/>
                        <c:pt idx="0">
                          <c:v> SLV </c:v>
                        </c:pt>
                      </c15:dlblFieldTableCache>
                    </c15:dlblFTEntry>
                  </c15:dlblFieldTable>
                  <c15:showDataLabelsRange val="0"/>
                </c:ext>
                <c:ext xmlns:c16="http://schemas.microsoft.com/office/drawing/2014/chart" uri="{C3380CC4-5D6E-409C-BE32-E72D297353CC}">
                  <c16:uniqueId val="{00000010-D75C-4223-AD9E-CE7F0C2710C8}"/>
                </c:ext>
              </c:extLst>
            </c:dLbl>
            <c:dLbl>
              <c:idx val="17"/>
              <c:tx>
                <c:strRef>
                  <c:f>'Figure 14 (2)'!$A$21</c:f>
                  <c:strCache>
                    <c:ptCount val="1"/>
                    <c:pt idx="0">
                      <c:v> URY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{3BD49640-2EE0-4240-9F79-B7709B375EC6}</c15:txfldGUID>
                      <c15:f>'Figure 14 (2)'!$A$21</c15:f>
                      <c15:dlblFieldTableCache>
                        <c:ptCount val="1"/>
                        <c:pt idx="0">
                          <c:v> URY </c:v>
                        </c:pt>
                      </c15:dlblFieldTableCache>
                    </c15:dlblFTEntry>
                  </c15:dlblFieldTable>
                  <c15:showDataLabelsRange val="0"/>
                </c:ext>
                <c:ext xmlns:c16="http://schemas.microsoft.com/office/drawing/2014/chart" uri="{C3380CC4-5D6E-409C-BE32-E72D297353CC}">
                  <c16:uniqueId val="{00000011-D75C-4223-AD9E-CE7F0C2710C8}"/>
                </c:ext>
              </c:extLst>
            </c:dLbl>
            <c:dLbl>
              <c:idx val="18"/>
              <c:tx>
                <c:strRef>
                  <c:f>'Figure 14 (2)'!$A$22</c:f>
                  <c:strCache>
                    <c:ptCount val="1"/>
                    <c:pt idx="0">
                      <c:v> VEN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{CF132DD8-CBDB-4607-B9BC-FE8CF702B612}</c15:txfldGUID>
                      <c15:f>'Figure 14 (2)'!$A$22</c15:f>
                      <c15:dlblFieldTableCache>
                        <c:ptCount val="1"/>
                        <c:pt idx="0">
                          <c:v> VEN </c:v>
                        </c:pt>
                      </c15:dlblFieldTableCache>
                    </c15:dlblFTEntry>
                  </c15:dlblFieldTable>
                  <c15:showDataLabelsRange val="0"/>
                </c:ext>
                <c:ext xmlns:c16="http://schemas.microsoft.com/office/drawing/2014/chart" uri="{C3380CC4-5D6E-409C-BE32-E72D297353CC}">
                  <c16:uniqueId val="{00000012-D75C-4223-AD9E-CE7F0C2710C8}"/>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D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 14 (2)'!$L$4:$L$22</c:f>
              <c:numCache>
                <c:formatCode>#,##0.00_);\(#,##0.00\)</c:formatCode>
                <c:ptCount val="19"/>
                <c:pt idx="0">
                  <c:v>1</c:v>
                </c:pt>
                <c:pt idx="1">
                  <c:v>1.5</c:v>
                </c:pt>
                <c:pt idx="2">
                  <c:v>1</c:v>
                </c:pt>
                <c:pt idx="3">
                  <c:v>2</c:v>
                </c:pt>
                <c:pt idx="4">
                  <c:v>1</c:v>
                </c:pt>
                <c:pt idx="5">
                  <c:v>1</c:v>
                </c:pt>
                <c:pt idx="6">
                  <c:v>2</c:v>
                </c:pt>
                <c:pt idx="7">
                  <c:v>0</c:v>
                </c:pt>
                <c:pt idx="8">
                  <c:v>0</c:v>
                </c:pt>
                <c:pt idx="9">
                  <c:v>1</c:v>
                </c:pt>
                <c:pt idx="10">
                  <c:v>1</c:v>
                </c:pt>
                <c:pt idx="11">
                  <c:v>1</c:v>
                </c:pt>
                <c:pt idx="12">
                  <c:v>0</c:v>
                </c:pt>
                <c:pt idx="13">
                  <c:v>4</c:v>
                </c:pt>
                <c:pt idx="14">
                  <c:v>2</c:v>
                </c:pt>
                <c:pt idx="15">
                  <c:v>1</c:v>
                </c:pt>
                <c:pt idx="16">
                  <c:v>1</c:v>
                </c:pt>
                <c:pt idx="17">
                  <c:v>1.5</c:v>
                </c:pt>
                <c:pt idx="18">
                  <c:v>4.5</c:v>
                </c:pt>
              </c:numCache>
            </c:numRef>
          </c:xVal>
          <c:yVal>
            <c:numRef>
              <c:f>'Figure 14 (2)'!$T$4:$T$22</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c:ext xmlns:c16="http://schemas.microsoft.com/office/drawing/2014/chart" uri="{C3380CC4-5D6E-409C-BE32-E72D297353CC}">
              <c16:uniqueId val="{00000015-D75C-4223-AD9E-CE7F0C2710C8}"/>
            </c:ext>
          </c:extLst>
        </c:ser>
        <c:dLbls>
          <c:showLegendKey val="0"/>
          <c:showVal val="0"/>
          <c:showCatName val="0"/>
          <c:showSerName val="0"/>
          <c:showPercent val="0"/>
          <c:showBubbleSize val="0"/>
        </c:dLbls>
        <c:axId val="236231296"/>
        <c:axId val="236253952"/>
      </c:scatterChart>
      <c:valAx>
        <c:axId val="236231296"/>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EPR Indicator-individual dismissals: Procedural inconveniences</a:t>
                </a:r>
              </a:p>
            </c:rich>
          </c:tx>
          <c:layout>
            <c:manualLayout>
              <c:xMode val="edge"/>
              <c:yMode val="edge"/>
              <c:x val="0.24217308994567768"/>
              <c:y val="0.91589743589743589"/>
            </c:manualLayout>
          </c:layout>
          <c:overlay val="0"/>
          <c:spPr>
            <a:noFill/>
            <a:ln>
              <a:noFill/>
            </a:ln>
            <a:effectLst/>
          </c:spPr>
        </c:title>
        <c:numFmt formatCode="#,##0.00_);\(#,##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253952"/>
        <c:crosses val="autoZero"/>
        <c:crossBetween val="midCat"/>
      </c:valAx>
      <c:valAx>
        <c:axId val="236253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s-ES"/>
                  <a:t>Cost of job security provisions as % of the annual wage of formal workers</a:t>
                </a:r>
              </a:p>
            </c:rich>
          </c:tx>
          <c:layout>
            <c:manualLayout>
              <c:xMode val="edge"/>
              <c:yMode val="edge"/>
              <c:x val="6.5681433668820077E-3"/>
              <c:y val="8.5861800810514935E-2"/>
            </c:manualLayout>
          </c:layout>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231296"/>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8575" cap="rnd">
              <a:noFill/>
              <a:round/>
            </a:ln>
            <a:effectLst/>
          </c:spPr>
          <c:marker>
            <c:symbol val="circle"/>
            <c:size val="5"/>
            <c:spPr>
              <a:solidFill>
                <a:schemeClr val="accent2">
                  <a:lumMod val="75000"/>
                </a:schemeClr>
              </a:solidFill>
              <a:ln w="9525">
                <a:solidFill>
                  <a:schemeClr val="accent2">
                    <a:lumMod val="50000"/>
                  </a:schemeClr>
                </a:solidFill>
              </a:ln>
              <a:effectLst/>
            </c:spPr>
          </c:marker>
          <c:dLbls>
            <c:dLbl>
              <c:idx val="0"/>
              <c:layout>
                <c:manualLayout>
                  <c:x val="-4.597700356817401E-2"/>
                  <c:y val="-4.5472982961186327E-2"/>
                </c:manualLayout>
              </c:layout>
              <c:tx>
                <c:strRef>
                  <c:f>'Figure 14 (2)'!$A$4</c:f>
                  <c:strCache>
                    <c:ptCount val="1"/>
                    <c:pt idx="0">
                      <c:v> ARG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{67B66CED-90DA-4B06-9352-FA50A82AA96A}</c15:txfldGUID>
                      <c15:f>'Figure 14 (2)'!$A$4</c15:f>
                      <c15:dlblFieldTableCache>
                        <c:ptCount val="1"/>
                        <c:pt idx="0">
                          <c:v> ARG </c:v>
                        </c:pt>
                      </c15:dlblFieldTableCache>
                    </c15:dlblFTEntry>
                  </c15:dlblFieldTable>
                  <c15:showDataLabelsRange val="0"/>
                </c:ext>
                <c:ext xmlns:c16="http://schemas.microsoft.com/office/drawing/2014/chart" uri="{C3380CC4-5D6E-409C-BE32-E72D297353CC}">
                  <c16:uniqueId val="{00000000-1F53-43A3-ACC4-1B27561F96D4}"/>
                </c:ext>
              </c:extLst>
            </c:dLbl>
            <c:dLbl>
              <c:idx val="1"/>
              <c:tx>
                <c:strRef>
                  <c:f>'Figure 14 (2)'!$A$5</c:f>
                  <c:strCache>
                    <c:ptCount val="1"/>
                    <c:pt idx="0">
                      <c:v> BOL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{1594CC27-9ACB-46BD-A331-0C7D1FFB8C77}</c15:txfldGUID>
                      <c15:f>'Figure 14 (2)'!$A$5</c15:f>
                      <c15:dlblFieldTableCache>
                        <c:ptCount val="1"/>
                        <c:pt idx="0">
                          <c:v> BOL </c:v>
                        </c:pt>
                      </c15:dlblFieldTableCache>
                    </c15:dlblFTEntry>
                  </c15:dlblFieldTable>
                  <c15:showDataLabelsRange val="0"/>
                </c:ext>
                <c:ext xmlns:c16="http://schemas.microsoft.com/office/drawing/2014/chart" uri="{C3380CC4-5D6E-409C-BE32-E72D297353CC}">
                  <c16:uniqueId val="{00000001-1F53-43A3-ACC4-1B27561F96D4}"/>
                </c:ext>
              </c:extLst>
            </c:dLbl>
            <c:dLbl>
              <c:idx val="2"/>
              <c:tx>
                <c:strRef>
                  <c:f>'Figure 14 (2)'!$A$6</c:f>
                  <c:strCache>
                    <c:ptCount val="1"/>
                    <c:pt idx="0">
                      <c:v> BRA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{900C728D-9CF0-44D6-9EA4-039B60856B5F}</c15:txfldGUID>
                      <c15:f>'Figure 14 (2)'!$A$6</c15:f>
                      <c15:dlblFieldTableCache>
                        <c:ptCount val="1"/>
                        <c:pt idx="0">
                          <c:v> BRA </c:v>
                        </c:pt>
                      </c15:dlblFieldTableCache>
                    </c15:dlblFTEntry>
                  </c15:dlblFieldTable>
                  <c15:showDataLabelsRange val="0"/>
                </c:ext>
                <c:ext xmlns:c16="http://schemas.microsoft.com/office/drawing/2014/chart" uri="{C3380CC4-5D6E-409C-BE32-E72D297353CC}">
                  <c16:uniqueId val="{00000002-1F53-43A3-ACC4-1B27561F96D4}"/>
                </c:ext>
              </c:extLst>
            </c:dLbl>
            <c:dLbl>
              <c:idx val="3"/>
              <c:tx>
                <c:strRef>
                  <c:f>'Figure 14 (2)'!$A$7</c:f>
                  <c:strCache>
                    <c:ptCount val="1"/>
                    <c:pt idx="0">
                      <c:v> CHL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{4398D611-4572-4B54-A423-3AA472F7FCF6}</c15:txfldGUID>
                      <c15:f>'Figure 14 (2)'!$A$7</c15:f>
                      <c15:dlblFieldTableCache>
                        <c:ptCount val="1"/>
                        <c:pt idx="0">
                          <c:v> CHL </c:v>
                        </c:pt>
                      </c15:dlblFieldTableCache>
                    </c15:dlblFTEntry>
                  </c15:dlblFieldTable>
                  <c15:showDataLabelsRange val="0"/>
                </c:ext>
                <c:ext xmlns:c16="http://schemas.microsoft.com/office/drawing/2014/chart" uri="{C3380CC4-5D6E-409C-BE32-E72D297353CC}">
                  <c16:uniqueId val="{00000003-1F53-43A3-ACC4-1B27561F96D4}"/>
                </c:ext>
              </c:extLst>
            </c:dLbl>
            <c:dLbl>
              <c:idx val="4"/>
              <c:tx>
                <c:strRef>
                  <c:f>'Figure 14 (2)'!$A$8</c:f>
                  <c:strCache>
                    <c:ptCount val="1"/>
                    <c:pt idx="0">
                      <c:v> COL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{4C75586A-8C33-486E-88C2-080AAAABD00A}</c15:txfldGUID>
                      <c15:f>'Figure 14 (2)'!$A$8</c15:f>
                      <c15:dlblFieldTableCache>
                        <c:ptCount val="1"/>
                        <c:pt idx="0">
                          <c:v> COL </c:v>
                        </c:pt>
                      </c15:dlblFieldTableCache>
                    </c15:dlblFTEntry>
                  </c15:dlblFieldTable>
                  <c15:showDataLabelsRange val="0"/>
                </c:ext>
                <c:ext xmlns:c16="http://schemas.microsoft.com/office/drawing/2014/chart" uri="{C3380CC4-5D6E-409C-BE32-E72D297353CC}">
                  <c16:uniqueId val="{00000004-1F53-43A3-ACC4-1B27561F96D4}"/>
                </c:ext>
              </c:extLst>
            </c:dLbl>
            <c:dLbl>
              <c:idx val="5"/>
              <c:tx>
                <c:strRef>
                  <c:f>'Figure 14 (2)'!$A$9</c:f>
                  <c:strCache>
                    <c:ptCount val="1"/>
                    <c:pt idx="0">
                      <c:v> CRI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{A3AF1888-182D-43CD-B4FF-3D947B9A41E6}</c15:txfldGUID>
                      <c15:f>'Figure 14 (2)'!$A$9</c15:f>
                      <c15:dlblFieldTableCache>
                        <c:ptCount val="1"/>
                        <c:pt idx="0">
                          <c:v> CRI </c:v>
                        </c:pt>
                      </c15:dlblFieldTableCache>
                    </c15:dlblFTEntry>
                  </c15:dlblFieldTable>
                  <c15:showDataLabelsRange val="0"/>
                </c:ext>
                <c:ext xmlns:c16="http://schemas.microsoft.com/office/drawing/2014/chart" uri="{C3380CC4-5D6E-409C-BE32-E72D297353CC}">
                  <c16:uniqueId val="{00000005-1F53-43A3-ACC4-1B27561F96D4}"/>
                </c:ext>
              </c:extLst>
            </c:dLbl>
            <c:dLbl>
              <c:idx val="6"/>
              <c:layout>
                <c:manualLayout>
                  <c:x val="2.5109855618330196E-3"/>
                  <c:y val="2.4615384615384615E-2"/>
                </c:manualLayout>
              </c:layout>
              <c:tx>
                <c:strRef>
                  <c:f>'Figure 14 (2)'!$A$10</c:f>
                  <c:strCache>
                    <c:ptCount val="1"/>
                    <c:pt idx="0">
                      <c:v> DOM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{7BA6C806-6E67-4C53-8D17-9CDF6719D47F}</c15:txfldGUID>
                      <c15:f>'Figure 14 (2)'!$A$10</c15:f>
                      <c15:dlblFieldTableCache>
                        <c:ptCount val="1"/>
                        <c:pt idx="0">
                          <c:v> DOM </c:v>
                        </c:pt>
                      </c15:dlblFieldTableCache>
                    </c15:dlblFTEntry>
                  </c15:dlblFieldTable>
                  <c15:showDataLabelsRange val="0"/>
                </c:ext>
                <c:ext xmlns:c16="http://schemas.microsoft.com/office/drawing/2014/chart" uri="{C3380CC4-5D6E-409C-BE32-E72D297353CC}">
                  <c16:uniqueId val="{00000006-1F53-43A3-ACC4-1B27561F96D4}"/>
                </c:ext>
              </c:extLst>
            </c:dLbl>
            <c:dLbl>
              <c:idx val="7"/>
              <c:tx>
                <c:strRef>
                  <c:f>'Figure 14 (2)'!$A$11</c:f>
                  <c:strCache>
                    <c:ptCount val="1"/>
                    <c:pt idx="0">
                      <c:v> ECU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{FBF938DD-B006-40E1-B0DA-B5DA6A3F8C59}</c15:txfldGUID>
                      <c15:f>'Figure 14 (2)'!$A$11</c15:f>
                      <c15:dlblFieldTableCache>
                        <c:ptCount val="1"/>
                        <c:pt idx="0">
                          <c:v> ECU </c:v>
                        </c:pt>
                      </c15:dlblFieldTableCache>
                    </c15:dlblFTEntry>
                  </c15:dlblFieldTable>
                  <c15:showDataLabelsRange val="0"/>
                </c:ext>
                <c:ext xmlns:c16="http://schemas.microsoft.com/office/drawing/2014/chart" uri="{C3380CC4-5D6E-409C-BE32-E72D297353CC}">
                  <c16:uniqueId val="{00000007-1F53-43A3-ACC4-1B27561F96D4}"/>
                </c:ext>
              </c:extLst>
            </c:dLbl>
            <c:dLbl>
              <c:idx val="8"/>
              <c:layout>
                <c:manualLayout>
                  <c:x val="-6.5681433668819877E-3"/>
                  <c:y val="-3.5728772326646403E-2"/>
                </c:manualLayout>
              </c:layout>
              <c:tx>
                <c:strRef>
                  <c:f>'Figure 14 (2)'!$A$12</c:f>
                  <c:strCache>
                    <c:ptCount val="1"/>
                    <c:pt idx="0">
                      <c:v> GTM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{52236CB4-F06F-43B4-AE00-33C80674A16E}</c15:txfldGUID>
                      <c15:f>'Figure 14 (2)'!$A$12</c15:f>
                      <c15:dlblFieldTableCache>
                        <c:ptCount val="1"/>
                        <c:pt idx="0">
                          <c:v> GTM </c:v>
                        </c:pt>
                      </c15:dlblFieldTableCache>
                    </c15:dlblFTEntry>
                  </c15:dlblFieldTable>
                  <c15:showDataLabelsRange val="0"/>
                </c:ext>
                <c:ext xmlns:c16="http://schemas.microsoft.com/office/drawing/2014/chart" uri="{C3380CC4-5D6E-409C-BE32-E72D297353CC}">
                  <c16:uniqueId val="{00000008-1F53-43A3-ACC4-1B27561F96D4}"/>
                </c:ext>
              </c:extLst>
            </c:dLbl>
            <c:dLbl>
              <c:idx val="9"/>
              <c:tx>
                <c:strRef>
                  <c:f>'Figure 14 (2)'!$A$13</c:f>
                  <c:strCache>
                    <c:ptCount val="1"/>
                    <c:pt idx="0">
                      <c:v> HND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{0B90C6AA-FD86-4F9C-B268-64D7464F8BFC}</c15:txfldGUID>
                      <c15:f>'Figure 14 (2)'!$A$13</c15:f>
                      <c15:dlblFieldTableCache>
                        <c:ptCount val="1"/>
                        <c:pt idx="0">
                          <c:v> HND </c:v>
                        </c:pt>
                      </c15:dlblFieldTableCache>
                    </c15:dlblFTEntry>
                  </c15:dlblFieldTable>
                  <c15:showDataLabelsRange val="0"/>
                </c:ext>
                <c:ext xmlns:c16="http://schemas.microsoft.com/office/drawing/2014/chart" uri="{C3380CC4-5D6E-409C-BE32-E72D297353CC}">
                  <c16:uniqueId val="{00000009-1F53-43A3-ACC4-1B27561F96D4}"/>
                </c:ext>
              </c:extLst>
            </c:dLbl>
            <c:dLbl>
              <c:idx val="10"/>
              <c:layout>
                <c:manualLayout>
                  <c:x val="-7.0060195913408077E-2"/>
                  <c:y val="9.7442106345399272E-3"/>
                </c:manualLayout>
              </c:layout>
              <c:tx>
                <c:strRef>
                  <c:f>'Figure 14 (2)'!$A$14</c:f>
                  <c:strCache>
                    <c:ptCount val="1"/>
                    <c:pt idx="0">
                      <c:v> JAM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{6A7F98CF-9BDE-4C18-8206-9C753CB860BB}</c15:txfldGUID>
                      <c15:f>'Figure 14 (2)'!$A$14</c15:f>
                      <c15:dlblFieldTableCache>
                        <c:ptCount val="1"/>
                        <c:pt idx="0">
                          <c:v> JAM </c:v>
                        </c:pt>
                      </c15:dlblFieldTableCache>
                    </c15:dlblFTEntry>
                  </c15:dlblFieldTable>
                  <c15:showDataLabelsRange val="0"/>
                </c:ext>
                <c:ext xmlns:c16="http://schemas.microsoft.com/office/drawing/2014/chart" uri="{C3380CC4-5D6E-409C-BE32-E72D297353CC}">
                  <c16:uniqueId val="{0000000A-1F53-43A3-ACC4-1B27561F96D4}"/>
                </c:ext>
              </c:extLst>
            </c:dLbl>
            <c:dLbl>
              <c:idx val="11"/>
              <c:layout>
                <c:manualLayout>
                  <c:x val="-7.4438958157996046E-2"/>
                  <c:y val="-2.9232631903619782E-2"/>
                </c:manualLayout>
              </c:layout>
              <c:tx>
                <c:strRef>
                  <c:f>'Figure 14 (2)'!$A$15</c:f>
                  <c:strCache>
                    <c:ptCount val="1"/>
                    <c:pt idx="0">
                      <c:v> MEX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{C9B29D9B-42E5-40FE-88E0-C835580FFB4E}</c15:txfldGUID>
                      <c15:f>'Figure 14 (2)'!$A$15</c15:f>
                      <c15:dlblFieldTableCache>
                        <c:ptCount val="1"/>
                        <c:pt idx="0">
                          <c:v> MEX </c:v>
                        </c:pt>
                      </c15:dlblFieldTableCache>
                    </c15:dlblFTEntry>
                  </c15:dlblFieldTable>
                  <c15:showDataLabelsRange val="0"/>
                </c:ext>
                <c:ext xmlns:c16="http://schemas.microsoft.com/office/drawing/2014/chart" uri="{C3380CC4-5D6E-409C-BE32-E72D297353CC}">
                  <c16:uniqueId val="{0000000B-1F53-43A3-ACC4-1B27561F96D4}"/>
                </c:ext>
              </c:extLst>
            </c:dLbl>
            <c:dLbl>
              <c:idx val="12"/>
              <c:tx>
                <c:strRef>
                  <c:f>'Figure 14 (2)'!$A$16</c:f>
                  <c:strCache>
                    <c:ptCount val="1"/>
                    <c:pt idx="0">
                      <c:v> NIC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{134B3721-BC17-474F-840C-901A72E3F6C0}</c15:txfldGUID>
                      <c15:f>'Figure 14 (2)'!$A$16</c15:f>
                      <c15:dlblFieldTableCache>
                        <c:ptCount val="1"/>
                        <c:pt idx="0">
                          <c:v> NIC </c:v>
                        </c:pt>
                      </c15:dlblFieldTableCache>
                    </c15:dlblFTEntry>
                  </c15:dlblFieldTable>
                  <c15:showDataLabelsRange val="0"/>
                </c:ext>
                <c:ext xmlns:c16="http://schemas.microsoft.com/office/drawing/2014/chart" uri="{C3380CC4-5D6E-409C-BE32-E72D297353CC}">
                  <c16:uniqueId val="{0000000C-1F53-43A3-ACC4-1B27561F96D4}"/>
                </c:ext>
              </c:extLst>
            </c:dLbl>
            <c:dLbl>
              <c:idx val="13"/>
              <c:tx>
                <c:strRef>
                  <c:f>'Figure 14 (2)'!$A$17</c:f>
                  <c:strCache>
                    <c:ptCount val="1"/>
                    <c:pt idx="0">
                      <c:v> PAN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{DF6DEAC4-F7A5-4163-B4EB-F71D5E8EAFD3}</c15:txfldGUID>
                      <c15:f>'Figure 14 (2)'!$A$17</c15:f>
                      <c15:dlblFieldTableCache>
                        <c:ptCount val="1"/>
                        <c:pt idx="0">
                          <c:v> PAN </c:v>
                        </c:pt>
                      </c15:dlblFieldTableCache>
                    </c15:dlblFTEntry>
                  </c15:dlblFieldTable>
                  <c15:showDataLabelsRange val="0"/>
                </c:ext>
                <c:ext xmlns:c16="http://schemas.microsoft.com/office/drawing/2014/chart" uri="{C3380CC4-5D6E-409C-BE32-E72D297353CC}">
                  <c16:uniqueId val="{0000000D-1F53-43A3-ACC4-1B27561F96D4}"/>
                </c:ext>
              </c:extLst>
            </c:dLbl>
            <c:dLbl>
              <c:idx val="14"/>
              <c:tx>
                <c:strRef>
                  <c:f>'Figure 14 (2)'!$A$18</c:f>
                  <c:strCache>
                    <c:ptCount val="1"/>
                    <c:pt idx="0">
                      <c:v> PER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{DF11F6C9-13E7-49F5-86BE-5E24ACBD57E6}</c15:txfldGUID>
                      <c15:f>'Figure 14 (2)'!$A$18</c15:f>
                      <c15:dlblFieldTableCache>
                        <c:ptCount val="1"/>
                        <c:pt idx="0">
                          <c:v> PER </c:v>
                        </c:pt>
                      </c15:dlblFieldTableCache>
                    </c15:dlblFTEntry>
                  </c15:dlblFieldTable>
                  <c15:showDataLabelsRange val="0"/>
                </c:ext>
                <c:ext xmlns:c16="http://schemas.microsoft.com/office/drawing/2014/chart" uri="{C3380CC4-5D6E-409C-BE32-E72D297353CC}">
                  <c16:uniqueId val="{0000000E-1F53-43A3-ACC4-1B27561F96D4}"/>
                </c:ext>
              </c:extLst>
            </c:dLbl>
            <c:dLbl>
              <c:idx val="15"/>
              <c:layout>
                <c:manualLayout>
                  <c:x val="-9.2659123824211237E-2"/>
                  <c:y val="3.2481324449828387E-3"/>
                </c:manualLayout>
              </c:layout>
              <c:tx>
                <c:strRef>
                  <c:f>'Figure 14 (2)'!$A$19</c:f>
                  <c:strCache>
                    <c:ptCount val="1"/>
                    <c:pt idx="0">
                      <c:v> PRY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{70613B04-A4C4-4001-89DF-424E4FE9895F}</c15:txfldGUID>
                      <c15:f>'Figure 14 (2)'!$A$19</c15:f>
                      <c15:dlblFieldTableCache>
                        <c:ptCount val="1"/>
                        <c:pt idx="0">
                          <c:v> PRY </c:v>
                        </c:pt>
                      </c15:dlblFieldTableCache>
                    </c15:dlblFTEntry>
                  </c15:dlblFieldTable>
                  <c15:showDataLabelsRange val="0"/>
                </c:ext>
                <c:ext xmlns:c16="http://schemas.microsoft.com/office/drawing/2014/chart" uri="{C3380CC4-5D6E-409C-BE32-E72D297353CC}">
                  <c16:uniqueId val="{0000000F-1F53-43A3-ACC4-1B27561F96D4}"/>
                </c:ext>
              </c:extLst>
            </c:dLbl>
            <c:dLbl>
              <c:idx val="16"/>
              <c:tx>
                <c:strRef>
                  <c:f>'Figure 14 (2)'!$A$20</c:f>
                  <c:strCache>
                    <c:ptCount val="1"/>
                    <c:pt idx="0">
                      <c:v> SLV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{127BAD08-558C-4088-B715-B2FD913C5919}</c15:txfldGUID>
                      <c15:f>'Figure 14 (2)'!$A$20</c15:f>
                      <c15:dlblFieldTableCache>
                        <c:ptCount val="1"/>
                        <c:pt idx="0">
                          <c:v> SLV </c:v>
                        </c:pt>
                      </c15:dlblFieldTableCache>
                    </c15:dlblFTEntry>
                  </c15:dlblFieldTable>
                  <c15:showDataLabelsRange val="0"/>
                </c:ext>
                <c:ext xmlns:c16="http://schemas.microsoft.com/office/drawing/2014/chart" uri="{C3380CC4-5D6E-409C-BE32-E72D297353CC}">
                  <c16:uniqueId val="{00000010-1F53-43A3-ACC4-1B27561F96D4}"/>
                </c:ext>
              </c:extLst>
            </c:dLbl>
            <c:dLbl>
              <c:idx val="17"/>
              <c:tx>
                <c:strRef>
                  <c:f>'Figure 14 (2)'!$A$21</c:f>
                  <c:strCache>
                    <c:ptCount val="1"/>
                    <c:pt idx="0">
                      <c:v> URY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{E9E6FB5B-797E-4989-93D0-12D14E3B4069}</c15:txfldGUID>
                      <c15:f>'Figure 14 (2)'!$A$21</c15:f>
                      <c15:dlblFieldTableCache>
                        <c:ptCount val="1"/>
                        <c:pt idx="0">
                          <c:v> URY </c:v>
                        </c:pt>
                      </c15:dlblFieldTableCache>
                    </c15:dlblFTEntry>
                  </c15:dlblFieldTable>
                  <c15:showDataLabelsRange val="0"/>
                </c:ext>
                <c:ext xmlns:c16="http://schemas.microsoft.com/office/drawing/2014/chart" uri="{C3380CC4-5D6E-409C-BE32-E72D297353CC}">
                  <c16:uniqueId val="{00000011-1F53-43A3-ACC4-1B27561F96D4}"/>
                </c:ext>
              </c:extLst>
            </c:dLbl>
            <c:dLbl>
              <c:idx val="18"/>
              <c:tx>
                <c:strRef>
                  <c:f>'Figure 14 (2)'!$A$22</c:f>
                  <c:strCache>
                    <c:ptCount val="1"/>
                    <c:pt idx="0">
                      <c:v> VEN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{5A811EC7-7089-4DCC-A3A4-5A3143CD7F09}</c15:txfldGUID>
                      <c15:f>'Figure 14 (2)'!$A$22</c15:f>
                      <c15:dlblFieldTableCache>
                        <c:ptCount val="1"/>
                        <c:pt idx="0">
                          <c:v> VEN </c:v>
                        </c:pt>
                      </c15:dlblFieldTableCache>
                    </c15:dlblFTEntry>
                  </c15:dlblFieldTable>
                  <c15:showDataLabelsRange val="0"/>
                </c:ext>
                <c:ext xmlns:c16="http://schemas.microsoft.com/office/drawing/2014/chart" uri="{C3380CC4-5D6E-409C-BE32-E72D297353CC}">
                  <c16:uniqueId val="{00000012-1F53-43A3-ACC4-1B27561F96D4}"/>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DO"/>
              </a:p>
            </c:txPr>
            <c:dLblPos val="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 14 (2)'!$M$4:$M$22</c:f>
              <c:numCache>
                <c:formatCode>#,##0.00_);\(#,##0.00\)</c:formatCode>
                <c:ptCount val="19"/>
                <c:pt idx="0">
                  <c:v>2.9523809523809521</c:v>
                </c:pt>
                <c:pt idx="1">
                  <c:v>1.4285714285714284</c:v>
                </c:pt>
                <c:pt idx="2">
                  <c:v>2.48</c:v>
                </c:pt>
                <c:pt idx="3">
                  <c:v>2.3809523809523805</c:v>
                </c:pt>
                <c:pt idx="4">
                  <c:v>1.6190476190476188</c:v>
                </c:pt>
                <c:pt idx="5">
                  <c:v>2.0476190476190474</c:v>
                </c:pt>
                <c:pt idx="6">
                  <c:v>2.4761904761904763</c:v>
                </c:pt>
                <c:pt idx="7">
                  <c:v>4.2857142857142856</c:v>
                </c:pt>
                <c:pt idx="8">
                  <c:v>2.6666666666666665</c:v>
                </c:pt>
                <c:pt idx="9">
                  <c:v>1</c:v>
                </c:pt>
                <c:pt idx="10">
                  <c:v>1.4761904761904761</c:v>
                </c:pt>
                <c:pt idx="11">
                  <c:v>1.3333333333333333</c:v>
                </c:pt>
                <c:pt idx="12">
                  <c:v>1.7142857142857142</c:v>
                </c:pt>
                <c:pt idx="13">
                  <c:v>0.2857142857142857</c:v>
                </c:pt>
                <c:pt idx="14">
                  <c:v>0</c:v>
                </c:pt>
                <c:pt idx="15">
                  <c:v>1.7142857142857142</c:v>
                </c:pt>
                <c:pt idx="16">
                  <c:v>2.2857142857142856</c:v>
                </c:pt>
                <c:pt idx="17">
                  <c:v>1.9047619047619047</c:v>
                </c:pt>
                <c:pt idx="18">
                  <c:v>0</c:v>
                </c:pt>
              </c:numCache>
            </c:numRef>
          </c:xVal>
          <c:yVal>
            <c:numRef>
              <c:f>'Figure 14 (2)'!$T$4:$T$22</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c:ext xmlns:c16="http://schemas.microsoft.com/office/drawing/2014/chart" uri="{C3380CC4-5D6E-409C-BE32-E72D297353CC}">
              <c16:uniqueId val="{00000015-1F53-43A3-ACC4-1B27561F96D4}"/>
            </c:ext>
          </c:extLst>
        </c:ser>
        <c:dLbls>
          <c:showLegendKey val="0"/>
          <c:showVal val="0"/>
          <c:showCatName val="0"/>
          <c:showSerName val="0"/>
          <c:showPercent val="0"/>
          <c:showBubbleSize val="0"/>
        </c:dLbls>
        <c:axId val="236541440"/>
        <c:axId val="236543360"/>
      </c:scatterChart>
      <c:valAx>
        <c:axId val="23654144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EPR Indicator-individual dismissals: Notice and severance pay</a:t>
                </a:r>
                <a:r>
                  <a:rPr lang="en-US" baseline="0"/>
                  <a:t> </a:t>
                </a:r>
              </a:p>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n-US"/>
              </a:p>
            </c:rich>
          </c:tx>
          <c:layout>
            <c:manualLayout>
              <c:xMode val="edge"/>
              <c:yMode val="edge"/>
              <c:x val="0.20315682307305694"/>
              <c:y val="0.89236578132136002"/>
            </c:manualLayout>
          </c:layout>
          <c:overlay val="0"/>
          <c:spPr>
            <a:noFill/>
            <a:ln>
              <a:noFill/>
            </a:ln>
            <a:effectLst/>
          </c:spPr>
        </c:title>
        <c:numFmt formatCode="#,##0.00_);\(#,##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543360"/>
        <c:crosses val="autoZero"/>
        <c:crossBetween val="midCat"/>
      </c:valAx>
      <c:valAx>
        <c:axId val="23654336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s-ES"/>
                  <a:t>Cost of job security provisions as % of the annual wage of formal workers</a:t>
                </a:r>
              </a:p>
            </c:rich>
          </c:tx>
          <c:layout>
            <c:manualLayout>
              <c:xMode val="edge"/>
              <c:yMode val="edge"/>
              <c:x val="6.5681433668820077E-3"/>
              <c:y val="8.5861800810514935E-2"/>
            </c:manualLayout>
          </c:layout>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54144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scatterChart>
        <c:scatterStyle val="lineMarker"/>
        <c:varyColors val="0"/>
        <c:ser>
          <c:idx val="0"/>
          <c:order val="0"/>
          <c:spPr>
            <a:ln w="28575" cap="rnd">
              <a:noFill/>
              <a:round/>
            </a:ln>
            <a:effectLst/>
          </c:spPr>
          <c:marker>
            <c:symbol val="circle"/>
            <c:size val="5"/>
            <c:spPr>
              <a:solidFill>
                <a:schemeClr val="accent2">
                  <a:lumMod val="75000"/>
                </a:schemeClr>
              </a:solidFill>
              <a:ln w="9525">
                <a:solidFill>
                  <a:schemeClr val="accent2">
                    <a:lumMod val="50000"/>
                  </a:schemeClr>
                </a:solidFill>
              </a:ln>
              <a:effectLst/>
            </c:spPr>
          </c:marker>
          <c:dLbls>
            <c:dLbl>
              <c:idx val="0"/>
              <c:tx>
                <c:strRef>
                  <c:f>'Figure 14 (2)'!$A$4</c:f>
                  <c:strCache>
                    <c:ptCount val="1"/>
                    <c:pt idx="0">
                      <c:v> ARG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{1162889A-FFA2-4BE8-BAAA-AC7066445DD4}</c15:txfldGUID>
                      <c15:f>'Figure 14 (2)'!$A$4</c15:f>
                      <c15:dlblFieldTableCache>
                        <c:ptCount val="1"/>
                        <c:pt idx="0">
                          <c:v> ARG </c:v>
                        </c:pt>
                      </c15:dlblFieldTableCache>
                    </c15:dlblFTEntry>
                  </c15:dlblFieldTable>
                  <c15:showDataLabelsRange val="0"/>
                </c:ext>
                <c:ext xmlns:c16="http://schemas.microsoft.com/office/drawing/2014/chart" uri="{C3380CC4-5D6E-409C-BE32-E72D297353CC}">
                  <c16:uniqueId val="{00000000-EA35-49B0-B476-18A2988B2311}"/>
                </c:ext>
              </c:extLst>
            </c:dLbl>
            <c:dLbl>
              <c:idx val="1"/>
              <c:tx>
                <c:strRef>
                  <c:f>'Figure 14 (2)'!$A$5</c:f>
                  <c:strCache>
                    <c:ptCount val="1"/>
                    <c:pt idx="0">
                      <c:v> BOL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{3B55A668-24EA-43F7-8767-044737EE23FC}</c15:txfldGUID>
                      <c15:f>'Figure 14 (2)'!$A$5</c15:f>
                      <c15:dlblFieldTableCache>
                        <c:ptCount val="1"/>
                        <c:pt idx="0">
                          <c:v> BOL </c:v>
                        </c:pt>
                      </c15:dlblFieldTableCache>
                    </c15:dlblFTEntry>
                  </c15:dlblFieldTable>
                  <c15:showDataLabelsRange val="0"/>
                </c:ext>
                <c:ext xmlns:c16="http://schemas.microsoft.com/office/drawing/2014/chart" uri="{C3380CC4-5D6E-409C-BE32-E72D297353CC}">
                  <c16:uniqueId val="{00000001-EA35-49B0-B476-18A2988B2311}"/>
                </c:ext>
              </c:extLst>
            </c:dLbl>
            <c:dLbl>
              <c:idx val="2"/>
              <c:layout>
                <c:manualLayout>
                  <c:x val="-6.6785338983465059E-2"/>
                  <c:y val="6.3614503276910742E-3"/>
                </c:manualLayout>
              </c:layout>
              <c:tx>
                <c:strRef>
                  <c:f>'Figure 14 (2)'!$A$6</c:f>
                  <c:strCache>
                    <c:ptCount val="1"/>
                    <c:pt idx="0">
                      <c:v> BRA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{B2DE833E-7528-452A-A8A8-8A2541811143}</c15:txfldGUID>
                      <c15:f>'Figure 14 (2)'!$A$6</c15:f>
                      <c15:dlblFieldTableCache>
                        <c:ptCount val="1"/>
                        <c:pt idx="0">
                          <c:v> BRA </c:v>
                        </c:pt>
                      </c15:dlblFieldTableCache>
                    </c15:dlblFTEntry>
                  </c15:dlblFieldTable>
                  <c15:showDataLabelsRange val="0"/>
                </c:ext>
                <c:ext xmlns:c16="http://schemas.microsoft.com/office/drawing/2014/chart" uri="{C3380CC4-5D6E-409C-BE32-E72D297353CC}">
                  <c16:uniqueId val="{00000002-EA35-49B0-B476-18A2988B2311}"/>
                </c:ext>
              </c:extLst>
            </c:dLbl>
            <c:dLbl>
              <c:idx val="3"/>
              <c:tx>
                <c:strRef>
                  <c:f>'Figure 14 (2)'!$A$7</c:f>
                  <c:strCache>
                    <c:ptCount val="1"/>
                    <c:pt idx="0">
                      <c:v> CHL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{8AD6D836-8728-4E23-80E6-F881C0D4947B}</c15:txfldGUID>
                      <c15:f>'Figure 14 (2)'!$A$7</c15:f>
                      <c15:dlblFieldTableCache>
                        <c:ptCount val="1"/>
                        <c:pt idx="0">
                          <c:v> CHL </c:v>
                        </c:pt>
                      </c15:dlblFieldTableCache>
                    </c15:dlblFTEntry>
                  </c15:dlblFieldTable>
                  <c15:showDataLabelsRange val="0"/>
                </c:ext>
                <c:ext xmlns:c16="http://schemas.microsoft.com/office/drawing/2014/chart" uri="{C3380CC4-5D6E-409C-BE32-E72D297353CC}">
                  <c16:uniqueId val="{00000003-EA35-49B0-B476-18A2988B2311}"/>
                </c:ext>
              </c:extLst>
            </c:dLbl>
            <c:dLbl>
              <c:idx val="4"/>
              <c:layout>
                <c:manualLayout>
                  <c:x val="-1.1626424340461974E-2"/>
                  <c:y val="1.5748031496062992E-3"/>
                </c:manualLayout>
              </c:layout>
              <c:tx>
                <c:strRef>
                  <c:f>'Figure 14 (2)'!$A$8</c:f>
                  <c:strCache>
                    <c:ptCount val="1"/>
                    <c:pt idx="0">
                      <c:v> COL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{E3D2A6BF-A29E-4BCC-99B2-2D155491C633}</c15:txfldGUID>
                      <c15:f>'Figure 14 (2)'!$A$8</c15:f>
                      <c15:dlblFieldTableCache>
                        <c:ptCount val="1"/>
                        <c:pt idx="0">
                          <c:v> COL </c:v>
                        </c:pt>
                      </c15:dlblFieldTableCache>
                    </c15:dlblFTEntry>
                  </c15:dlblFieldTable>
                  <c15:showDataLabelsRange val="0"/>
                </c:ext>
                <c:ext xmlns:c16="http://schemas.microsoft.com/office/drawing/2014/chart" uri="{C3380CC4-5D6E-409C-BE32-E72D297353CC}">
                  <c16:uniqueId val="{00000004-EA35-49B0-B476-18A2988B2311}"/>
                </c:ext>
              </c:extLst>
            </c:dLbl>
            <c:dLbl>
              <c:idx val="5"/>
              <c:tx>
                <c:strRef>
                  <c:f>'Figure 14 (2)'!$A$9</c:f>
                  <c:strCache>
                    <c:ptCount val="1"/>
                    <c:pt idx="0">
                      <c:v> CRI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{BCE694F0-3987-481E-A895-C7D307A9AF7A}</c15:txfldGUID>
                      <c15:f>'Figure 14 (2)'!$A$9</c15:f>
                      <c15:dlblFieldTableCache>
                        <c:ptCount val="1"/>
                        <c:pt idx="0">
                          <c:v> CRI </c:v>
                        </c:pt>
                      </c15:dlblFieldTableCache>
                    </c15:dlblFTEntry>
                  </c15:dlblFieldTable>
                  <c15:showDataLabelsRange val="0"/>
                </c:ext>
                <c:ext xmlns:c16="http://schemas.microsoft.com/office/drawing/2014/chart" uri="{C3380CC4-5D6E-409C-BE32-E72D297353CC}">
                  <c16:uniqueId val="{00000005-EA35-49B0-B476-18A2988B2311}"/>
                </c:ext>
              </c:extLst>
            </c:dLbl>
            <c:dLbl>
              <c:idx val="6"/>
              <c:tx>
                <c:strRef>
                  <c:f>'Figure 14 (2)'!$A$10</c:f>
                  <c:strCache>
                    <c:ptCount val="1"/>
                    <c:pt idx="0">
                      <c:v> DOM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{E8BE1298-FA36-46B6-8B91-BB0A06E244FD}</c15:txfldGUID>
                      <c15:f>'Figure 14 (2)'!$A$10</c15:f>
                      <c15:dlblFieldTableCache>
                        <c:ptCount val="1"/>
                        <c:pt idx="0">
                          <c:v> DOM </c:v>
                        </c:pt>
                      </c15:dlblFieldTableCache>
                    </c15:dlblFTEntry>
                  </c15:dlblFieldTable>
                  <c15:showDataLabelsRange val="0"/>
                </c:ext>
                <c:ext xmlns:c16="http://schemas.microsoft.com/office/drawing/2014/chart" uri="{C3380CC4-5D6E-409C-BE32-E72D297353CC}">
                  <c16:uniqueId val="{00000006-EA35-49B0-B476-18A2988B2311}"/>
                </c:ext>
              </c:extLst>
            </c:dLbl>
            <c:dLbl>
              <c:idx val="7"/>
              <c:layout>
                <c:manualLayout>
                  <c:x val="-8.0262625782049155E-3"/>
                  <c:y val="1.5748031496062992E-3"/>
                </c:manualLayout>
              </c:layout>
              <c:tx>
                <c:strRef>
                  <c:f>'Figure 14 (2)'!$A$11</c:f>
                  <c:strCache>
                    <c:ptCount val="1"/>
                    <c:pt idx="0">
                      <c:v> ECU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{CACAA87B-24E1-43BF-80C2-058AEF4D2A6B}</c15:txfldGUID>
                      <c15:f>'Figure 14 (2)'!$A$11</c15:f>
                      <c15:dlblFieldTableCache>
                        <c:ptCount val="1"/>
                        <c:pt idx="0">
                          <c:v> ECU </c:v>
                        </c:pt>
                      </c15:dlblFieldTableCache>
                    </c15:dlblFTEntry>
                  </c15:dlblFieldTable>
                  <c15:showDataLabelsRange val="0"/>
                </c:ext>
                <c:ext xmlns:c16="http://schemas.microsoft.com/office/drawing/2014/chart" uri="{C3380CC4-5D6E-409C-BE32-E72D297353CC}">
                  <c16:uniqueId val="{00000007-EA35-49B0-B476-18A2988B2311}"/>
                </c:ext>
              </c:extLst>
            </c:dLbl>
            <c:dLbl>
              <c:idx val="8"/>
              <c:layout>
                <c:manualLayout>
                  <c:x val="-5.7160173414077434E-2"/>
                  <c:y val="-2.5574677416819902E-2"/>
                </c:manualLayout>
              </c:layout>
              <c:tx>
                <c:strRef>
                  <c:f>'Figure 14 (2)'!$A$12</c:f>
                  <c:strCache>
                    <c:ptCount val="1"/>
                    <c:pt idx="0">
                      <c:v> GTM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{9AE0DB67-CBFC-4F74-AC7F-77801DAF5DF6}</c15:txfldGUID>
                      <c15:f>'Figure 14 (2)'!$A$12</c15:f>
                      <c15:dlblFieldTableCache>
                        <c:ptCount val="1"/>
                        <c:pt idx="0">
                          <c:v> GTM </c:v>
                        </c:pt>
                      </c15:dlblFieldTableCache>
                    </c15:dlblFTEntry>
                  </c15:dlblFieldTable>
                  <c15:showDataLabelsRange val="0"/>
                </c:ext>
                <c:ext xmlns:c16="http://schemas.microsoft.com/office/drawing/2014/chart" uri="{C3380CC4-5D6E-409C-BE32-E72D297353CC}">
                  <c16:uniqueId val="{00000008-EA35-49B0-B476-18A2988B2311}"/>
                </c:ext>
              </c:extLst>
            </c:dLbl>
            <c:dLbl>
              <c:idx val="9"/>
              <c:tx>
                <c:strRef>
                  <c:f>'Figure 14 (2)'!$A$13</c:f>
                  <c:strCache>
                    <c:ptCount val="1"/>
                    <c:pt idx="0">
                      <c:v> HND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{4CF43BED-0684-4A65-860F-B088EA28FBBE}</c15:txfldGUID>
                      <c15:f>'Figure 14 (2)'!$A$13</c15:f>
                      <c15:dlblFieldTableCache>
                        <c:ptCount val="1"/>
                        <c:pt idx="0">
                          <c:v> HND </c:v>
                        </c:pt>
                      </c15:dlblFieldTableCache>
                    </c15:dlblFTEntry>
                  </c15:dlblFieldTable>
                  <c15:showDataLabelsRange val="0"/>
                </c:ext>
                <c:ext xmlns:c16="http://schemas.microsoft.com/office/drawing/2014/chart" uri="{C3380CC4-5D6E-409C-BE32-E72D297353CC}">
                  <c16:uniqueId val="{00000009-EA35-49B0-B476-18A2988B2311}"/>
                </c:ext>
              </c:extLst>
            </c:dLbl>
            <c:dLbl>
              <c:idx val="10"/>
              <c:tx>
                <c:strRef>
                  <c:f>'Figure 14 (2)'!$A$14</c:f>
                  <c:strCache>
                    <c:ptCount val="1"/>
                    <c:pt idx="0">
                      <c:v> JAM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{EA4FEAB3-38BC-4190-9A8F-76E21386412F}</c15:txfldGUID>
                      <c15:f>'Figure 14 (2)'!$A$14</c15:f>
                      <c15:dlblFieldTableCache>
                        <c:ptCount val="1"/>
                        <c:pt idx="0">
                          <c:v> JAM </c:v>
                        </c:pt>
                      </c15:dlblFieldTableCache>
                    </c15:dlblFTEntry>
                  </c15:dlblFieldTable>
                  <c15:showDataLabelsRange val="0"/>
                </c:ext>
                <c:ext xmlns:c16="http://schemas.microsoft.com/office/drawing/2014/chart" uri="{C3380CC4-5D6E-409C-BE32-E72D297353CC}">
                  <c16:uniqueId val="{0000000A-EA35-49B0-B476-18A2988B2311}"/>
                </c:ext>
              </c:extLst>
            </c:dLbl>
            <c:dLbl>
              <c:idx val="11"/>
              <c:layout>
                <c:manualLayout>
                  <c:x val="-2.4531346989447547E-2"/>
                  <c:y val="-2.9969981297248025E-2"/>
                </c:manualLayout>
              </c:layout>
              <c:tx>
                <c:strRef>
                  <c:f>'Figure 14 (2)'!$A$15</c:f>
                  <c:strCache>
                    <c:ptCount val="1"/>
                    <c:pt idx="0">
                      <c:v> MEX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{33166BB0-8987-4CC2-956B-8F2F8120C6D6}</c15:txfldGUID>
                      <c15:f>'Figure 14 (2)'!$A$15</c15:f>
                      <c15:dlblFieldTableCache>
                        <c:ptCount val="1"/>
                        <c:pt idx="0">
                          <c:v> MEX </c:v>
                        </c:pt>
                      </c15:dlblFieldTableCache>
                    </c15:dlblFTEntry>
                  </c15:dlblFieldTable>
                  <c15:showDataLabelsRange val="0"/>
                </c:ext>
                <c:ext xmlns:c16="http://schemas.microsoft.com/office/drawing/2014/chart" uri="{C3380CC4-5D6E-409C-BE32-E72D297353CC}">
                  <c16:uniqueId val="{0000000B-EA35-49B0-B476-18A2988B2311}"/>
                </c:ext>
              </c:extLst>
            </c:dLbl>
            <c:dLbl>
              <c:idx val="12"/>
              <c:layout>
                <c:manualLayout>
                  <c:x val="-9.1506718084820408E-3"/>
                  <c:y val="-1.8404450940638407E-2"/>
                </c:manualLayout>
              </c:layout>
              <c:tx>
                <c:strRef>
                  <c:f>'Figure 14 (2)'!$A$16</c:f>
                  <c:strCache>
                    <c:ptCount val="1"/>
                    <c:pt idx="0">
                      <c:v> NIC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{0BCBF7FA-9FBD-4BDD-BC2B-6F8E8ADFD15B}</c15:txfldGUID>
                      <c15:f>'Figure 14 (2)'!$A$16</c15:f>
                      <c15:dlblFieldTableCache>
                        <c:ptCount val="1"/>
                        <c:pt idx="0">
                          <c:v> NIC </c:v>
                        </c:pt>
                      </c15:dlblFieldTableCache>
                    </c15:dlblFTEntry>
                  </c15:dlblFieldTable>
                  <c15:showDataLabelsRange val="0"/>
                </c:ext>
                <c:ext xmlns:c16="http://schemas.microsoft.com/office/drawing/2014/chart" uri="{C3380CC4-5D6E-409C-BE32-E72D297353CC}">
                  <c16:uniqueId val="{0000000C-EA35-49B0-B476-18A2988B2311}"/>
                </c:ext>
              </c:extLst>
            </c:dLbl>
            <c:dLbl>
              <c:idx val="13"/>
              <c:layout>
                <c:manualLayout>
                  <c:x val="-4.702999738325761E-3"/>
                  <c:y val="3.3549223613235341E-2"/>
                </c:manualLayout>
              </c:layout>
              <c:tx>
                <c:strRef>
                  <c:f>'Figure 14 (2)'!$A$17</c:f>
                  <c:strCache>
                    <c:ptCount val="1"/>
                    <c:pt idx="0">
                      <c:v> PAN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{80B32E24-281B-422A-894B-C1649E45E38F}</c15:txfldGUID>
                      <c15:f>'Figure 14 (2)'!$A$17</c15:f>
                      <c15:dlblFieldTableCache>
                        <c:ptCount val="1"/>
                        <c:pt idx="0">
                          <c:v> PAN </c:v>
                        </c:pt>
                      </c15:dlblFieldTableCache>
                    </c15:dlblFTEntry>
                  </c15:dlblFieldTable>
                  <c15:showDataLabelsRange val="0"/>
                </c:ext>
                <c:ext xmlns:c16="http://schemas.microsoft.com/office/drawing/2014/chart" uri="{C3380CC4-5D6E-409C-BE32-E72D297353CC}">
                  <c16:uniqueId val="{0000000D-EA35-49B0-B476-18A2988B2311}"/>
                </c:ext>
              </c:extLst>
            </c:dLbl>
            <c:dLbl>
              <c:idx val="14"/>
              <c:tx>
                <c:strRef>
                  <c:f>'Figure 14 (2)'!$A$18</c:f>
                  <c:strCache>
                    <c:ptCount val="1"/>
                    <c:pt idx="0">
                      <c:v> PER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{267016FA-B186-4CD9-B06C-55ED3902993A}</c15:txfldGUID>
                      <c15:f>'Figure 14 (2)'!$A$18</c15:f>
                      <c15:dlblFieldTableCache>
                        <c:ptCount val="1"/>
                        <c:pt idx="0">
                          <c:v> PER </c:v>
                        </c:pt>
                      </c15:dlblFieldTableCache>
                    </c15:dlblFTEntry>
                  </c15:dlblFieldTable>
                  <c15:showDataLabelsRange val="0"/>
                </c:ext>
                <c:ext xmlns:c16="http://schemas.microsoft.com/office/drawing/2014/chart" uri="{C3380CC4-5D6E-409C-BE32-E72D297353CC}">
                  <c16:uniqueId val="{0000000E-EA35-49B0-B476-18A2988B2311}"/>
                </c:ext>
              </c:extLst>
            </c:dLbl>
            <c:dLbl>
              <c:idx val="15"/>
              <c:layout>
                <c:manualLayout>
                  <c:x val="-4.9546827794561933E-3"/>
                  <c:y val="1.5748031496062992E-3"/>
                </c:manualLayout>
              </c:layout>
              <c:tx>
                <c:strRef>
                  <c:f>'Figure 14 (2)'!$A$19</c:f>
                  <c:strCache>
                    <c:ptCount val="1"/>
                    <c:pt idx="0">
                      <c:v> PRY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{7F43503E-D955-4FB4-B96B-801C36E9B56C}</c15:txfldGUID>
                      <c15:f>'Figure 14 (2)'!$A$19</c15:f>
                      <c15:dlblFieldTableCache>
                        <c:ptCount val="1"/>
                        <c:pt idx="0">
                          <c:v> PRY </c:v>
                        </c:pt>
                      </c15:dlblFieldTableCache>
                    </c15:dlblFTEntry>
                  </c15:dlblFieldTable>
                  <c15:showDataLabelsRange val="0"/>
                </c:ext>
                <c:ext xmlns:c16="http://schemas.microsoft.com/office/drawing/2014/chart" uri="{C3380CC4-5D6E-409C-BE32-E72D297353CC}">
                  <c16:uniqueId val="{0000000F-EA35-49B0-B476-18A2988B2311}"/>
                </c:ext>
              </c:extLst>
            </c:dLbl>
            <c:dLbl>
              <c:idx val="16"/>
              <c:layout>
                <c:manualLayout>
                  <c:x val="-1.815210409877013E-2"/>
                  <c:y val="-3.0399617314022798E-2"/>
                </c:manualLayout>
              </c:layout>
              <c:tx>
                <c:strRef>
                  <c:f>'Figure 14 (2)'!$A$20</c:f>
                  <c:strCache>
                    <c:ptCount val="1"/>
                    <c:pt idx="0">
                      <c:v> SLV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r"/>
              <c:showLegendKey val="0"/>
              <c:showVal val="1"/>
              <c:showCatName val="0"/>
              <c:showSerName val="0"/>
              <c:showPercent val="0"/>
              <c:showBubbleSize val="0"/>
              <c:extLst>
                <c:ext xmlns:c15="http://schemas.microsoft.com/office/drawing/2012/chart" uri="{CE6537A1-D6FC-4f65-9D91-7224C49458BB}">
                  <c15:dlblFieldTable>
                    <c15:dlblFTEntry>
                      <c15:txfldGUID>{1A523346-6BA3-4816-8D47-DF0192EB0DB4}</c15:txfldGUID>
                      <c15:f>'Figure 14 (2)'!$A$20</c15:f>
                      <c15:dlblFieldTableCache>
                        <c:ptCount val="1"/>
                        <c:pt idx="0">
                          <c:v> SLV </c:v>
                        </c:pt>
                      </c15:dlblFieldTableCache>
                    </c15:dlblFTEntry>
                  </c15:dlblFieldTable>
                  <c15:showDataLabelsRange val="0"/>
                </c:ext>
                <c:ext xmlns:c16="http://schemas.microsoft.com/office/drawing/2014/chart" uri="{C3380CC4-5D6E-409C-BE32-E72D297353CC}">
                  <c16:uniqueId val="{00000010-EA35-49B0-B476-18A2988B2311}"/>
                </c:ext>
              </c:extLst>
            </c:dLbl>
            <c:dLbl>
              <c:idx val="17"/>
              <c:tx>
                <c:strRef>
                  <c:f>'Figure 14 (2)'!$A$21</c:f>
                  <c:strCache>
                    <c:ptCount val="1"/>
                    <c:pt idx="0">
                      <c:v> URY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{80CEB7D5-BF67-4A24-AD97-ACB5E56B7CB4}</c15:txfldGUID>
                      <c15:f>'Figure 14 (2)'!$A$21</c15:f>
                      <c15:dlblFieldTableCache>
                        <c:ptCount val="1"/>
                        <c:pt idx="0">
                          <c:v> URY </c:v>
                        </c:pt>
                      </c15:dlblFieldTableCache>
                    </c15:dlblFTEntry>
                  </c15:dlblFieldTable>
                  <c15:showDataLabelsRange val="0"/>
                </c:ext>
                <c:ext xmlns:c16="http://schemas.microsoft.com/office/drawing/2014/chart" uri="{C3380CC4-5D6E-409C-BE32-E72D297353CC}">
                  <c16:uniqueId val="{00000011-EA35-49B0-B476-18A2988B2311}"/>
                </c:ext>
              </c:extLst>
            </c:dLbl>
            <c:dLbl>
              <c:idx val="18"/>
              <c:tx>
                <c:strRef>
                  <c:f>'Figure 14 (2)'!$A$22</c:f>
                  <c:strCache>
                    <c:ptCount val="1"/>
                    <c:pt idx="0">
                      <c:v> VEN </c:v>
                    </c:pt>
                  </c:strCache>
                </c:strRef>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Calibri" panose="020F0502020204030204" pitchFamily="34" charset="0"/>
                      <a:ea typeface="+mn-ea"/>
                      <a:cs typeface="Times New Roman" panose="02020603050405020304" pitchFamily="18" charset="0"/>
                    </a:defRPr>
                  </a:pPr>
                  <a:endParaRPr lang="es-DO"/>
                </a:p>
              </c:txPr>
              <c:dLblPos val="b"/>
              <c:showLegendKey val="0"/>
              <c:showVal val="1"/>
              <c:showCatName val="0"/>
              <c:showSerName val="0"/>
              <c:showPercent val="0"/>
              <c:showBubbleSize val="0"/>
              <c:extLst>
                <c:ext xmlns:c15="http://schemas.microsoft.com/office/drawing/2012/chart" uri="{CE6537A1-D6FC-4f65-9D91-7224C49458BB}">
                  <c15:dlblFieldTable>
                    <c15:dlblFTEntry>
                      <c15:txfldGUID>{79816A5F-DF1F-4E1A-A9DB-96402918621F}</c15:txfldGUID>
                      <c15:f>'Figure 14 (2)'!$A$22</c15:f>
                      <c15:dlblFieldTableCache>
                        <c:ptCount val="1"/>
                        <c:pt idx="0">
                          <c:v> VEN </c:v>
                        </c:pt>
                      </c15:dlblFieldTableCache>
                    </c15:dlblFTEntry>
                  </c15:dlblFieldTable>
                  <c15:showDataLabelsRange val="0"/>
                </c:ext>
                <c:ext xmlns:c16="http://schemas.microsoft.com/office/drawing/2014/chart" uri="{C3380CC4-5D6E-409C-BE32-E72D297353CC}">
                  <c16:uniqueId val="{00000012-EA35-49B0-B476-18A2988B231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Times New Roman" panose="02020603050405020304" pitchFamily="18" charset="0"/>
                    <a:ea typeface="+mn-ea"/>
                    <a:cs typeface="Times New Roman" panose="02020603050405020304" pitchFamily="18" charset="0"/>
                  </a:defRPr>
                </a:pPr>
                <a:endParaRPr lang="es-D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1"/>
                </a:solidFill>
                <a:prstDash val="sysDot"/>
              </a:ln>
              <a:effectLst/>
            </c:spPr>
            <c:trendlineType val="linear"/>
            <c:dispRSqr val="0"/>
            <c:dispEq val="0"/>
          </c:trendline>
          <c:xVal>
            <c:numRef>
              <c:f>'Figure 14 (2)'!$N$4:$N$22</c:f>
              <c:numCache>
                <c:formatCode>#,##0.00_);\(#,##0.00\)</c:formatCode>
                <c:ptCount val="19"/>
                <c:pt idx="0">
                  <c:v>2.4000000000000004</c:v>
                </c:pt>
                <c:pt idx="1">
                  <c:v>5.2</c:v>
                </c:pt>
                <c:pt idx="2">
                  <c:v>2.2000000000000002</c:v>
                </c:pt>
                <c:pt idx="3">
                  <c:v>3.2</c:v>
                </c:pt>
                <c:pt idx="4">
                  <c:v>2.4000000000000004</c:v>
                </c:pt>
                <c:pt idx="5">
                  <c:v>2</c:v>
                </c:pt>
                <c:pt idx="6">
                  <c:v>1.4</c:v>
                </c:pt>
                <c:pt idx="7">
                  <c:v>2</c:v>
                </c:pt>
                <c:pt idx="8">
                  <c:v>1.6</c:v>
                </c:pt>
                <c:pt idx="9">
                  <c:v>4.2</c:v>
                </c:pt>
                <c:pt idx="10">
                  <c:v>2.4000000000000004</c:v>
                </c:pt>
                <c:pt idx="11">
                  <c:v>3.4</c:v>
                </c:pt>
                <c:pt idx="12">
                  <c:v>2.4000000000000004</c:v>
                </c:pt>
                <c:pt idx="13">
                  <c:v>3</c:v>
                </c:pt>
                <c:pt idx="14">
                  <c:v>2.8000000000000003</c:v>
                </c:pt>
                <c:pt idx="15">
                  <c:v>3</c:v>
                </c:pt>
                <c:pt idx="16">
                  <c:v>1.8000000000000003</c:v>
                </c:pt>
                <c:pt idx="17">
                  <c:v>2.4000000000000004</c:v>
                </c:pt>
                <c:pt idx="18">
                  <c:v>6.0000000000000009</c:v>
                </c:pt>
              </c:numCache>
            </c:numRef>
          </c:xVal>
          <c:yVal>
            <c:numRef>
              <c:f>'Figure 14 (2)'!$T$4:$T$22</c:f>
              <c:numCache>
                <c:formatCode>0%</c:formatCode>
                <c:ptCount val="19"/>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numCache>
            </c:numRef>
          </c:yVal>
          <c:smooth val="0"/>
          <c:extLst>
            <c:ext xmlns:c16="http://schemas.microsoft.com/office/drawing/2014/chart" uri="{C3380CC4-5D6E-409C-BE32-E72D297353CC}">
              <c16:uniqueId val="{00000015-EA35-49B0-B476-18A2988B2311}"/>
            </c:ext>
          </c:extLst>
        </c:ser>
        <c:dLbls>
          <c:showLegendKey val="0"/>
          <c:showVal val="0"/>
          <c:showCatName val="0"/>
          <c:showSerName val="0"/>
          <c:showPercent val="0"/>
          <c:showBubbleSize val="0"/>
        </c:dLbls>
        <c:axId val="236609920"/>
        <c:axId val="236611840"/>
      </c:scatterChart>
      <c:valAx>
        <c:axId val="236609920"/>
        <c:scaling>
          <c:orientation val="minMax"/>
        </c:scaling>
        <c:delete val="0"/>
        <c:axPos val="b"/>
        <c:majorGridlines>
          <c:spPr>
            <a:ln w="9525" cap="flat" cmpd="sng" algn="ctr">
              <a:solidFill>
                <a:schemeClr val="tx1">
                  <a:lumMod val="15000"/>
                  <a:lumOff val="85000"/>
                </a:schemeClr>
              </a:solidFill>
              <a:round/>
            </a:ln>
            <a:effectLst/>
          </c:spPr>
        </c:majorGridlines>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EPR Indicator-individual dismissals: Difficulty of dismissal</a:t>
                </a:r>
              </a:p>
            </c:rich>
          </c:tx>
          <c:layout>
            <c:manualLayout>
              <c:xMode val="edge"/>
              <c:yMode val="edge"/>
              <c:x val="0.20414312617702449"/>
              <c:y val="0.90358974358974364"/>
            </c:manualLayout>
          </c:layout>
          <c:overlay val="0"/>
          <c:spPr>
            <a:noFill/>
            <a:ln>
              <a:noFill/>
            </a:ln>
            <a:effectLst/>
          </c:spPr>
        </c:title>
        <c:numFmt formatCode="#,##0.00_);\(#,##0.0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611840"/>
        <c:crosses val="autoZero"/>
        <c:crossBetween val="midCat"/>
      </c:valAx>
      <c:valAx>
        <c:axId val="236611840"/>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s-ES"/>
                  <a:t>Cost of job security provisions as % of the annual wage of formal workers</a:t>
                </a:r>
              </a:p>
            </c:rich>
          </c:tx>
          <c:layout>
            <c:manualLayout>
              <c:xMode val="edge"/>
              <c:yMode val="edge"/>
              <c:x val="6.5681433668820077E-3"/>
              <c:y val="8.5861800810514935E-2"/>
            </c:manualLayout>
          </c:layout>
          <c:overlay val="0"/>
          <c:spPr>
            <a:noFill/>
            <a:ln>
              <a:noFill/>
            </a:ln>
            <a:effectLst/>
          </c:spPr>
        </c:title>
        <c:numFmt formatCode="0%" sourceLinked="1"/>
        <c:majorTickMark val="none"/>
        <c:minorTickMark val="none"/>
        <c:tickLblPos val="nextTo"/>
        <c:spPr>
          <a:noFill/>
          <a:ln w="9525" cap="flat" cmpd="sng" algn="ctr">
            <a:solidFill>
              <a:schemeClr val="tx1">
                <a:lumMod val="25000"/>
                <a:lumOff val="7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6609920"/>
        <c:crosses val="autoZero"/>
        <c:crossBetween val="midCat"/>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6453303460229289E-2"/>
          <c:y val="1.2889375755344218E-2"/>
          <c:w val="0.88131096154646738"/>
          <c:h val="0.76059340409056186"/>
        </c:manualLayout>
      </c:layout>
      <c:barChart>
        <c:barDir val="col"/>
        <c:grouping val="stacked"/>
        <c:varyColors val="0"/>
        <c:ser>
          <c:idx val="0"/>
          <c:order val="0"/>
          <c:tx>
            <c:strRef>
              <c:f>'Figure 14'!$U$56</c:f>
              <c:strCache>
                <c:ptCount val="1"/>
                <c:pt idx="0">
                  <c:v>Minimum wage</c:v>
                </c:pt>
              </c:strCache>
            </c:strRef>
          </c:tx>
          <c:spPr>
            <a:solidFill>
              <a:srgbClr val="93CDDD"/>
            </a:solidFill>
          </c:spPr>
          <c:invertIfNegative val="0"/>
          <c:cat>
            <c:multiLvlStrRef>
              <c:f>'Figure 14'!$S$57:$T$98</c:f>
              <c:multiLvlStrCache>
                <c:ptCount val="40"/>
                <c:lvl>
                  <c:pt idx="0">
                    <c:v>2013</c:v>
                  </c:pt>
                  <c:pt idx="1">
                    <c:v>2025</c:v>
                  </c:pt>
                  <c:pt idx="2">
                    <c:v>2013</c:v>
                  </c:pt>
                  <c:pt idx="3">
                    <c:v>2025</c:v>
                  </c:pt>
                  <c:pt idx="4">
                    <c:v>2013</c:v>
                  </c:pt>
                  <c:pt idx="5">
                    <c:v>2025</c:v>
                  </c:pt>
                  <c:pt idx="6">
                    <c:v>2013</c:v>
                  </c:pt>
                  <c:pt idx="7">
                    <c:v>2025</c:v>
                  </c:pt>
                  <c:pt idx="8">
                    <c:v>2013</c:v>
                  </c:pt>
                  <c:pt idx="9">
                    <c:v>2025</c:v>
                  </c:pt>
                  <c:pt idx="10">
                    <c:v>2013</c:v>
                  </c:pt>
                  <c:pt idx="11">
                    <c:v>2025</c:v>
                  </c:pt>
                  <c:pt idx="12">
                    <c:v>2013</c:v>
                  </c:pt>
                  <c:pt idx="13">
                    <c:v>2025</c:v>
                  </c:pt>
                  <c:pt idx="14">
                    <c:v>2013</c:v>
                  </c:pt>
                  <c:pt idx="15">
                    <c:v>2025</c:v>
                  </c:pt>
                  <c:pt idx="16">
                    <c:v>2013</c:v>
                  </c:pt>
                  <c:pt idx="17">
                    <c:v>2025</c:v>
                  </c:pt>
                  <c:pt idx="18">
                    <c:v>2013</c:v>
                  </c:pt>
                  <c:pt idx="19">
                    <c:v>2025</c:v>
                  </c:pt>
                  <c:pt idx="20">
                    <c:v>2013</c:v>
                  </c:pt>
                  <c:pt idx="21">
                    <c:v>2025</c:v>
                  </c:pt>
                  <c:pt idx="22">
                    <c:v>2013</c:v>
                  </c:pt>
                  <c:pt idx="23">
                    <c:v>2025</c:v>
                  </c:pt>
                  <c:pt idx="24">
                    <c:v>2013</c:v>
                  </c:pt>
                  <c:pt idx="25">
                    <c:v>2025</c:v>
                  </c:pt>
                  <c:pt idx="26">
                    <c:v>2013</c:v>
                  </c:pt>
                  <c:pt idx="27">
                    <c:v>2025</c:v>
                  </c:pt>
                  <c:pt idx="28">
                    <c:v>2013</c:v>
                  </c:pt>
                  <c:pt idx="29">
                    <c:v>2025</c:v>
                  </c:pt>
                  <c:pt idx="30">
                    <c:v>2013</c:v>
                  </c:pt>
                  <c:pt idx="31">
                    <c:v>2025</c:v>
                  </c:pt>
                  <c:pt idx="32">
                    <c:v>2013</c:v>
                  </c:pt>
                  <c:pt idx="33">
                    <c:v>2025</c:v>
                  </c:pt>
                  <c:pt idx="34">
                    <c:v>2013</c:v>
                  </c:pt>
                  <c:pt idx="35">
                    <c:v>2025</c:v>
                  </c:pt>
                  <c:pt idx="36">
                    <c:v>2013</c:v>
                  </c:pt>
                  <c:pt idx="37">
                    <c:v>2025</c:v>
                  </c:pt>
                  <c:pt idx="38">
                    <c:v>2013</c:v>
                  </c:pt>
                  <c:pt idx="39">
                    <c:v>2025</c:v>
                  </c:pt>
                </c:lvl>
                <c:lvl>
                  <c:pt idx="0">
                    <c:v>HND</c:v>
                  </c:pt>
                  <c:pt idx="2">
                    <c:v>PRY</c:v>
                  </c:pt>
                  <c:pt idx="4">
                    <c:v>GTM</c:v>
                  </c:pt>
                  <c:pt idx="6">
                    <c:v>BOL</c:v>
                  </c:pt>
                  <c:pt idx="8">
                    <c:v>CRI</c:v>
                  </c:pt>
                  <c:pt idx="10">
                    <c:v>ECU</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14'!$U$57:$U$98</c:f>
              <c:numCache>
                <c:formatCode>0.0%</c:formatCode>
                <c:ptCount val="40"/>
                <c:pt idx="0">
                  <c:v>0.60360037170655934</c:v>
                </c:pt>
                <c:pt idx="1">
                  <c:v>0.79559695446012157</c:v>
                </c:pt>
                <c:pt idx="2">
                  <c:v>0.47318120928341578</c:v>
                </c:pt>
                <c:pt idx="3">
                  <c:v>0.36249304285204764</c:v>
                </c:pt>
                <c:pt idx="4">
                  <c:v>0.43111527077335021</c:v>
                </c:pt>
                <c:pt idx="5">
                  <c:v>0.33934482184678116</c:v>
                </c:pt>
                <c:pt idx="6">
                  <c:v>0.33260979240199495</c:v>
                </c:pt>
                <c:pt idx="7">
                  <c:v>0.65952889453992392</c:v>
                </c:pt>
                <c:pt idx="8">
                  <c:v>0.28651801085937356</c:v>
                </c:pt>
                <c:pt idx="9">
                  <c:v>0.23853123661312109</c:v>
                </c:pt>
                <c:pt idx="10" formatCode="0.00%">
                  <c:v>0.2913081494928525</c:v>
                </c:pt>
                <c:pt idx="11">
                  <c:v>0.3990160088028501</c:v>
                </c:pt>
                <c:pt idx="12">
                  <c:v>0.26411503866993924</c:v>
                </c:pt>
                <c:pt idx="13">
                  <c:v>0.23627178982566321</c:v>
                </c:pt>
                <c:pt idx="14">
                  <c:v>0.25373341501477159</c:v>
                </c:pt>
                <c:pt idx="15">
                  <c:v>0.30439590606112121</c:v>
                </c:pt>
                <c:pt idx="16">
                  <c:v>0.20378784204525005</c:v>
                </c:pt>
                <c:pt idx="17">
                  <c:v>0.14672339936476791</c:v>
                </c:pt>
                <c:pt idx="18">
                  <c:v>0.23729936830079326</c:v>
                </c:pt>
                <c:pt idx="19">
                  <c:v>0.36850822214440498</c:v>
                </c:pt>
                <c:pt idx="20">
                  <c:v>0.22496508801246287</c:v>
                </c:pt>
                <c:pt idx="21">
                  <c:v>0.19540515295546967</c:v>
                </c:pt>
                <c:pt idx="22">
                  <c:v>0.21508332584110071</c:v>
                </c:pt>
                <c:pt idx="23">
                  <c:v>0.26866958839796823</c:v>
                </c:pt>
                <c:pt idx="24">
                  <c:v>0.21637842937200005</c:v>
                </c:pt>
                <c:pt idx="25">
                  <c:v>0.41868439201574137</c:v>
                </c:pt>
                <c:pt idx="26">
                  <c:v>0.18819818749349776</c:v>
                </c:pt>
                <c:pt idx="27">
                  <c:v>6.1986797623778738E-3</c:v>
                </c:pt>
                <c:pt idx="28">
                  <c:v>0.15517232954099469</c:v>
                </c:pt>
                <c:pt idx="29">
                  <c:v>0.16563150338532012</c:v>
                </c:pt>
                <c:pt idx="30">
                  <c:v>0.14994018775599496</c:v>
                </c:pt>
                <c:pt idx="31">
                  <c:v>0.15402084951629272</c:v>
                </c:pt>
                <c:pt idx="32">
                  <c:v>0.14874173741316807</c:v>
                </c:pt>
                <c:pt idx="33">
                  <c:v>0.2055041822830394</c:v>
                </c:pt>
                <c:pt idx="34">
                  <c:v>0.15956032078524277</c:v>
                </c:pt>
                <c:pt idx="35">
                  <c:v>0.19019474646326937</c:v>
                </c:pt>
                <c:pt idx="36">
                  <c:v>7.6071340208097735E-2</c:v>
                </c:pt>
                <c:pt idx="37">
                  <c:v>0.18083926013157414</c:v>
                </c:pt>
                <c:pt idx="38">
                  <c:v>9.7757846915806731E-2</c:v>
                </c:pt>
                <c:pt idx="39">
                  <c:v>0.1541622635018241</c:v>
                </c:pt>
              </c:numCache>
            </c:numRef>
          </c:val>
          <c:extLst>
            <c:ext xmlns:c16="http://schemas.microsoft.com/office/drawing/2014/chart" uri="{C3380CC4-5D6E-409C-BE32-E72D297353CC}">
              <c16:uniqueId val="{00000000-BA04-41B2-B741-3D4D917871BD}"/>
            </c:ext>
          </c:extLst>
        </c:ser>
        <c:ser>
          <c:idx val="1"/>
          <c:order val="1"/>
          <c:tx>
            <c:strRef>
              <c:f>'Figure 14'!$V$56</c:f>
              <c:strCache>
                <c:ptCount val="1"/>
                <c:pt idx="0">
                  <c:v>Mandatory contributions</c:v>
                </c:pt>
              </c:strCache>
            </c:strRef>
          </c:tx>
          <c:spPr>
            <a:solidFill>
              <a:schemeClr val="tx2"/>
            </a:solidFill>
          </c:spPr>
          <c:invertIfNegative val="0"/>
          <c:cat>
            <c:multiLvlStrRef>
              <c:f>'Figure 14'!$S$57:$T$98</c:f>
              <c:multiLvlStrCache>
                <c:ptCount val="40"/>
                <c:lvl>
                  <c:pt idx="0">
                    <c:v>2013</c:v>
                  </c:pt>
                  <c:pt idx="1">
                    <c:v>2025</c:v>
                  </c:pt>
                  <c:pt idx="2">
                    <c:v>2013</c:v>
                  </c:pt>
                  <c:pt idx="3">
                    <c:v>2025</c:v>
                  </c:pt>
                  <c:pt idx="4">
                    <c:v>2013</c:v>
                  </c:pt>
                  <c:pt idx="5">
                    <c:v>2025</c:v>
                  </c:pt>
                  <c:pt idx="6">
                    <c:v>2013</c:v>
                  </c:pt>
                  <c:pt idx="7">
                    <c:v>2025</c:v>
                  </c:pt>
                  <c:pt idx="8">
                    <c:v>2013</c:v>
                  </c:pt>
                  <c:pt idx="9">
                    <c:v>2025</c:v>
                  </c:pt>
                  <c:pt idx="10">
                    <c:v>2013</c:v>
                  </c:pt>
                  <c:pt idx="11">
                    <c:v>2025</c:v>
                  </c:pt>
                  <c:pt idx="12">
                    <c:v>2013</c:v>
                  </c:pt>
                  <c:pt idx="13">
                    <c:v>2025</c:v>
                  </c:pt>
                  <c:pt idx="14">
                    <c:v>2013</c:v>
                  </c:pt>
                  <c:pt idx="15">
                    <c:v>2025</c:v>
                  </c:pt>
                  <c:pt idx="16">
                    <c:v>2013</c:v>
                  </c:pt>
                  <c:pt idx="17">
                    <c:v>2025</c:v>
                  </c:pt>
                  <c:pt idx="18">
                    <c:v>2013</c:v>
                  </c:pt>
                  <c:pt idx="19">
                    <c:v>2025</c:v>
                  </c:pt>
                  <c:pt idx="20">
                    <c:v>2013</c:v>
                  </c:pt>
                  <c:pt idx="21">
                    <c:v>2025</c:v>
                  </c:pt>
                  <c:pt idx="22">
                    <c:v>2013</c:v>
                  </c:pt>
                  <c:pt idx="23">
                    <c:v>2025</c:v>
                  </c:pt>
                  <c:pt idx="24">
                    <c:v>2013</c:v>
                  </c:pt>
                  <c:pt idx="25">
                    <c:v>2025</c:v>
                  </c:pt>
                  <c:pt idx="26">
                    <c:v>2013</c:v>
                  </c:pt>
                  <c:pt idx="27">
                    <c:v>2025</c:v>
                  </c:pt>
                  <c:pt idx="28">
                    <c:v>2013</c:v>
                  </c:pt>
                  <c:pt idx="29">
                    <c:v>2025</c:v>
                  </c:pt>
                  <c:pt idx="30">
                    <c:v>2013</c:v>
                  </c:pt>
                  <c:pt idx="31">
                    <c:v>2025</c:v>
                  </c:pt>
                  <c:pt idx="32">
                    <c:v>2013</c:v>
                  </c:pt>
                  <c:pt idx="33">
                    <c:v>2025</c:v>
                  </c:pt>
                  <c:pt idx="34">
                    <c:v>2013</c:v>
                  </c:pt>
                  <c:pt idx="35">
                    <c:v>2025</c:v>
                  </c:pt>
                  <c:pt idx="36">
                    <c:v>2013</c:v>
                  </c:pt>
                  <c:pt idx="37">
                    <c:v>2025</c:v>
                  </c:pt>
                  <c:pt idx="38">
                    <c:v>2013</c:v>
                  </c:pt>
                  <c:pt idx="39">
                    <c:v>2025</c:v>
                  </c:pt>
                </c:lvl>
                <c:lvl>
                  <c:pt idx="0">
                    <c:v>HND</c:v>
                  </c:pt>
                  <c:pt idx="2">
                    <c:v>PRY</c:v>
                  </c:pt>
                  <c:pt idx="4">
                    <c:v>GTM</c:v>
                  </c:pt>
                  <c:pt idx="6">
                    <c:v>BOL</c:v>
                  </c:pt>
                  <c:pt idx="8">
                    <c:v>CRI</c:v>
                  </c:pt>
                  <c:pt idx="10">
                    <c:v>ECU</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14'!$V$57:$V$98</c:f>
              <c:numCache>
                <c:formatCode>0.0%</c:formatCode>
                <c:ptCount val="40"/>
                <c:pt idx="0">
                  <c:v>4.6477228621405076E-2</c:v>
                </c:pt>
                <c:pt idx="1">
                  <c:v>4.9327011176527533E-2</c:v>
                </c:pt>
                <c:pt idx="2">
                  <c:v>0.13313450140133914</c:v>
                </c:pt>
                <c:pt idx="3">
                  <c:v>0.10199122360468821</c:v>
                </c:pt>
                <c:pt idx="4">
                  <c:v>7.5445172385336295E-2</c:v>
                </c:pt>
                <c:pt idx="5">
                  <c:v>5.9385343823186706E-2</c:v>
                </c:pt>
                <c:pt idx="6">
                  <c:v>8.122331130456717E-2</c:v>
                </c:pt>
                <c:pt idx="7">
                  <c:v>0.16105695604664941</c:v>
                </c:pt>
                <c:pt idx="8">
                  <c:v>0.11052334146293877</c:v>
                </c:pt>
                <c:pt idx="9">
                  <c:v>9.9043695715899077E-2</c:v>
                </c:pt>
                <c:pt idx="10">
                  <c:v>9.8321355027826282E-2</c:v>
                </c:pt>
                <c:pt idx="11">
                  <c:v>0.12492411558336035</c:v>
                </c:pt>
                <c:pt idx="12">
                  <c:v>9.1238153873919231E-2</c:v>
                </c:pt>
                <c:pt idx="13">
                  <c:v>8.5636364704906209E-2</c:v>
                </c:pt>
                <c:pt idx="14">
                  <c:v>6.6760485099831957E-2</c:v>
                </c:pt>
                <c:pt idx="15">
                  <c:v>7.7437221410211948E-2</c:v>
                </c:pt>
                <c:pt idx="16">
                  <c:v>9.0596816376204231E-2</c:v>
                </c:pt>
                <c:pt idx="17">
                  <c:v>6.6623069557605191E-2</c:v>
                </c:pt>
                <c:pt idx="18">
                  <c:v>5.813834523369435E-2</c:v>
                </c:pt>
                <c:pt idx="19">
                  <c:v>0.10133976108971138</c:v>
                </c:pt>
                <c:pt idx="20">
                  <c:v>6.1813463539944005E-2</c:v>
                </c:pt>
                <c:pt idx="21">
                  <c:v>5.8576434459101386E-2</c:v>
                </c:pt>
                <c:pt idx="22">
                  <c:v>7.376768806963889E-2</c:v>
                </c:pt>
                <c:pt idx="23">
                  <c:v>9.4179153219923997E-2</c:v>
                </c:pt>
                <c:pt idx="24">
                  <c:v>4.0286958818699252E-2</c:v>
                </c:pt>
                <c:pt idx="25">
                  <c:v>8.164345644306957E-2</c:v>
                </c:pt>
                <c:pt idx="26">
                  <c:v>4.0937810734523107E-2</c:v>
                </c:pt>
                <c:pt idx="27">
                  <c:v>1.9060940269311961E-3</c:v>
                </c:pt>
                <c:pt idx="28">
                  <c:v>7.0864864688187423E-2</c:v>
                </c:pt>
                <c:pt idx="29">
                  <c:v>7.7072807255530548E-2</c:v>
                </c:pt>
                <c:pt idx="30">
                  <c:v>5.9518715647008197E-2</c:v>
                </c:pt>
                <c:pt idx="31">
                  <c:v>6.1487315486522705E-2</c:v>
                </c:pt>
                <c:pt idx="32">
                  <c:v>3.5236917593179512E-2</c:v>
                </c:pt>
                <c:pt idx="33">
                  <c:v>5.1745953098869327E-2</c:v>
                </c:pt>
                <c:pt idx="34">
                  <c:v>3.904048834301229E-2</c:v>
                </c:pt>
                <c:pt idx="35">
                  <c:v>4.6535979281436657E-2</c:v>
                </c:pt>
                <c:pt idx="36">
                  <c:v>1.7310648858482013E-2</c:v>
                </c:pt>
                <c:pt idx="37">
                  <c:v>5.2951926054585992E-2</c:v>
                </c:pt>
                <c:pt idx="38">
                  <c:v>1.3167961721156521E-2</c:v>
                </c:pt>
                <c:pt idx="39">
                  <c:v>2.034941878224078E-2</c:v>
                </c:pt>
              </c:numCache>
            </c:numRef>
          </c:val>
          <c:extLst>
            <c:ext xmlns:c16="http://schemas.microsoft.com/office/drawing/2014/chart" uri="{C3380CC4-5D6E-409C-BE32-E72D297353CC}">
              <c16:uniqueId val="{00000001-BA04-41B2-B741-3D4D917871BD}"/>
            </c:ext>
          </c:extLst>
        </c:ser>
        <c:ser>
          <c:idx val="2"/>
          <c:order val="2"/>
          <c:tx>
            <c:strRef>
              <c:f>'Figure 14'!$W$56</c:f>
              <c:strCache>
                <c:ptCount val="1"/>
                <c:pt idx="0">
                  <c:v>Bonus</c:v>
                </c:pt>
              </c:strCache>
            </c:strRef>
          </c:tx>
          <c:spPr>
            <a:solidFill>
              <a:schemeClr val="accent2">
                <a:lumMod val="40000"/>
                <a:lumOff val="60000"/>
              </a:schemeClr>
            </a:solidFill>
          </c:spPr>
          <c:invertIfNegative val="0"/>
          <c:cat>
            <c:multiLvlStrRef>
              <c:f>'Figure 14'!$S$57:$T$98</c:f>
              <c:multiLvlStrCache>
                <c:ptCount val="40"/>
                <c:lvl>
                  <c:pt idx="0">
                    <c:v>2013</c:v>
                  </c:pt>
                  <c:pt idx="1">
                    <c:v>2025</c:v>
                  </c:pt>
                  <c:pt idx="2">
                    <c:v>2013</c:v>
                  </c:pt>
                  <c:pt idx="3">
                    <c:v>2025</c:v>
                  </c:pt>
                  <c:pt idx="4">
                    <c:v>2013</c:v>
                  </c:pt>
                  <c:pt idx="5">
                    <c:v>2025</c:v>
                  </c:pt>
                  <c:pt idx="6">
                    <c:v>2013</c:v>
                  </c:pt>
                  <c:pt idx="7">
                    <c:v>2025</c:v>
                  </c:pt>
                  <c:pt idx="8">
                    <c:v>2013</c:v>
                  </c:pt>
                  <c:pt idx="9">
                    <c:v>2025</c:v>
                  </c:pt>
                  <c:pt idx="10">
                    <c:v>2013</c:v>
                  </c:pt>
                  <c:pt idx="11">
                    <c:v>2025</c:v>
                  </c:pt>
                  <c:pt idx="12">
                    <c:v>2013</c:v>
                  </c:pt>
                  <c:pt idx="13">
                    <c:v>2025</c:v>
                  </c:pt>
                  <c:pt idx="14">
                    <c:v>2013</c:v>
                  </c:pt>
                  <c:pt idx="15">
                    <c:v>2025</c:v>
                  </c:pt>
                  <c:pt idx="16">
                    <c:v>2013</c:v>
                  </c:pt>
                  <c:pt idx="17">
                    <c:v>2025</c:v>
                  </c:pt>
                  <c:pt idx="18">
                    <c:v>2013</c:v>
                  </c:pt>
                  <c:pt idx="19">
                    <c:v>2025</c:v>
                  </c:pt>
                  <c:pt idx="20">
                    <c:v>2013</c:v>
                  </c:pt>
                  <c:pt idx="21">
                    <c:v>2025</c:v>
                  </c:pt>
                  <c:pt idx="22">
                    <c:v>2013</c:v>
                  </c:pt>
                  <c:pt idx="23">
                    <c:v>2025</c:v>
                  </c:pt>
                  <c:pt idx="24">
                    <c:v>2013</c:v>
                  </c:pt>
                  <c:pt idx="25">
                    <c:v>2025</c:v>
                  </c:pt>
                  <c:pt idx="26">
                    <c:v>2013</c:v>
                  </c:pt>
                  <c:pt idx="27">
                    <c:v>2025</c:v>
                  </c:pt>
                  <c:pt idx="28">
                    <c:v>2013</c:v>
                  </c:pt>
                  <c:pt idx="29">
                    <c:v>2025</c:v>
                  </c:pt>
                  <c:pt idx="30">
                    <c:v>2013</c:v>
                  </c:pt>
                  <c:pt idx="31">
                    <c:v>2025</c:v>
                  </c:pt>
                  <c:pt idx="32">
                    <c:v>2013</c:v>
                  </c:pt>
                  <c:pt idx="33">
                    <c:v>2025</c:v>
                  </c:pt>
                  <c:pt idx="34">
                    <c:v>2013</c:v>
                  </c:pt>
                  <c:pt idx="35">
                    <c:v>2025</c:v>
                  </c:pt>
                  <c:pt idx="36">
                    <c:v>2013</c:v>
                  </c:pt>
                  <c:pt idx="37">
                    <c:v>2025</c:v>
                  </c:pt>
                  <c:pt idx="38">
                    <c:v>2013</c:v>
                  </c:pt>
                  <c:pt idx="39">
                    <c:v>2025</c:v>
                  </c:pt>
                </c:lvl>
                <c:lvl>
                  <c:pt idx="0">
                    <c:v>HND</c:v>
                  </c:pt>
                  <c:pt idx="2">
                    <c:v>PRY</c:v>
                  </c:pt>
                  <c:pt idx="4">
                    <c:v>GTM</c:v>
                  </c:pt>
                  <c:pt idx="6">
                    <c:v>BOL</c:v>
                  </c:pt>
                  <c:pt idx="8">
                    <c:v>CRI</c:v>
                  </c:pt>
                  <c:pt idx="10">
                    <c:v>ECU</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14'!$W$57:$W$98</c:f>
              <c:numCache>
                <c:formatCode>0.0%</c:formatCode>
                <c:ptCount val="40"/>
                <c:pt idx="0">
                  <c:v>9.9276376925420948E-2</c:v>
                </c:pt>
                <c:pt idx="1">
                  <c:v>0.1307257565659089</c:v>
                </c:pt>
                <c:pt idx="2">
                  <c:v>3.8874565337119277E-2</c:v>
                </c:pt>
                <c:pt idx="3">
                  <c:v>2.9780894089060771E-2</c:v>
                </c:pt>
                <c:pt idx="4">
                  <c:v>7.0868263688769903E-2</c:v>
                </c:pt>
                <c:pt idx="5">
                  <c:v>5.5758268459872029E-2</c:v>
                </c:pt>
                <c:pt idx="6">
                  <c:v>5.4675582312656706E-2</c:v>
                </c:pt>
                <c:pt idx="7">
                  <c:v>0.10836820482088791</c:v>
                </c:pt>
                <c:pt idx="8">
                  <c:v>2.3549425550085497E-2</c:v>
                </c:pt>
                <c:pt idx="9">
                  <c:v>1.9596716777285663E-2</c:v>
                </c:pt>
                <c:pt idx="10">
                  <c:v>4.8551356306754417E-2</c:v>
                </c:pt>
                <c:pt idx="11">
                  <c:v>6.6050449990498444E-2</c:v>
                </c:pt>
                <c:pt idx="12">
                  <c:v>4.3397147333213801E-2</c:v>
                </c:pt>
                <c:pt idx="13">
                  <c:v>3.882218038541952E-2</c:v>
                </c:pt>
                <c:pt idx="14">
                  <c:v>2.8576493211027038E-2</c:v>
                </c:pt>
                <c:pt idx="15">
                  <c:v>3.1548840250996989E-2</c:v>
                </c:pt>
                <c:pt idx="16">
                  <c:v>1.6749685647554798E-2</c:v>
                </c:pt>
                <c:pt idx="17">
                  <c:v>1.2054173460792631E-2</c:v>
                </c:pt>
                <c:pt idx="18">
                  <c:v>9.7520288342791746E-3</c:v>
                </c:pt>
                <c:pt idx="19">
                  <c:v>1.9174214647671422E-2</c:v>
                </c:pt>
                <c:pt idx="20">
                  <c:v>1.8482179429219758E-2</c:v>
                </c:pt>
                <c:pt idx="21">
                  <c:v>1.6053660282243646E-2</c:v>
                </c:pt>
                <c:pt idx="22">
                  <c:v>1.7678081575980883E-2</c:v>
                </c:pt>
                <c:pt idx="23">
                  <c:v>2.2072756194377936E-2</c:v>
                </c:pt>
                <c:pt idx="24">
                  <c:v>0</c:v>
                </c:pt>
                <c:pt idx="25">
                  <c:v>0</c:v>
                </c:pt>
                <c:pt idx="26">
                  <c:v>1.5468344177547761E-2</c:v>
                </c:pt>
                <c:pt idx="27">
                  <c:v>5.0925729234126474E-4</c:v>
                </c:pt>
                <c:pt idx="28">
                  <c:v>1.275389009925984E-2</c:v>
                </c:pt>
                <c:pt idx="29">
                  <c:v>1.3607583255448582E-2</c:v>
                </c:pt>
                <c:pt idx="30">
                  <c:v>1.2318451179427783E-2</c:v>
                </c:pt>
                <c:pt idx="31">
                  <c:v>1.2653701077579094E-2</c:v>
                </c:pt>
                <c:pt idx="32">
                  <c:v>0</c:v>
                </c:pt>
                <c:pt idx="33">
                  <c:v>0</c:v>
                </c:pt>
                <c:pt idx="34">
                  <c:v>1.3108800590309133E-2</c:v>
                </c:pt>
                <c:pt idx="35">
                  <c:v>1.562559533875036E-2</c:v>
                </c:pt>
                <c:pt idx="36">
                  <c:v>3.1696391753374058E-3</c:v>
                </c:pt>
                <c:pt idx="37">
                  <c:v>7.5349691721489217E-3</c:v>
                </c:pt>
                <c:pt idx="39">
                  <c:v>0</c:v>
                </c:pt>
              </c:numCache>
            </c:numRef>
          </c:val>
          <c:extLst>
            <c:ext xmlns:c16="http://schemas.microsoft.com/office/drawing/2014/chart" uri="{C3380CC4-5D6E-409C-BE32-E72D297353CC}">
              <c16:uniqueId val="{00000002-BA04-41B2-B741-3D4D917871BD}"/>
            </c:ext>
          </c:extLst>
        </c:ser>
        <c:ser>
          <c:idx val="3"/>
          <c:order val="3"/>
          <c:tx>
            <c:strRef>
              <c:f>'Figure 14'!$X$56</c:f>
              <c:strCache>
                <c:ptCount val="1"/>
                <c:pt idx="0">
                  <c:v>Annual leave</c:v>
                </c:pt>
              </c:strCache>
            </c:strRef>
          </c:tx>
          <c:spPr>
            <a:solidFill>
              <a:schemeClr val="accent2"/>
            </a:solidFill>
          </c:spPr>
          <c:invertIfNegative val="0"/>
          <c:cat>
            <c:multiLvlStrRef>
              <c:f>'Figure 14'!$S$57:$T$98</c:f>
              <c:multiLvlStrCache>
                <c:ptCount val="40"/>
                <c:lvl>
                  <c:pt idx="0">
                    <c:v>2013</c:v>
                  </c:pt>
                  <c:pt idx="1">
                    <c:v>2025</c:v>
                  </c:pt>
                  <c:pt idx="2">
                    <c:v>2013</c:v>
                  </c:pt>
                  <c:pt idx="3">
                    <c:v>2025</c:v>
                  </c:pt>
                  <c:pt idx="4">
                    <c:v>2013</c:v>
                  </c:pt>
                  <c:pt idx="5">
                    <c:v>2025</c:v>
                  </c:pt>
                  <c:pt idx="6">
                    <c:v>2013</c:v>
                  </c:pt>
                  <c:pt idx="7">
                    <c:v>2025</c:v>
                  </c:pt>
                  <c:pt idx="8">
                    <c:v>2013</c:v>
                  </c:pt>
                  <c:pt idx="9">
                    <c:v>2025</c:v>
                  </c:pt>
                  <c:pt idx="10">
                    <c:v>2013</c:v>
                  </c:pt>
                  <c:pt idx="11">
                    <c:v>2025</c:v>
                  </c:pt>
                  <c:pt idx="12">
                    <c:v>2013</c:v>
                  </c:pt>
                  <c:pt idx="13">
                    <c:v>2025</c:v>
                  </c:pt>
                  <c:pt idx="14">
                    <c:v>2013</c:v>
                  </c:pt>
                  <c:pt idx="15">
                    <c:v>2025</c:v>
                  </c:pt>
                  <c:pt idx="16">
                    <c:v>2013</c:v>
                  </c:pt>
                  <c:pt idx="17">
                    <c:v>2025</c:v>
                  </c:pt>
                  <c:pt idx="18">
                    <c:v>2013</c:v>
                  </c:pt>
                  <c:pt idx="19">
                    <c:v>2025</c:v>
                  </c:pt>
                  <c:pt idx="20">
                    <c:v>2013</c:v>
                  </c:pt>
                  <c:pt idx="21">
                    <c:v>2025</c:v>
                  </c:pt>
                  <c:pt idx="22">
                    <c:v>2013</c:v>
                  </c:pt>
                  <c:pt idx="23">
                    <c:v>2025</c:v>
                  </c:pt>
                  <c:pt idx="24">
                    <c:v>2013</c:v>
                  </c:pt>
                  <c:pt idx="25">
                    <c:v>2025</c:v>
                  </c:pt>
                  <c:pt idx="26">
                    <c:v>2013</c:v>
                  </c:pt>
                  <c:pt idx="27">
                    <c:v>2025</c:v>
                  </c:pt>
                  <c:pt idx="28">
                    <c:v>2013</c:v>
                  </c:pt>
                  <c:pt idx="29">
                    <c:v>2025</c:v>
                  </c:pt>
                  <c:pt idx="30">
                    <c:v>2013</c:v>
                  </c:pt>
                  <c:pt idx="31">
                    <c:v>2025</c:v>
                  </c:pt>
                  <c:pt idx="32">
                    <c:v>2013</c:v>
                  </c:pt>
                  <c:pt idx="33">
                    <c:v>2025</c:v>
                  </c:pt>
                  <c:pt idx="34">
                    <c:v>2013</c:v>
                  </c:pt>
                  <c:pt idx="35">
                    <c:v>2025</c:v>
                  </c:pt>
                  <c:pt idx="36">
                    <c:v>2013</c:v>
                  </c:pt>
                  <c:pt idx="37">
                    <c:v>2025</c:v>
                  </c:pt>
                  <c:pt idx="38">
                    <c:v>2013</c:v>
                  </c:pt>
                  <c:pt idx="39">
                    <c:v>2025</c:v>
                  </c:pt>
                </c:lvl>
                <c:lvl>
                  <c:pt idx="0">
                    <c:v>HND</c:v>
                  </c:pt>
                  <c:pt idx="2">
                    <c:v>PRY</c:v>
                  </c:pt>
                  <c:pt idx="4">
                    <c:v>GTM</c:v>
                  </c:pt>
                  <c:pt idx="6">
                    <c:v>BOL</c:v>
                  </c:pt>
                  <c:pt idx="8">
                    <c:v>CRI</c:v>
                  </c:pt>
                  <c:pt idx="10">
                    <c:v>ECU</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14'!$X$57:$X$98</c:f>
              <c:numCache>
                <c:formatCode>0.0%</c:formatCode>
                <c:ptCount val="40"/>
                <c:pt idx="0">
                  <c:v>3.309212564180699E-2</c:v>
                </c:pt>
                <c:pt idx="1">
                  <c:v>4.3575252188636296E-2</c:v>
                </c:pt>
                <c:pt idx="2">
                  <c:v>1.5549826134847712E-2</c:v>
                </c:pt>
                <c:pt idx="3">
                  <c:v>1.1912357635624307E-2</c:v>
                </c:pt>
                <c:pt idx="4">
                  <c:v>1.7717065922192476E-2</c:v>
                </c:pt>
                <c:pt idx="5">
                  <c:v>1.3939567114968007E-2</c:v>
                </c:pt>
                <c:pt idx="6">
                  <c:v>1.8225194104218904E-2</c:v>
                </c:pt>
                <c:pt idx="7">
                  <c:v>3.6122734940295977E-2</c:v>
                </c:pt>
                <c:pt idx="8">
                  <c:v>1.0989731923373233E-2</c:v>
                </c:pt>
                <c:pt idx="9">
                  <c:v>9.1451344960666418E-3</c:v>
                </c:pt>
                <c:pt idx="10">
                  <c:v>1.2137839562202187E-2</c:v>
                </c:pt>
                <c:pt idx="11">
                  <c:v>1.6625667033452089E-2</c:v>
                </c:pt>
                <c:pt idx="12">
                  <c:v>2.16985736666069E-2</c:v>
                </c:pt>
                <c:pt idx="13">
                  <c:v>1.941109019270976E-2</c:v>
                </c:pt>
                <c:pt idx="14">
                  <c:v>1.2861392295970589E-2</c:v>
                </c:pt>
                <c:pt idx="15">
                  <c:v>1.5517035478423008E-2</c:v>
                </c:pt>
                <c:pt idx="16">
                  <c:v>7.8130950504806135E-3</c:v>
                </c:pt>
                <c:pt idx="17">
                  <c:v>5.6252809483698946E-3</c:v>
                </c:pt>
                <c:pt idx="18">
                  <c:v>1.560324613484668E-2</c:v>
                </c:pt>
                <c:pt idx="19">
                  <c:v>1.9174214647671422E-2</c:v>
                </c:pt>
                <c:pt idx="20">
                  <c:v>1.8482179429219758E-2</c:v>
                </c:pt>
                <c:pt idx="21">
                  <c:v>1.6053660282243646E-2</c:v>
                </c:pt>
                <c:pt idx="22">
                  <c:v>8.8390407879904414E-3</c:v>
                </c:pt>
                <c:pt idx="23">
                  <c:v>1.1036378097188966E-2</c:v>
                </c:pt>
                <c:pt idx="24">
                  <c:v>8.2994466060493152E-3</c:v>
                </c:pt>
                <c:pt idx="25">
                  <c:v>1.6052090832019882E-2</c:v>
                </c:pt>
                <c:pt idx="26">
                  <c:v>9.7966179791135824E-3</c:v>
                </c:pt>
                <c:pt idx="27">
                  <c:v>3.2252961848280095E-4</c:v>
                </c:pt>
                <c:pt idx="28">
                  <c:v>1.7005186799013122E-2</c:v>
                </c:pt>
                <c:pt idx="29">
                  <c:v>1.814344434059811E-2</c:v>
                </c:pt>
                <c:pt idx="30">
                  <c:v>8.6229158255994483E-3</c:v>
                </c:pt>
                <c:pt idx="31">
                  <c:v>8.8575907543053667E-3</c:v>
                </c:pt>
                <c:pt idx="32">
                  <c:v>6.1126741402671809E-3</c:v>
                </c:pt>
                <c:pt idx="33">
                  <c:v>8.4416768929937314E-3</c:v>
                </c:pt>
                <c:pt idx="34">
                  <c:v>7.8652803541854784E-3</c:v>
                </c:pt>
                <c:pt idx="35">
                  <c:v>9.3753572032502161E-3</c:v>
                </c:pt>
                <c:pt idx="36">
                  <c:v>2.9583298969815788E-3</c:v>
                </c:pt>
                <c:pt idx="37">
                  <c:v>9.904658786919384E-3</c:v>
                </c:pt>
                <c:pt idx="38">
                  <c:v>3.749616046085738E-3</c:v>
                </c:pt>
                <c:pt idx="39">
                  <c:v>5.9104822243004071E-3</c:v>
                </c:pt>
              </c:numCache>
            </c:numRef>
          </c:val>
          <c:extLst>
            <c:ext xmlns:c16="http://schemas.microsoft.com/office/drawing/2014/chart" uri="{C3380CC4-5D6E-409C-BE32-E72D297353CC}">
              <c16:uniqueId val="{00000003-BA04-41B2-B741-3D4D917871BD}"/>
            </c:ext>
          </c:extLst>
        </c:ser>
        <c:ser>
          <c:idx val="4"/>
          <c:order val="4"/>
          <c:tx>
            <c:strRef>
              <c:f>'Figure 14'!$Y$56</c:f>
              <c:strCache>
                <c:ptCount val="1"/>
                <c:pt idx="0">
                  <c:v>Severance payment (flow)</c:v>
                </c:pt>
              </c:strCache>
            </c:strRef>
          </c:tx>
          <c:spPr>
            <a:solidFill>
              <a:schemeClr val="tx2">
                <a:lumMod val="25000"/>
                <a:lumOff val="75000"/>
              </a:schemeClr>
            </a:solidFill>
          </c:spPr>
          <c:invertIfNegative val="0"/>
          <c:cat>
            <c:multiLvlStrRef>
              <c:f>'Figure 14'!$S$57:$T$98</c:f>
              <c:multiLvlStrCache>
                <c:ptCount val="40"/>
                <c:lvl>
                  <c:pt idx="0">
                    <c:v>2013</c:v>
                  </c:pt>
                  <c:pt idx="1">
                    <c:v>2025</c:v>
                  </c:pt>
                  <c:pt idx="2">
                    <c:v>2013</c:v>
                  </c:pt>
                  <c:pt idx="3">
                    <c:v>2025</c:v>
                  </c:pt>
                  <c:pt idx="4">
                    <c:v>2013</c:v>
                  </c:pt>
                  <c:pt idx="5">
                    <c:v>2025</c:v>
                  </c:pt>
                  <c:pt idx="6">
                    <c:v>2013</c:v>
                  </c:pt>
                  <c:pt idx="7">
                    <c:v>2025</c:v>
                  </c:pt>
                  <c:pt idx="8">
                    <c:v>2013</c:v>
                  </c:pt>
                  <c:pt idx="9">
                    <c:v>2025</c:v>
                  </c:pt>
                  <c:pt idx="10">
                    <c:v>2013</c:v>
                  </c:pt>
                  <c:pt idx="11">
                    <c:v>2025</c:v>
                  </c:pt>
                  <c:pt idx="12">
                    <c:v>2013</c:v>
                  </c:pt>
                  <c:pt idx="13">
                    <c:v>2025</c:v>
                  </c:pt>
                  <c:pt idx="14">
                    <c:v>2013</c:v>
                  </c:pt>
                  <c:pt idx="15">
                    <c:v>2025</c:v>
                  </c:pt>
                  <c:pt idx="16">
                    <c:v>2013</c:v>
                  </c:pt>
                  <c:pt idx="17">
                    <c:v>2025</c:v>
                  </c:pt>
                  <c:pt idx="18">
                    <c:v>2013</c:v>
                  </c:pt>
                  <c:pt idx="19">
                    <c:v>2025</c:v>
                  </c:pt>
                  <c:pt idx="20">
                    <c:v>2013</c:v>
                  </c:pt>
                  <c:pt idx="21">
                    <c:v>2025</c:v>
                  </c:pt>
                  <c:pt idx="22">
                    <c:v>2013</c:v>
                  </c:pt>
                  <c:pt idx="23">
                    <c:v>2025</c:v>
                  </c:pt>
                  <c:pt idx="24">
                    <c:v>2013</c:v>
                  </c:pt>
                  <c:pt idx="25">
                    <c:v>2025</c:v>
                  </c:pt>
                  <c:pt idx="26">
                    <c:v>2013</c:v>
                  </c:pt>
                  <c:pt idx="27">
                    <c:v>2025</c:v>
                  </c:pt>
                  <c:pt idx="28">
                    <c:v>2013</c:v>
                  </c:pt>
                  <c:pt idx="29">
                    <c:v>2025</c:v>
                  </c:pt>
                  <c:pt idx="30">
                    <c:v>2013</c:v>
                  </c:pt>
                  <c:pt idx="31">
                    <c:v>2025</c:v>
                  </c:pt>
                  <c:pt idx="32">
                    <c:v>2013</c:v>
                  </c:pt>
                  <c:pt idx="33">
                    <c:v>2025</c:v>
                  </c:pt>
                  <c:pt idx="34">
                    <c:v>2013</c:v>
                  </c:pt>
                  <c:pt idx="35">
                    <c:v>2025</c:v>
                  </c:pt>
                  <c:pt idx="36">
                    <c:v>2013</c:v>
                  </c:pt>
                  <c:pt idx="37">
                    <c:v>2025</c:v>
                  </c:pt>
                  <c:pt idx="38">
                    <c:v>2013</c:v>
                  </c:pt>
                  <c:pt idx="39">
                    <c:v>2025</c:v>
                  </c:pt>
                </c:lvl>
                <c:lvl>
                  <c:pt idx="0">
                    <c:v>HND</c:v>
                  </c:pt>
                  <c:pt idx="2">
                    <c:v>PRY</c:v>
                  </c:pt>
                  <c:pt idx="4">
                    <c:v>GTM</c:v>
                  </c:pt>
                  <c:pt idx="6">
                    <c:v>BOL</c:v>
                  </c:pt>
                  <c:pt idx="8">
                    <c:v>CRI</c:v>
                  </c:pt>
                  <c:pt idx="10">
                    <c:v>ECU</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14'!$Y$57:$Y$98</c:f>
              <c:numCache>
                <c:formatCode>0.0%</c:formatCode>
                <c:ptCount val="40"/>
                <c:pt idx="0">
                  <c:v>4.9638188462710481E-2</c:v>
                </c:pt>
                <c:pt idx="1">
                  <c:v>6.5362878282954465E-2</c:v>
                </c:pt>
                <c:pt idx="2">
                  <c:v>1.9437282668559638E-2</c:v>
                </c:pt>
                <c:pt idx="3">
                  <c:v>1.4890447044530382E-2</c:v>
                </c:pt>
                <c:pt idx="4">
                  <c:v>3.5434131844384952E-2</c:v>
                </c:pt>
                <c:pt idx="5">
                  <c:v>2.7879134229936018E-2</c:v>
                </c:pt>
                <c:pt idx="6">
                  <c:v>2.733779115632835E-2</c:v>
                </c:pt>
                <c:pt idx="7">
                  <c:v>5.4184102410443968E-2</c:v>
                </c:pt>
                <c:pt idx="8">
                  <c:v>1.6641594055393751E-2</c:v>
                </c:pt>
                <c:pt idx="9">
                  <c:v>1.387447547831825E-2</c:v>
                </c:pt>
                <c:pt idx="10">
                  <c:v>2.4275679124404377E-2</c:v>
                </c:pt>
                <c:pt idx="11">
                  <c:v>3.2781466382094157E-2</c:v>
                </c:pt>
                <c:pt idx="12">
                  <c:v>3.2547860499910347E-2</c:v>
                </c:pt>
                <c:pt idx="13">
                  <c:v>2.9116635289064646E-2</c:v>
                </c:pt>
                <c:pt idx="14">
                  <c:v>1.8428871659998333E-2</c:v>
                </c:pt>
                <c:pt idx="15">
                  <c:v>2.2207386345868982E-2</c:v>
                </c:pt>
                <c:pt idx="16">
                  <c:v>1.6742346536744172E-2</c:v>
                </c:pt>
                <c:pt idx="17">
                  <c:v>1.2054173460792633E-2</c:v>
                </c:pt>
                <c:pt idx="18">
                  <c:v>1.9504057668558349E-2</c:v>
                </c:pt>
                <c:pt idx="19">
                  <c:v>3.0275075759481188E-2</c:v>
                </c:pt>
                <c:pt idx="20">
                  <c:v>1.4662529013847674E-2</c:v>
                </c:pt>
                <c:pt idx="21">
                  <c:v>1.2735903823913292E-2</c:v>
                </c:pt>
                <c:pt idx="22">
                  <c:v>1.2963926489052643E-2</c:v>
                </c:pt>
                <c:pt idx="23">
                  <c:v>1.618668787587715E-2</c:v>
                </c:pt>
                <c:pt idx="24">
                  <c:v>8.2994466060493169E-3</c:v>
                </c:pt>
                <c:pt idx="25">
                  <c:v>1.6052090832019882E-2</c:v>
                </c:pt>
                <c:pt idx="26">
                  <c:v>1.546834417754776E-2</c:v>
                </c:pt>
                <c:pt idx="27">
                  <c:v>5.0925729234126474E-4</c:v>
                </c:pt>
                <c:pt idx="28">
                  <c:v>4.8974937981157785E-3</c:v>
                </c:pt>
                <c:pt idx="29">
                  <c:v>5.2253119700922555E-3</c:v>
                </c:pt>
                <c:pt idx="30">
                  <c:v>1.4700018407450489E-2</c:v>
                </c:pt>
                <c:pt idx="31">
                  <c:v>1.5100083285911052E-2</c:v>
                </c:pt>
                <c:pt idx="32">
                  <c:v>1.2225348280534362E-2</c:v>
                </c:pt>
                <c:pt idx="33">
                  <c:v>1.6883353785987463E-2</c:v>
                </c:pt>
                <c:pt idx="34">
                  <c:v>1.0050080452570335E-2</c:v>
                </c:pt>
                <c:pt idx="35">
                  <c:v>1.1979623093041944E-2</c:v>
                </c:pt>
                <c:pt idx="36">
                  <c:v>7.9162858141847807E-3</c:v>
                </c:pt>
                <c:pt idx="37">
                  <c:v>1.8818851695146833E-2</c:v>
                </c:pt>
                <c:pt idx="38">
                  <c:v>4.4459733117873743E-3</c:v>
                </c:pt>
                <c:pt idx="39">
                  <c:v>6.3326595260361513E-3</c:v>
                </c:pt>
              </c:numCache>
            </c:numRef>
          </c:val>
          <c:extLst>
            <c:ext xmlns:c16="http://schemas.microsoft.com/office/drawing/2014/chart" uri="{C3380CC4-5D6E-409C-BE32-E72D297353CC}">
              <c16:uniqueId val="{00000004-BA04-41B2-B741-3D4D917871BD}"/>
            </c:ext>
          </c:extLst>
        </c:ser>
        <c:ser>
          <c:idx val="5"/>
          <c:order val="5"/>
          <c:tx>
            <c:strRef>
              <c:f>'Figure 14'!$Z$56</c:f>
              <c:strCache>
                <c:ptCount val="1"/>
                <c:pt idx="0">
                  <c:v>Firing notice (flow)</c:v>
                </c:pt>
              </c:strCache>
            </c:strRef>
          </c:tx>
          <c:spPr>
            <a:solidFill>
              <a:srgbClr val="558ED5"/>
            </a:solidFill>
          </c:spPr>
          <c:invertIfNegative val="0"/>
          <c:cat>
            <c:multiLvlStrRef>
              <c:f>'Figure 14'!$S$57:$T$98</c:f>
              <c:multiLvlStrCache>
                <c:ptCount val="40"/>
                <c:lvl>
                  <c:pt idx="0">
                    <c:v>2013</c:v>
                  </c:pt>
                  <c:pt idx="1">
                    <c:v>2025</c:v>
                  </c:pt>
                  <c:pt idx="2">
                    <c:v>2013</c:v>
                  </c:pt>
                  <c:pt idx="3">
                    <c:v>2025</c:v>
                  </c:pt>
                  <c:pt idx="4">
                    <c:v>2013</c:v>
                  </c:pt>
                  <c:pt idx="5">
                    <c:v>2025</c:v>
                  </c:pt>
                  <c:pt idx="6">
                    <c:v>2013</c:v>
                  </c:pt>
                  <c:pt idx="7">
                    <c:v>2025</c:v>
                  </c:pt>
                  <c:pt idx="8">
                    <c:v>2013</c:v>
                  </c:pt>
                  <c:pt idx="9">
                    <c:v>2025</c:v>
                  </c:pt>
                  <c:pt idx="10">
                    <c:v>2013</c:v>
                  </c:pt>
                  <c:pt idx="11">
                    <c:v>2025</c:v>
                  </c:pt>
                  <c:pt idx="12">
                    <c:v>2013</c:v>
                  </c:pt>
                  <c:pt idx="13">
                    <c:v>2025</c:v>
                  </c:pt>
                  <c:pt idx="14">
                    <c:v>2013</c:v>
                  </c:pt>
                  <c:pt idx="15">
                    <c:v>2025</c:v>
                  </c:pt>
                  <c:pt idx="16">
                    <c:v>2013</c:v>
                  </c:pt>
                  <c:pt idx="17">
                    <c:v>2025</c:v>
                  </c:pt>
                  <c:pt idx="18">
                    <c:v>2013</c:v>
                  </c:pt>
                  <c:pt idx="19">
                    <c:v>2025</c:v>
                  </c:pt>
                  <c:pt idx="20">
                    <c:v>2013</c:v>
                  </c:pt>
                  <c:pt idx="21">
                    <c:v>2025</c:v>
                  </c:pt>
                  <c:pt idx="22">
                    <c:v>2013</c:v>
                  </c:pt>
                  <c:pt idx="23">
                    <c:v>2025</c:v>
                  </c:pt>
                  <c:pt idx="24">
                    <c:v>2013</c:v>
                  </c:pt>
                  <c:pt idx="25">
                    <c:v>2025</c:v>
                  </c:pt>
                  <c:pt idx="26">
                    <c:v>2013</c:v>
                  </c:pt>
                  <c:pt idx="27">
                    <c:v>2025</c:v>
                  </c:pt>
                  <c:pt idx="28">
                    <c:v>2013</c:v>
                  </c:pt>
                  <c:pt idx="29">
                    <c:v>2025</c:v>
                  </c:pt>
                  <c:pt idx="30">
                    <c:v>2013</c:v>
                  </c:pt>
                  <c:pt idx="31">
                    <c:v>2025</c:v>
                  </c:pt>
                  <c:pt idx="32">
                    <c:v>2013</c:v>
                  </c:pt>
                  <c:pt idx="33">
                    <c:v>2025</c:v>
                  </c:pt>
                  <c:pt idx="34">
                    <c:v>2013</c:v>
                  </c:pt>
                  <c:pt idx="35">
                    <c:v>2025</c:v>
                  </c:pt>
                  <c:pt idx="36">
                    <c:v>2013</c:v>
                  </c:pt>
                  <c:pt idx="37">
                    <c:v>2025</c:v>
                  </c:pt>
                  <c:pt idx="38">
                    <c:v>2013</c:v>
                  </c:pt>
                  <c:pt idx="39">
                    <c:v>2025</c:v>
                  </c:pt>
                </c:lvl>
                <c:lvl>
                  <c:pt idx="0">
                    <c:v>HND</c:v>
                  </c:pt>
                  <c:pt idx="2">
                    <c:v>PRY</c:v>
                  </c:pt>
                  <c:pt idx="4">
                    <c:v>GTM</c:v>
                  </c:pt>
                  <c:pt idx="6">
                    <c:v>BOL</c:v>
                  </c:pt>
                  <c:pt idx="8">
                    <c:v>CRI</c:v>
                  </c:pt>
                  <c:pt idx="10">
                    <c:v>ECU</c:v>
                  </c:pt>
                  <c:pt idx="12">
                    <c:v>PER</c:v>
                  </c:pt>
                  <c:pt idx="14">
                    <c:v>LAC</c:v>
                  </c:pt>
                  <c:pt idx="16">
                    <c:v>ARG</c:v>
                  </c:pt>
                  <c:pt idx="18">
                    <c:v>SLV</c:v>
                  </c:pt>
                  <c:pt idx="20">
                    <c:v>PAN</c:v>
                  </c:pt>
                  <c:pt idx="22">
                    <c:v>COL</c:v>
                  </c:pt>
                  <c:pt idx="24">
                    <c:v>JAM</c:v>
                  </c:pt>
                  <c:pt idx="26">
                    <c:v>VEN</c:v>
                  </c:pt>
                  <c:pt idx="28">
                    <c:v>BRA</c:v>
                  </c:pt>
                  <c:pt idx="30">
                    <c:v>URY</c:v>
                  </c:pt>
                  <c:pt idx="32">
                    <c:v>CHL</c:v>
                  </c:pt>
                  <c:pt idx="34">
                    <c:v>DOM</c:v>
                  </c:pt>
                  <c:pt idx="36">
                    <c:v>MEX</c:v>
                  </c:pt>
                  <c:pt idx="38">
                    <c:v>TTO</c:v>
                  </c:pt>
                </c:lvl>
              </c:multiLvlStrCache>
            </c:multiLvlStrRef>
          </c:cat>
          <c:val>
            <c:numRef>
              <c:f>'Figure 14'!$Z$57:$Z$98</c:f>
              <c:numCache>
                <c:formatCode>0.0%</c:formatCode>
                <c:ptCount val="40"/>
                <c:pt idx="0">
                  <c:v>9.9276376925420944E-3</c:v>
                </c:pt>
                <c:pt idx="1">
                  <c:v>1.3072575656590889E-2</c:v>
                </c:pt>
                <c:pt idx="2">
                  <c:v>1.1662369601135782E-2</c:v>
                </c:pt>
                <c:pt idx="3">
                  <c:v>8.9342682267182314E-3</c:v>
                </c:pt>
                <c:pt idx="4">
                  <c:v>0</c:v>
                </c:pt>
                <c:pt idx="5">
                  <c:v>0</c:v>
                </c:pt>
                <c:pt idx="6">
                  <c:v>1.6402674693797008E-2</c:v>
                </c:pt>
                <c:pt idx="7">
                  <c:v>3.2510461446266375E-2</c:v>
                </c:pt>
                <c:pt idx="8">
                  <c:v>4.7098851100170992E-3</c:v>
                </c:pt>
                <c:pt idx="9">
                  <c:v>3.919343355457133E-3</c:v>
                </c:pt>
                <c:pt idx="10">
                  <c:v>0</c:v>
                </c:pt>
                <c:pt idx="11">
                  <c:v>0</c:v>
                </c:pt>
                <c:pt idx="12">
                  <c:v>0</c:v>
                </c:pt>
                <c:pt idx="13">
                  <c:v>0</c:v>
                </c:pt>
                <c:pt idx="14">
                  <c:v>3.4481290793055043E-3</c:v>
                </c:pt>
                <c:pt idx="15">
                  <c:v>4.5088064301264073E-3</c:v>
                </c:pt>
                <c:pt idx="16">
                  <c:v>6.696938614697669E-3</c:v>
                </c:pt>
                <c:pt idx="17">
                  <c:v>4.8216693843170519E-3</c:v>
                </c:pt>
                <c:pt idx="18">
                  <c:v>0</c:v>
                </c:pt>
                <c:pt idx="19">
                  <c:v>0</c:v>
                </c:pt>
                <c:pt idx="20">
                  <c:v>0</c:v>
                </c:pt>
                <c:pt idx="21">
                  <c:v>0</c:v>
                </c:pt>
                <c:pt idx="22">
                  <c:v>8.8390407879904414E-4</c:v>
                </c:pt>
                <c:pt idx="23">
                  <c:v>1.1036378097188967E-3</c:v>
                </c:pt>
                <c:pt idx="24">
                  <c:v>3.3197786424197261E-3</c:v>
                </c:pt>
                <c:pt idx="25">
                  <c:v>6.4208363328079531E-3</c:v>
                </c:pt>
                <c:pt idx="26">
                  <c:v>0</c:v>
                </c:pt>
                <c:pt idx="27">
                  <c:v>0</c:v>
                </c:pt>
                <c:pt idx="28">
                  <c:v>3.5710892277927555E-3</c:v>
                </c:pt>
                <c:pt idx="29">
                  <c:v>4.0822749766345747E-3</c:v>
                </c:pt>
                <c:pt idx="30">
                  <c:v>0</c:v>
                </c:pt>
                <c:pt idx="31">
                  <c:v>0</c:v>
                </c:pt>
                <c:pt idx="32">
                  <c:v>2.4450696561068722E-3</c:v>
                </c:pt>
                <c:pt idx="33">
                  <c:v>3.3766707571974927E-3</c:v>
                </c:pt>
                <c:pt idx="34">
                  <c:v>2.4469761101910386E-3</c:v>
                </c:pt>
                <c:pt idx="35">
                  <c:v>2.9167777965667342E-3</c:v>
                </c:pt>
                <c:pt idx="36">
                  <c:v>0</c:v>
                </c:pt>
                <c:pt idx="37">
                  <c:v>0</c:v>
                </c:pt>
                <c:pt idx="38">
                  <c:v>0</c:v>
                </c:pt>
                <c:pt idx="39">
                  <c:v>0</c:v>
                </c:pt>
              </c:numCache>
            </c:numRef>
          </c:val>
          <c:extLst>
            <c:ext xmlns:c16="http://schemas.microsoft.com/office/drawing/2014/chart" uri="{C3380CC4-5D6E-409C-BE32-E72D297353CC}">
              <c16:uniqueId val="{00000005-BA04-41B2-B741-3D4D917871BD}"/>
            </c:ext>
          </c:extLst>
        </c:ser>
        <c:dLbls>
          <c:showLegendKey val="0"/>
          <c:showVal val="0"/>
          <c:showCatName val="0"/>
          <c:showSerName val="0"/>
          <c:showPercent val="0"/>
          <c:showBubbleSize val="0"/>
        </c:dLbls>
        <c:gapWidth val="219"/>
        <c:overlap val="100"/>
        <c:axId val="271161888"/>
        <c:axId val="271148448"/>
      </c:barChart>
      <c:barChart>
        <c:barDir val="col"/>
        <c:grouping val="stacked"/>
        <c:varyColors val="0"/>
        <c:ser>
          <c:idx val="6"/>
          <c:order val="6"/>
          <c:tx>
            <c:strRef>
              <c:f>'Figure 14'!$AA$56</c:f>
              <c:strCache>
                <c:ptCount val="1"/>
                <c:pt idx="0">
                  <c:v>Total</c:v>
                </c:pt>
              </c:strCache>
            </c:strRef>
          </c:tx>
          <c:spPr>
            <a:noFill/>
            <a:ln>
              <a:noFill/>
            </a:ln>
          </c:spPr>
          <c:invertIfNegative val="0"/>
          <c:dLbls>
            <c:dLbl>
              <c:idx val="14"/>
              <c:layout>
                <c:manualLayout>
                  <c:x val="5.4547451364826628E-4"/>
                  <c:y val="-0.16883639748085197"/>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04-41B2-B741-3D4D917871BD}"/>
                </c:ext>
              </c:extLst>
            </c:dLbl>
            <c:dLbl>
              <c:idx val="15"/>
              <c:layout>
                <c:manualLayout>
                  <c:x val="5.7937937702300915E-4"/>
                  <c:y val="-0.19447480438568129"/>
                </c:manualLayout>
              </c:layout>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04-41B2-B741-3D4D917871BD}"/>
                </c:ext>
              </c:extLst>
            </c:dLbl>
            <c:numFmt formatCode="0.0%" sourceLinked="0"/>
            <c:spPr>
              <a:noFill/>
              <a:ln>
                <a:noFill/>
              </a:ln>
              <a:effectLst/>
            </c:spPr>
            <c:txPr>
              <a:bodyPr rot="-5400000" vert="horz" wrap="square" lIns="38100" tIns="19050" rIns="38100" bIns="19050" anchor="ctr">
                <a:spAutoFit/>
              </a:bodyPr>
              <a:lstStyle/>
              <a:p>
                <a:pPr>
                  <a:defRPr sz="2400"/>
                </a:pPr>
                <a:endParaRPr lang="es-DO"/>
              </a:p>
            </c:txPr>
            <c:showLegendKey val="0"/>
            <c:showVal val="0"/>
            <c:showCatName val="0"/>
            <c:showSerName val="0"/>
            <c:showPercent val="0"/>
            <c:showBubbleSize val="0"/>
            <c:extLst>
              <c:ext xmlns:c15="http://schemas.microsoft.com/office/drawing/2012/chart" uri="{CE6537A1-D6FC-4f65-9D91-7224C49458BB}">
                <c15:showLeaderLines val="0"/>
              </c:ext>
            </c:extLst>
          </c:dLbls>
          <c:val>
            <c:numRef>
              <c:f>'Figure 14'!$AA$57:$AA$98</c:f>
              <c:numCache>
                <c:formatCode>0.0%</c:formatCode>
                <c:ptCount val="40"/>
                <c:pt idx="0">
                  <c:v>0.84201192905044497</c:v>
                </c:pt>
                <c:pt idx="1">
                  <c:v>1.0976604283307396</c:v>
                </c:pt>
                <c:pt idx="2">
                  <c:v>0.69183975442641732</c:v>
                </c:pt>
                <c:pt idx="3">
                  <c:v>0.5300022334526695</c:v>
                </c:pt>
                <c:pt idx="4">
                  <c:v>0.63057990461403379</c:v>
                </c:pt>
                <c:pt idx="5">
                  <c:v>0.49630713547474398</c:v>
                </c:pt>
                <c:pt idx="6">
                  <c:v>0.53047434597356302</c:v>
                </c:pt>
                <c:pt idx="7">
                  <c:v>1.0517713542044675</c:v>
                </c:pt>
                <c:pt idx="8">
                  <c:v>0.45293198896118181</c:v>
                </c:pt>
                <c:pt idx="9">
                  <c:v>0.38411060243614781</c:v>
                </c:pt>
                <c:pt idx="10">
                  <c:v>0.47459437951403982</c:v>
                </c:pt>
                <c:pt idx="11">
                  <c:v>0.63939770779225513</c:v>
                </c:pt>
                <c:pt idx="12">
                  <c:v>0.45299677404358951</c:v>
                </c:pt>
                <c:pt idx="13">
                  <c:v>0.40925806039776336</c:v>
                </c:pt>
                <c:pt idx="14">
                  <c:v>0.3838087863609051</c:v>
                </c:pt>
                <c:pt idx="15">
                  <c:v>0.45561519597674854</c:v>
                </c:pt>
                <c:pt idx="16">
                  <c:v>0.34238672427093153</c:v>
                </c:pt>
                <c:pt idx="17">
                  <c:v>0.24790176617664531</c:v>
                </c:pt>
                <c:pt idx="18">
                  <c:v>0.34029704617217182</c:v>
                </c:pt>
                <c:pt idx="19">
                  <c:v>0.53847148828894043</c:v>
                </c:pt>
                <c:pt idx="20">
                  <c:v>0.33840543942469409</c:v>
                </c:pt>
                <c:pt idx="21">
                  <c:v>0.2988248118029716</c:v>
                </c:pt>
                <c:pt idx="22">
                  <c:v>0.3292159668425626</c:v>
                </c:pt>
                <c:pt idx="23">
                  <c:v>0.41324820159505515</c:v>
                </c:pt>
                <c:pt idx="24">
                  <c:v>0.27658406004521763</c:v>
                </c:pt>
                <c:pt idx="25">
                  <c:v>0.53885286645565866</c:v>
                </c:pt>
                <c:pt idx="26">
                  <c:v>0.26986930456222996</c:v>
                </c:pt>
                <c:pt idx="27">
                  <c:v>9.4458179924744017E-3</c:v>
                </c:pt>
                <c:pt idx="28">
                  <c:v>0.26426485415336359</c:v>
                </c:pt>
                <c:pt idx="29">
                  <c:v>0.28376292518362417</c:v>
                </c:pt>
                <c:pt idx="30">
                  <c:v>0.2451002888154809</c:v>
                </c:pt>
                <c:pt idx="31">
                  <c:v>0.25211954012061094</c:v>
                </c:pt>
                <c:pt idx="32">
                  <c:v>0.20476174708325601</c:v>
                </c:pt>
                <c:pt idx="33">
                  <c:v>0.28595183681808745</c:v>
                </c:pt>
                <c:pt idx="34">
                  <c:v>0.23207194663551106</c:v>
                </c:pt>
                <c:pt idx="35">
                  <c:v>0.27662807917631532</c:v>
                </c:pt>
                <c:pt idx="36">
                  <c:v>0.10742624395308351</c:v>
                </c:pt>
                <c:pt idx="37">
                  <c:v>0.27004966584037526</c:v>
                </c:pt>
                <c:pt idx="38">
                  <c:v>0.11912139799483637</c:v>
                </c:pt>
                <c:pt idx="39">
                  <c:v>0.18675482403440144</c:v>
                </c:pt>
              </c:numCache>
            </c:numRef>
          </c:val>
          <c:extLst>
            <c:ext xmlns:c16="http://schemas.microsoft.com/office/drawing/2014/chart" uri="{C3380CC4-5D6E-409C-BE32-E72D297353CC}">
              <c16:uniqueId val="{00000008-BA04-41B2-B741-3D4D917871BD}"/>
            </c:ext>
          </c:extLst>
        </c:ser>
        <c:dLbls>
          <c:showLegendKey val="0"/>
          <c:showVal val="0"/>
          <c:showCatName val="0"/>
          <c:showSerName val="0"/>
          <c:showPercent val="0"/>
          <c:showBubbleSize val="0"/>
        </c:dLbls>
        <c:gapWidth val="219"/>
        <c:overlap val="100"/>
        <c:axId val="578969456"/>
        <c:axId val="578989136"/>
      </c:barChart>
      <c:catAx>
        <c:axId val="27116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lang="en-US" sz="2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71148448"/>
        <c:crosses val="autoZero"/>
        <c:auto val="1"/>
        <c:lblAlgn val="ctr"/>
        <c:lblOffset val="100"/>
        <c:noMultiLvlLbl val="0"/>
      </c:catAx>
      <c:valAx>
        <c:axId val="271148448"/>
        <c:scaling>
          <c:orientation val="minMax"/>
        </c:scaling>
        <c:delete val="0"/>
        <c:axPos val="l"/>
        <c:title>
          <c:tx>
            <c:rich>
              <a:bodyPr rot="-5400000" spcFirstLastPara="1" vertOverflow="ellipsis" vert="horz" wrap="square" anchor="ctr" anchorCtr="1"/>
              <a:lstStyle/>
              <a:p>
                <a:pPr>
                  <a:defRPr lang="en-US" sz="32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3200" b="1" i="0" u="none" strike="noStrike" kern="1200" baseline="0">
                    <a:solidFill>
                      <a:sysClr val="windowText" lastClr="000000"/>
                    </a:solidFill>
                    <a:latin typeface="Times New Roman" panose="02020603050405020304" pitchFamily="18" charset="0"/>
                    <a:cs typeface="Times New Roman" panose="02020603050405020304" pitchFamily="18" charset="0"/>
                  </a:rPr>
                  <a:t>Minimum cost of salaried labor as % of GDP per worker</a:t>
                </a:r>
              </a:p>
            </c:rich>
          </c:tx>
          <c:layout>
            <c:manualLayout>
              <c:xMode val="edge"/>
              <c:yMode val="edge"/>
              <c:x val="1.6528158857596433E-3"/>
              <c:y val="0.12671144266595183"/>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2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71161888"/>
        <c:crosses val="autoZero"/>
        <c:crossBetween val="between"/>
      </c:valAx>
      <c:valAx>
        <c:axId val="578989136"/>
        <c:scaling>
          <c:orientation val="minMax"/>
        </c:scaling>
        <c:delete val="0"/>
        <c:axPos val="r"/>
        <c:numFmt formatCode="0.0%" sourceLinked="1"/>
        <c:majorTickMark val="out"/>
        <c:minorTickMark val="none"/>
        <c:tickLblPos val="nextTo"/>
        <c:txPr>
          <a:bodyPr/>
          <a:lstStyle/>
          <a:p>
            <a:pPr>
              <a:defRPr>
                <a:solidFill>
                  <a:schemeClr val="bg1"/>
                </a:solidFill>
              </a:defRPr>
            </a:pPr>
            <a:endParaRPr lang="es-DO"/>
          </a:p>
        </c:txPr>
        <c:crossAx val="578969456"/>
        <c:crosses val="max"/>
        <c:crossBetween val="between"/>
      </c:valAx>
      <c:catAx>
        <c:axId val="578969456"/>
        <c:scaling>
          <c:orientation val="minMax"/>
        </c:scaling>
        <c:delete val="1"/>
        <c:axPos val="b"/>
        <c:majorTickMark val="out"/>
        <c:minorTickMark val="none"/>
        <c:tickLblPos val="nextTo"/>
        <c:crossAx val="578989136"/>
        <c:crosses val="autoZero"/>
        <c:auto val="1"/>
        <c:lblAlgn val="ctr"/>
        <c:lblOffset val="100"/>
        <c:noMultiLvlLbl val="0"/>
      </c:catAx>
    </c:plotArea>
    <c:legend>
      <c:legendPos val="b"/>
      <c:layout>
        <c:manualLayout>
          <c:xMode val="edge"/>
          <c:yMode val="edge"/>
          <c:x val="0.14936288597916572"/>
          <c:y val="0.95842553622438353"/>
          <c:w val="0.85063712363132282"/>
          <c:h val="4.1574491503443792E-2"/>
        </c:manualLayout>
      </c:layout>
      <c:overlay val="1"/>
      <c:spPr>
        <a:no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chart>
  <c:spPr>
    <a:solidFill>
      <a:schemeClr val="bg1"/>
    </a:solidFill>
    <a:ln w="9525" cap="flat" cmpd="sng" algn="ctr">
      <a:noFill/>
      <a:round/>
    </a:ln>
    <a:effectLst/>
  </c:spPr>
  <c:txPr>
    <a:bodyPr/>
    <a:lstStyle/>
    <a:p>
      <a:pPr algn="ct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printSettings>
    <c:headerFooter/>
    <c:pageMargins b="0.75" l="0.7" r="0.7" t="0.75" header="0.3" footer="0.3"/>
    <c:pageSetup/>
  </c:printSettings>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DO" sz="1200"/>
              <a:t>Average non-wage cost of salared labor</a:t>
            </a:r>
          </a:p>
          <a:p>
            <a:pPr>
              <a:defRPr/>
            </a:pPr>
            <a:r>
              <a:rPr lang="es-DO" sz="1200"/>
              <a:t>2013 vs 2023</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DO"/>
        </a:p>
      </c:txPr>
    </c:title>
    <c:autoTitleDeleted val="0"/>
    <c:plotArea>
      <c:layout>
        <c:manualLayout>
          <c:layoutTarget val="inner"/>
          <c:xMode val="edge"/>
          <c:yMode val="edge"/>
          <c:x val="0.15508302841455163"/>
          <c:y val="0.21528384279475982"/>
          <c:w val="0.82083377508845878"/>
          <c:h val="0.47525495994223427"/>
        </c:manualLayout>
      </c:layout>
      <c:barChart>
        <c:barDir val="col"/>
        <c:grouping val="stacked"/>
        <c:varyColors val="0"/>
        <c:ser>
          <c:idx val="0"/>
          <c:order val="0"/>
          <c:tx>
            <c:strRef>
              <c:f>'Figure by contributor'!$G$5</c:f>
              <c:strCache>
                <c:ptCount val="1"/>
                <c:pt idx="0">
                  <c:v>Employers</c:v>
                </c:pt>
              </c:strCache>
            </c:strRef>
          </c:tx>
          <c:spPr>
            <a:solidFill>
              <a:schemeClr val="accent1"/>
            </a:solidFill>
            <a:ln>
              <a:noFill/>
            </a:ln>
            <a:effectLst/>
          </c:spPr>
          <c:invertIfNegative val="0"/>
          <c:cat>
            <c:multiLvlStrRef>
              <c:f>'Figure by contributor'!$A$6:$B$27</c:f>
              <c:multiLvlStrCache>
                <c:ptCount val="22"/>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lvl>
                <c:lvl>
                  <c:pt idx="0">
                    <c:v>URY</c:v>
                  </c:pt>
                  <c:pt idx="2">
                    <c:v>ARG</c:v>
                  </c:pt>
                  <c:pt idx="4">
                    <c:v>BOL</c:v>
                  </c:pt>
                  <c:pt idx="6">
                    <c:v>PAN</c:v>
                  </c:pt>
                  <c:pt idx="8">
                    <c:v>ECU</c:v>
                  </c:pt>
                  <c:pt idx="10">
                    <c:v>CRI</c:v>
                  </c:pt>
                  <c:pt idx="12">
                    <c:v>PRY</c:v>
                  </c:pt>
                  <c:pt idx="14">
                    <c:v>SLV</c:v>
                  </c:pt>
                  <c:pt idx="16">
                    <c:v>DOM</c:v>
                  </c:pt>
                  <c:pt idx="18">
                    <c:v>GTM</c:v>
                  </c:pt>
                  <c:pt idx="20">
                    <c:v>MEX</c:v>
                  </c:pt>
                </c:lvl>
              </c:multiLvlStrCache>
            </c:multiLvlStrRef>
          </c:cat>
          <c:val>
            <c:numRef>
              <c:f>'Figure by contributor'!$G$6:$G$27</c:f>
              <c:numCache>
                <c:formatCode>0%</c:formatCode>
                <c:ptCount val="22"/>
                <c:pt idx="0">
                  <c:v>0.43305821917808218</c:v>
                </c:pt>
                <c:pt idx="1">
                  <c:v>0.43611111111111112</c:v>
                </c:pt>
                <c:pt idx="2">
                  <c:v>0.51698630136986301</c:v>
                </c:pt>
                <c:pt idx="3">
                  <c:v>0.52655555555555555</c:v>
                </c:pt>
                <c:pt idx="4">
                  <c:v>0.49778493150684933</c:v>
                </c:pt>
                <c:pt idx="5">
                  <c:v>0.51975555555555564</c:v>
                </c:pt>
                <c:pt idx="6">
                  <c:v>0.38185753424657531</c:v>
                </c:pt>
                <c:pt idx="7">
                  <c:v>0.37497777777777774</c:v>
                </c:pt>
                <c:pt idx="8">
                  <c:v>0.40742750840300862</c:v>
                </c:pt>
                <c:pt idx="9">
                  <c:v>0.4029666666666667</c:v>
                </c:pt>
                <c:pt idx="10">
                  <c:v>0.48157808219178083</c:v>
                </c:pt>
                <c:pt idx="11">
                  <c:v>0.49788888888888883</c:v>
                </c:pt>
                <c:pt idx="12">
                  <c:v>0.34315068493150686</c:v>
                </c:pt>
                <c:pt idx="13">
                  <c:v>0.35333333333333333</c:v>
                </c:pt>
                <c:pt idx="14">
                  <c:v>0.34154109589041098</c:v>
                </c:pt>
                <c:pt idx="15">
                  <c:v>0.34466666666666662</c:v>
                </c:pt>
                <c:pt idx="16">
                  <c:v>0.38723424657534256</c:v>
                </c:pt>
                <c:pt idx="17">
                  <c:v>0.37477777777777777</c:v>
                </c:pt>
                <c:pt idx="18">
                  <c:v>0.41437123287671235</c:v>
                </c:pt>
                <c:pt idx="19">
                  <c:v>0.41866666666666674</c:v>
                </c:pt>
                <c:pt idx="20">
                  <c:v>0.40641979241454151</c:v>
                </c:pt>
                <c:pt idx="21">
                  <c:v>0.40641979241454151</c:v>
                </c:pt>
              </c:numCache>
            </c:numRef>
          </c:val>
          <c:extLst>
            <c:ext xmlns:c16="http://schemas.microsoft.com/office/drawing/2014/chart" uri="{C3380CC4-5D6E-409C-BE32-E72D297353CC}">
              <c16:uniqueId val="{00000000-91F3-4297-A5E2-D616BDB0E03D}"/>
            </c:ext>
          </c:extLst>
        </c:ser>
        <c:ser>
          <c:idx val="1"/>
          <c:order val="1"/>
          <c:tx>
            <c:strRef>
              <c:f>'Figure by contributor'!$H$5</c:f>
              <c:strCache>
                <c:ptCount val="1"/>
                <c:pt idx="0">
                  <c:v>Employees</c:v>
                </c:pt>
              </c:strCache>
            </c:strRef>
          </c:tx>
          <c:spPr>
            <a:solidFill>
              <a:schemeClr val="accent4"/>
            </a:solidFill>
            <a:ln>
              <a:noFill/>
            </a:ln>
            <a:effectLst/>
          </c:spPr>
          <c:invertIfNegative val="0"/>
          <c:cat>
            <c:multiLvlStrRef>
              <c:f>'Figure by contributor'!$A$6:$B$27</c:f>
              <c:multiLvlStrCache>
                <c:ptCount val="22"/>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lvl>
                <c:lvl>
                  <c:pt idx="0">
                    <c:v>URY</c:v>
                  </c:pt>
                  <c:pt idx="2">
                    <c:v>ARG</c:v>
                  </c:pt>
                  <c:pt idx="4">
                    <c:v>BOL</c:v>
                  </c:pt>
                  <c:pt idx="6">
                    <c:v>PAN</c:v>
                  </c:pt>
                  <c:pt idx="8">
                    <c:v>ECU</c:v>
                  </c:pt>
                  <c:pt idx="10">
                    <c:v>CRI</c:v>
                  </c:pt>
                  <c:pt idx="12">
                    <c:v>PRY</c:v>
                  </c:pt>
                  <c:pt idx="14">
                    <c:v>SLV</c:v>
                  </c:pt>
                  <c:pt idx="16">
                    <c:v>DOM</c:v>
                  </c:pt>
                  <c:pt idx="18">
                    <c:v>GTM</c:v>
                  </c:pt>
                  <c:pt idx="20">
                    <c:v>MEX</c:v>
                  </c:pt>
                </c:lvl>
              </c:multiLvlStrCache>
            </c:multiLvlStrRef>
          </c:cat>
          <c:val>
            <c:numRef>
              <c:f>'Figure by contributor'!$H$6:$H$27</c:f>
              <c:numCache>
                <c:formatCode>0.0%</c:formatCode>
                <c:ptCount val="22"/>
                <c:pt idx="0">
                  <c:v>0.19625000000000001</c:v>
                </c:pt>
                <c:pt idx="1">
                  <c:v>0.18099999999999999</c:v>
                </c:pt>
                <c:pt idx="2">
                  <c:v>0.19404109589041096</c:v>
                </c:pt>
                <c:pt idx="3">
                  <c:v>0.16999999999999998</c:v>
                </c:pt>
                <c:pt idx="4">
                  <c:v>0.12709999999999999</c:v>
                </c:pt>
                <c:pt idx="5">
                  <c:v>0.12709999999999999</c:v>
                </c:pt>
                <c:pt idx="6">
                  <c:v>0.12294520547945205</c:v>
                </c:pt>
                <c:pt idx="7">
                  <c:v>0.1105</c:v>
                </c:pt>
                <c:pt idx="8">
                  <c:v>0.10604325649442674</c:v>
                </c:pt>
                <c:pt idx="9">
                  <c:v>9.6000000000000002E-2</c:v>
                </c:pt>
                <c:pt idx="10">
                  <c:v>9.9236986301369859E-2</c:v>
                </c:pt>
                <c:pt idx="11">
                  <c:v>0.11699999999999999</c:v>
                </c:pt>
                <c:pt idx="12">
                  <c:v>9.7397260273972594E-2</c:v>
                </c:pt>
                <c:pt idx="13">
                  <c:v>0.09</c:v>
                </c:pt>
                <c:pt idx="14">
                  <c:v>9.2499999999999999E-2</c:v>
                </c:pt>
                <c:pt idx="15">
                  <c:v>9.2999999999999999E-2</c:v>
                </c:pt>
                <c:pt idx="16">
                  <c:v>6.4498630136986312E-2</c:v>
                </c:pt>
                <c:pt idx="17">
                  <c:v>6.4399999999999999E-2</c:v>
                </c:pt>
                <c:pt idx="18">
                  <c:v>4.8300000000000003E-2</c:v>
                </c:pt>
                <c:pt idx="19">
                  <c:v>4.8000000000000001E-2</c:v>
                </c:pt>
                <c:pt idx="20">
                  <c:v>2.7999999999999997E-2</c:v>
                </c:pt>
                <c:pt idx="21">
                  <c:v>2.7999999999999997E-2</c:v>
                </c:pt>
              </c:numCache>
            </c:numRef>
          </c:val>
          <c:extLst>
            <c:ext xmlns:c16="http://schemas.microsoft.com/office/drawing/2014/chart" uri="{C3380CC4-5D6E-409C-BE32-E72D297353CC}">
              <c16:uniqueId val="{00000001-91F3-4297-A5E2-D616BDB0E03D}"/>
            </c:ext>
          </c:extLst>
        </c:ser>
        <c:ser>
          <c:idx val="2"/>
          <c:order val="2"/>
          <c:tx>
            <c:strRef>
              <c:f>'Figure by contributor'!$A$6</c:f>
              <c:strCache>
                <c:ptCount val="1"/>
                <c:pt idx="0">
                  <c:v>URY</c:v>
                </c:pt>
              </c:strCache>
            </c:strRef>
          </c:tx>
          <c:spPr>
            <a:solidFill>
              <a:schemeClr val="accent3"/>
            </a:solidFill>
            <a:ln>
              <a:noFill/>
            </a:ln>
            <a:effectLst/>
          </c:spPr>
          <c:invertIfNegative val="0"/>
          <c:cat>
            <c:multiLvlStrRef>
              <c:f>'Figure by contributor'!$A$6:$B$27</c:f>
              <c:multiLvlStrCache>
                <c:ptCount val="22"/>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lvl>
                <c:lvl>
                  <c:pt idx="0">
                    <c:v>URY</c:v>
                  </c:pt>
                  <c:pt idx="2">
                    <c:v>ARG</c:v>
                  </c:pt>
                  <c:pt idx="4">
                    <c:v>BOL</c:v>
                  </c:pt>
                  <c:pt idx="6">
                    <c:v>PAN</c:v>
                  </c:pt>
                  <c:pt idx="8">
                    <c:v>ECU</c:v>
                  </c:pt>
                  <c:pt idx="10">
                    <c:v>CRI</c:v>
                  </c:pt>
                  <c:pt idx="12">
                    <c:v>PRY</c:v>
                  </c:pt>
                  <c:pt idx="14">
                    <c:v>SLV</c:v>
                  </c:pt>
                  <c:pt idx="16">
                    <c:v>DOM</c:v>
                  </c:pt>
                  <c:pt idx="18">
                    <c:v>GTM</c:v>
                  </c:pt>
                  <c:pt idx="20">
                    <c:v>MEX</c:v>
                  </c:pt>
                </c:lvl>
              </c:multiLvlStrCache>
            </c:multiLvlStrRef>
          </c:cat>
          <c:val>
            <c:numRef>
              <c:f>'Figure by contributor'!$A$7:$A$27</c:f>
              <c:numCache>
                <c:formatCode>General</c:formatCode>
                <c:ptCount val="21"/>
                <c:pt idx="1">
                  <c:v>0</c:v>
                </c:pt>
                <c:pt idx="3">
                  <c:v>0</c:v>
                </c:pt>
                <c:pt idx="5">
                  <c:v>0</c:v>
                </c:pt>
                <c:pt idx="7">
                  <c:v>0</c:v>
                </c:pt>
                <c:pt idx="9">
                  <c:v>0</c:v>
                </c:pt>
                <c:pt idx="11">
                  <c:v>0</c:v>
                </c:pt>
                <c:pt idx="13">
                  <c:v>0</c:v>
                </c:pt>
                <c:pt idx="15">
                  <c:v>0</c:v>
                </c:pt>
                <c:pt idx="17">
                  <c:v>0</c:v>
                </c:pt>
                <c:pt idx="19">
                  <c:v>0</c:v>
                </c:pt>
              </c:numCache>
            </c:numRef>
          </c:val>
          <c:extLst>
            <c:ext xmlns:c16="http://schemas.microsoft.com/office/drawing/2014/chart" uri="{C3380CC4-5D6E-409C-BE32-E72D297353CC}">
              <c16:uniqueId val="{00000002-91F3-4297-A5E2-D616BDB0E03D}"/>
            </c:ext>
          </c:extLst>
        </c:ser>
        <c:dLbls>
          <c:showLegendKey val="0"/>
          <c:showVal val="0"/>
          <c:showCatName val="0"/>
          <c:showSerName val="0"/>
          <c:showPercent val="0"/>
          <c:showBubbleSize val="0"/>
        </c:dLbls>
        <c:gapWidth val="150"/>
        <c:overlap val="100"/>
        <c:axId val="1005166528"/>
        <c:axId val="1005170368"/>
      </c:barChart>
      <c:catAx>
        <c:axId val="1005166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005170368"/>
        <c:crosses val="autoZero"/>
        <c:auto val="1"/>
        <c:lblAlgn val="ctr"/>
        <c:lblOffset val="100"/>
        <c:noMultiLvlLbl val="0"/>
      </c:catAx>
      <c:valAx>
        <c:axId val="1005170368"/>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sz="900" b="0" i="0" u="none" strike="noStrike" kern="1200" baseline="0">
                    <a:solidFill>
                      <a:sysClr val="windowText" lastClr="000000"/>
                    </a:solidFill>
                    <a:latin typeface="+mn-lt"/>
                    <a:cs typeface="Times New Roman" panose="02020603050405020304" pitchFamily="18" charset="0"/>
                  </a:rPr>
                  <a:t>Cost of salaried labor for employees </a:t>
                </a:r>
              </a:p>
              <a:p>
                <a:pPr>
                  <a:defRPr/>
                </a:pPr>
                <a:r>
                  <a:rPr lang="en-US" sz="900" b="0" i="0" u="none" strike="noStrike" kern="1200" baseline="0">
                    <a:solidFill>
                      <a:sysClr val="windowText" lastClr="000000"/>
                    </a:solidFill>
                    <a:latin typeface="+mn-lt"/>
                    <a:cs typeface="Times New Roman" panose="02020603050405020304" pitchFamily="18" charset="0"/>
                  </a:rPr>
                  <a:t>(% of average annual formal wages)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crossAx val="1005166528"/>
        <c:crosses val="autoZero"/>
        <c:crossBetween val="between"/>
      </c:valAx>
      <c:spPr>
        <a:noFill/>
        <a:ln>
          <a:noFill/>
        </a:ln>
        <a:effectLst/>
      </c:spPr>
    </c:plotArea>
    <c:legend>
      <c:legendPos val="b"/>
      <c:legendEntry>
        <c:idx val="2"/>
        <c:delete val="1"/>
      </c:legendEntry>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DO"/>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D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Sheet2!$B$34</c:f>
              <c:strCache>
                <c:ptCount val="1"/>
                <c:pt idx="0">
                  <c:v>Contribuciones a la SS - Empleado</c:v>
                </c:pt>
              </c:strCache>
            </c:strRef>
          </c:tx>
          <c:spPr>
            <a:solidFill>
              <a:schemeClr val="tx2">
                <a:lumMod val="50000"/>
              </a:schemeClr>
            </a:solidFill>
          </c:spPr>
          <c:invertIfNegative val="0"/>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Sheet2!$B$35:$B$58</c:f>
              <c:numCache>
                <c:formatCode>0%</c:formatCode>
                <c:ptCount val="24"/>
                <c:pt idx="0">
                  <c:v>0.19858219178082198</c:v>
                </c:pt>
                <c:pt idx="1">
                  <c:v>9.1679407564991822E-2</c:v>
                </c:pt>
                <c:pt idx="3">
                  <c:v>0.11699999999999997</c:v>
                </c:pt>
                <c:pt idx="4">
                  <c:v>0.13</c:v>
                </c:pt>
                <c:pt idx="5">
                  <c:v>0.13</c:v>
                </c:pt>
                <c:pt idx="7">
                  <c:v>0.19887166665976036</c:v>
                </c:pt>
                <c:pt idx="8">
                  <c:v>0.12709999999999999</c:v>
                </c:pt>
                <c:pt idx="9">
                  <c:v>7.2522161871009863E-2</c:v>
                </c:pt>
                <c:pt idx="10">
                  <c:v>0.12294520547945206</c:v>
                </c:pt>
                <c:pt idx="11">
                  <c:v>0.10735993230119259</c:v>
                </c:pt>
                <c:pt idx="12">
                  <c:v>6.9465890410958894E-2</c:v>
                </c:pt>
                <c:pt idx="13">
                  <c:v>2.5723726792496716E-2</c:v>
                </c:pt>
                <c:pt idx="14">
                  <c:v>4.4470000000000003E-2</c:v>
                </c:pt>
                <c:pt idx="15">
                  <c:v>6.0000000000000032E-2</c:v>
                </c:pt>
                <c:pt idx="16">
                  <c:v>0.05</c:v>
                </c:pt>
                <c:pt idx="17">
                  <c:v>5.8048767123287673E-2</c:v>
                </c:pt>
                <c:pt idx="18">
                  <c:v>8.7657534246575311E-2</c:v>
                </c:pt>
                <c:pt idx="19">
                  <c:v>8.1826622528681531E-2</c:v>
                </c:pt>
                <c:pt idx="20">
                  <c:v>2.4669905511387327E-2</c:v>
                </c:pt>
                <c:pt idx="21">
                  <c:v>0.18960348742778027</c:v>
                </c:pt>
                <c:pt idx="22">
                  <c:v>6.6936494505293015E-2</c:v>
                </c:pt>
                <c:pt idx="23">
                  <c:v>5.6429381397242108E-2</c:v>
                </c:pt>
              </c:numCache>
            </c:numRef>
          </c:val>
          <c:extLst>
            <c:ext xmlns:c16="http://schemas.microsoft.com/office/drawing/2014/chart" uri="{C3380CC4-5D6E-409C-BE32-E72D297353CC}">
              <c16:uniqueId val="{00000000-8B81-41BD-93F5-49B0BD8145AE}"/>
            </c:ext>
          </c:extLst>
        </c:ser>
        <c:ser>
          <c:idx val="1"/>
          <c:order val="1"/>
          <c:tx>
            <c:strRef>
              <c:f>Sheet2!$C$34</c:f>
              <c:strCache>
                <c:ptCount val="1"/>
                <c:pt idx="0">
                  <c:v>Contribuciones a la SS - Empleador</c:v>
                </c:pt>
              </c:strCache>
            </c:strRef>
          </c:tx>
          <c:spPr>
            <a:solidFill>
              <a:schemeClr val="accent6">
                <a:lumMod val="60000"/>
                <a:lumOff val="40000"/>
              </a:schemeClr>
            </a:solidFill>
          </c:spPr>
          <c:invertIfNegative val="0"/>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Sheet2!$C$35:$C$58</c:f>
              <c:numCache>
                <c:formatCode>0%</c:formatCode>
                <c:ptCount val="24"/>
                <c:pt idx="0">
                  <c:v>0.27812328767123284</c:v>
                </c:pt>
                <c:pt idx="1">
                  <c:v>0.35569689779172942</c:v>
                </c:pt>
                <c:pt idx="3">
                  <c:v>0.16166999999999998</c:v>
                </c:pt>
                <c:pt idx="4">
                  <c:v>0.1373958904109589</c:v>
                </c:pt>
                <c:pt idx="5">
                  <c:v>4.4999999999999998E-2</c:v>
                </c:pt>
                <c:pt idx="7">
                  <c:v>0.19525000000000006</c:v>
                </c:pt>
                <c:pt idx="8">
                  <c:v>0.14710000000000001</c:v>
                </c:pt>
                <c:pt idx="9">
                  <c:v>0.26447901369863014</c:v>
                </c:pt>
                <c:pt idx="10">
                  <c:v>0.16060410958904112</c:v>
                </c:pt>
                <c:pt idx="11">
                  <c:v>0.12537489760768694</c:v>
                </c:pt>
                <c:pt idx="12">
                  <c:v>0.20154671232876717</c:v>
                </c:pt>
                <c:pt idx="13">
                  <c:v>0.25298337506441798</c:v>
                </c:pt>
                <c:pt idx="14">
                  <c:v>0.11903000000000001</c:v>
                </c:pt>
                <c:pt idx="15">
                  <c:v>0.15752500000000003</c:v>
                </c:pt>
                <c:pt idx="16">
                  <c:v>0.14531506849315071</c:v>
                </c:pt>
                <c:pt idx="17">
                  <c:v>0.16093273972602745</c:v>
                </c:pt>
                <c:pt idx="18">
                  <c:v>0.1471780821917808</c:v>
                </c:pt>
                <c:pt idx="19">
                  <c:v>0.13469155632170379</c:v>
                </c:pt>
                <c:pt idx="20">
                  <c:v>4.785961669209142E-2</c:v>
                </c:pt>
                <c:pt idx="21">
                  <c:v>4.602032753659701E-2</c:v>
                </c:pt>
                <c:pt idx="22">
                  <c:v>0.11924900222008619</c:v>
                </c:pt>
                <c:pt idx="23">
                  <c:v>8.2495665814422803E-2</c:v>
                </c:pt>
              </c:numCache>
            </c:numRef>
          </c:val>
          <c:extLst>
            <c:ext xmlns:c16="http://schemas.microsoft.com/office/drawing/2014/chart" uri="{C3380CC4-5D6E-409C-BE32-E72D297353CC}">
              <c16:uniqueId val="{00000001-8B81-41BD-93F5-49B0BD8145AE}"/>
            </c:ext>
          </c:extLst>
        </c:ser>
        <c:ser>
          <c:idx val="2"/>
          <c:order val="2"/>
          <c:tx>
            <c:strRef>
              <c:f>Sheet2!$D$34</c:f>
              <c:strCache>
                <c:ptCount val="1"/>
                <c:pt idx="0">
                  <c:v>Aguinaldo</c:v>
                </c:pt>
              </c:strCache>
            </c:strRef>
          </c:tx>
          <c:spPr>
            <a:solidFill>
              <a:schemeClr val="accent1">
                <a:lumMod val="60000"/>
                <a:lumOff val="40000"/>
              </a:schemeClr>
            </a:solidFill>
          </c:spPr>
          <c:invertIfNegative val="0"/>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Sheet2!$D$35:$D$58</c:f>
              <c:numCache>
                <c:formatCode>0%</c:formatCode>
                <c:ptCount val="24"/>
                <c:pt idx="0">
                  <c:v>8.2191780821917804E-2</c:v>
                </c:pt>
                <c:pt idx="1">
                  <c:v>8.2191780821917804E-2</c:v>
                </c:pt>
                <c:pt idx="3">
                  <c:v>0.16438356164383561</c:v>
                </c:pt>
                <c:pt idx="4">
                  <c:v>0.16438356164383561</c:v>
                </c:pt>
                <c:pt idx="5">
                  <c:v>0</c:v>
                </c:pt>
                <c:pt idx="7">
                  <c:v>8.2191780821917804E-2</c:v>
                </c:pt>
                <c:pt idx="8">
                  <c:v>0.16438356164383561</c:v>
                </c:pt>
                <c:pt idx="9">
                  <c:v>8.2191780821917804E-2</c:v>
                </c:pt>
                <c:pt idx="10">
                  <c:v>8.2191780821917776E-2</c:v>
                </c:pt>
                <c:pt idx="11">
                  <c:v>0.13608393969515983</c:v>
                </c:pt>
                <c:pt idx="12">
                  <c:v>8.2191780821917804E-2</c:v>
                </c:pt>
                <c:pt idx="13">
                  <c:v>4.1095890410958909E-2</c:v>
                </c:pt>
                <c:pt idx="14">
                  <c:v>0.16438356164383566</c:v>
                </c:pt>
                <c:pt idx="15">
                  <c:v>8.2191780821917776E-2</c:v>
                </c:pt>
                <c:pt idx="16">
                  <c:v>8.2191780821917804E-2</c:v>
                </c:pt>
                <c:pt idx="17">
                  <c:v>8.2191780821917776E-2</c:v>
                </c:pt>
                <c:pt idx="18">
                  <c:v>8.2191780821917762E-2</c:v>
                </c:pt>
                <c:pt idx="19">
                  <c:v>4.1095890410958902E-2</c:v>
                </c:pt>
                <c:pt idx="20">
                  <c:v>0.16438356164383555</c:v>
                </c:pt>
                <c:pt idx="21">
                  <c:v>0</c:v>
                </c:pt>
                <c:pt idx="22">
                  <c:v>0</c:v>
                </c:pt>
                <c:pt idx="23">
                  <c:v>0</c:v>
                </c:pt>
              </c:numCache>
            </c:numRef>
          </c:val>
          <c:extLst>
            <c:ext xmlns:c16="http://schemas.microsoft.com/office/drawing/2014/chart" uri="{C3380CC4-5D6E-409C-BE32-E72D297353CC}">
              <c16:uniqueId val="{00000002-8B81-41BD-93F5-49B0BD8145AE}"/>
            </c:ext>
          </c:extLst>
        </c:ser>
        <c:ser>
          <c:idx val="3"/>
          <c:order val="3"/>
          <c:tx>
            <c:strRef>
              <c:f>Sheet2!$E$34</c:f>
              <c:strCache>
                <c:ptCount val="1"/>
                <c:pt idx="0">
                  <c:v>Vacaciones</c:v>
                </c:pt>
              </c:strCache>
            </c:strRef>
          </c:tx>
          <c:spPr>
            <a:solidFill>
              <a:schemeClr val="accent5">
                <a:lumMod val="40000"/>
                <a:lumOff val="60000"/>
              </a:schemeClr>
            </a:solidFill>
          </c:spPr>
          <c:invertIfNegative val="0"/>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Sheet2!$E$35:$E$58</c:f>
              <c:numCache>
                <c:formatCode>0%</c:formatCode>
                <c:ptCount val="24"/>
                <c:pt idx="0">
                  <c:v>3.8356164383561632E-2</c:v>
                </c:pt>
                <c:pt idx="1">
                  <c:v>0.1095890410958904</c:v>
                </c:pt>
                <c:pt idx="3">
                  <c:v>8.2191780821917804E-2</c:v>
                </c:pt>
                <c:pt idx="4">
                  <c:v>4.1095890410958902E-2</c:v>
                </c:pt>
                <c:pt idx="5">
                  <c:v>4.1095890410958902E-2</c:v>
                </c:pt>
                <c:pt idx="7">
                  <c:v>5.7534246575342472E-2</c:v>
                </c:pt>
                <c:pt idx="8">
                  <c:v>5.4794520547945202E-2</c:v>
                </c:pt>
                <c:pt idx="9">
                  <c:v>4.1095890410958902E-2</c:v>
                </c:pt>
                <c:pt idx="10">
                  <c:v>8.2191780821917776E-2</c:v>
                </c:pt>
                <c:pt idx="11">
                  <c:v>4.1095890410958888E-2</c:v>
                </c:pt>
                <c:pt idx="12">
                  <c:v>3.8356164383561632E-2</c:v>
                </c:pt>
                <c:pt idx="13">
                  <c:v>3.8356164383561632E-2</c:v>
                </c:pt>
                <c:pt idx="14">
                  <c:v>4.1095890410958916E-2</c:v>
                </c:pt>
                <c:pt idx="15">
                  <c:v>5.205479452054794E-2</c:v>
                </c:pt>
                <c:pt idx="16">
                  <c:v>8.2191780821917804E-2</c:v>
                </c:pt>
                <c:pt idx="17">
                  <c:v>4.9315068493150697E-2</c:v>
                </c:pt>
                <c:pt idx="18">
                  <c:v>3.2876712328767113E-2</c:v>
                </c:pt>
                <c:pt idx="19">
                  <c:v>6.5753424657534226E-2</c:v>
                </c:pt>
                <c:pt idx="20">
                  <c:v>5.4794520547945202E-2</c:v>
                </c:pt>
                <c:pt idx="21">
                  <c:v>4.1095890410958909E-2</c:v>
                </c:pt>
                <c:pt idx="22">
                  <c:v>3.8356164383561632E-2</c:v>
                </c:pt>
                <c:pt idx="23">
                  <c:v>3.9886039886039892E-2</c:v>
                </c:pt>
              </c:numCache>
            </c:numRef>
          </c:val>
          <c:extLst>
            <c:ext xmlns:c16="http://schemas.microsoft.com/office/drawing/2014/chart" uri="{C3380CC4-5D6E-409C-BE32-E72D297353CC}">
              <c16:uniqueId val="{00000003-8B81-41BD-93F5-49B0BD8145AE}"/>
            </c:ext>
          </c:extLst>
        </c:ser>
        <c:ser>
          <c:idx val="4"/>
          <c:order val="4"/>
          <c:tx>
            <c:strRef>
              <c:f>Sheet2!$H$34</c:f>
              <c:strCache>
                <c:ptCount val="1"/>
                <c:pt idx="0">
                  <c:v>Indemnización por despido (flujo)</c:v>
                </c:pt>
              </c:strCache>
            </c:strRef>
          </c:tx>
          <c:spPr>
            <a:solidFill>
              <a:schemeClr val="accent6">
                <a:lumMod val="75000"/>
              </a:schemeClr>
            </a:solidFill>
          </c:spPr>
          <c:invertIfNegative val="0"/>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Sheet2!$H$35:$H$58</c:f>
              <c:numCache>
                <c:formatCode>0%</c:formatCode>
                <c:ptCount val="24"/>
                <c:pt idx="0">
                  <c:v>8.2191780821917804E-2</c:v>
                </c:pt>
                <c:pt idx="1">
                  <c:v>3.1561643835616424E-2</c:v>
                </c:pt>
                <c:pt idx="3">
                  <c:v>0.12328767123287673</c:v>
                </c:pt>
                <c:pt idx="4">
                  <c:v>5.4794520547945202E-2</c:v>
                </c:pt>
                <c:pt idx="5">
                  <c:v>2.7397260273972601E-2</c:v>
                </c:pt>
                <c:pt idx="7">
                  <c:v>9.8082191780821906E-2</c:v>
                </c:pt>
                <c:pt idx="8">
                  <c:v>8.2191780821917804E-2</c:v>
                </c:pt>
                <c:pt idx="9">
                  <c:v>6.0273972602739735E-2</c:v>
                </c:pt>
                <c:pt idx="10">
                  <c:v>6.5205479452054807E-2</c:v>
                </c:pt>
                <c:pt idx="11">
                  <c:v>8.2191780821917804E-2</c:v>
                </c:pt>
                <c:pt idx="12">
                  <c:v>5.8082191780821912E-2</c:v>
                </c:pt>
                <c:pt idx="13">
                  <c:v>0.10410958904109588</c:v>
                </c:pt>
                <c:pt idx="14">
                  <c:v>8.2191780821917804E-2</c:v>
                </c:pt>
                <c:pt idx="15">
                  <c:v>8.2191780821917804E-2</c:v>
                </c:pt>
                <c:pt idx="16">
                  <c:v>7.1232876712328738E-2</c:v>
                </c:pt>
                <c:pt idx="17">
                  <c:v>6.3013698630136977E-2</c:v>
                </c:pt>
                <c:pt idx="18">
                  <c:v>4.1095890410958902E-2</c:v>
                </c:pt>
                <c:pt idx="19">
                  <c:v>8.2191780821917804E-2</c:v>
                </c:pt>
                <c:pt idx="20">
                  <c:v>8.2191780821917804E-2</c:v>
                </c:pt>
                <c:pt idx="21">
                  <c:v>8.2191780821917804E-2</c:v>
                </c:pt>
                <c:pt idx="22">
                  <c:v>3.8356164383561632E-2</c:v>
                </c:pt>
                <c:pt idx="23">
                  <c:v>4.547945205479452E-2</c:v>
                </c:pt>
              </c:numCache>
            </c:numRef>
          </c:val>
          <c:extLst>
            <c:ext xmlns:c16="http://schemas.microsoft.com/office/drawing/2014/chart" uri="{C3380CC4-5D6E-409C-BE32-E72D297353CC}">
              <c16:uniqueId val="{00000004-8B81-41BD-93F5-49B0BD8145AE}"/>
            </c:ext>
          </c:extLst>
        </c:ser>
        <c:ser>
          <c:idx val="5"/>
          <c:order val="5"/>
          <c:tx>
            <c:strRef>
              <c:f>Sheet2!$I$34</c:f>
              <c:strCache>
                <c:ptCount val="1"/>
                <c:pt idx="0">
                  <c:v>Aviso previo (flujo)</c:v>
                </c:pt>
              </c:strCache>
            </c:strRef>
          </c:tx>
          <c:spPr>
            <a:solidFill>
              <a:schemeClr val="accent6">
                <a:lumMod val="50000"/>
              </a:schemeClr>
            </a:solidFill>
          </c:spPr>
          <c:invertIfNegative val="0"/>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Sheet2!$I$35:$I$58</c:f>
              <c:numCache>
                <c:formatCode>0%</c:formatCode>
                <c:ptCount val="24"/>
                <c:pt idx="0">
                  <c:v>3.287671232876712E-2</c:v>
                </c:pt>
                <c:pt idx="1">
                  <c:v>2.301369863013699E-2</c:v>
                </c:pt>
                <c:pt idx="3">
                  <c:v>0</c:v>
                </c:pt>
                <c:pt idx="4">
                  <c:v>0</c:v>
                </c:pt>
                <c:pt idx="5">
                  <c:v>0</c:v>
                </c:pt>
                <c:pt idx="7">
                  <c:v>0</c:v>
                </c:pt>
                <c:pt idx="8">
                  <c:v>4.9315068493150691E-2</c:v>
                </c:pt>
                <c:pt idx="9">
                  <c:v>4.10958904109589E-3</c:v>
                </c:pt>
                <c:pt idx="10">
                  <c:v>0</c:v>
                </c:pt>
                <c:pt idx="11">
                  <c:v>0</c:v>
                </c:pt>
                <c:pt idx="12">
                  <c:v>1.643835616438356E-2</c:v>
                </c:pt>
                <c:pt idx="13">
                  <c:v>0</c:v>
                </c:pt>
                <c:pt idx="14">
                  <c:v>0</c:v>
                </c:pt>
                <c:pt idx="15">
                  <c:v>0</c:v>
                </c:pt>
                <c:pt idx="16">
                  <c:v>0</c:v>
                </c:pt>
                <c:pt idx="17">
                  <c:v>1.5342465753424652E-2</c:v>
                </c:pt>
                <c:pt idx="18">
                  <c:v>2.4657534246575345E-2</c:v>
                </c:pt>
                <c:pt idx="19">
                  <c:v>0</c:v>
                </c:pt>
                <c:pt idx="20">
                  <c:v>1.6438356164383557E-2</c:v>
                </c:pt>
                <c:pt idx="21">
                  <c:v>1.6438356164383564E-2</c:v>
                </c:pt>
                <c:pt idx="22">
                  <c:v>1.5342465753424652E-2</c:v>
                </c:pt>
              </c:numCache>
            </c:numRef>
          </c:val>
          <c:extLst>
            <c:ext xmlns:c16="http://schemas.microsoft.com/office/drawing/2014/chart" uri="{C3380CC4-5D6E-409C-BE32-E72D297353CC}">
              <c16:uniqueId val="{00000005-8B81-41BD-93F5-49B0BD8145AE}"/>
            </c:ext>
          </c:extLst>
        </c:ser>
        <c:dLbls>
          <c:showLegendKey val="0"/>
          <c:showVal val="0"/>
          <c:showCatName val="0"/>
          <c:showSerName val="0"/>
          <c:showPercent val="0"/>
          <c:showBubbleSize val="0"/>
        </c:dLbls>
        <c:gapWidth val="150"/>
        <c:overlap val="100"/>
        <c:axId val="231708928"/>
        <c:axId val="231718912"/>
      </c:barChart>
      <c:lineChart>
        <c:grouping val="standard"/>
        <c:varyColors val="0"/>
        <c:ser>
          <c:idx val="6"/>
          <c:order val="6"/>
          <c:tx>
            <c:strRef>
              <c:f>Sheet2!$K$34</c:f>
              <c:strCache>
                <c:ptCount val="1"/>
                <c:pt idx="0">
                  <c:v>ALC:48%</c:v>
                </c:pt>
              </c:strCache>
            </c:strRef>
          </c:tx>
          <c:spPr>
            <a:ln>
              <a:solidFill>
                <a:sysClr val="windowText" lastClr="000000"/>
              </a:solidFill>
              <a:prstDash val="sysDash"/>
            </a:ln>
          </c:spPr>
          <c:marker>
            <c:symbol val="none"/>
          </c:marker>
          <c:dLbls>
            <c:dLbl>
              <c:idx val="23"/>
              <c:layout>
                <c:manualLayout>
                  <c:x val="-1.8112156043190525E-2"/>
                  <c:y val="-4.3159907213481785E-2"/>
                </c:manualLayout>
              </c:layout>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6-8B81-41BD-93F5-49B0BD8145AE}"/>
                </c:ext>
              </c:extLst>
            </c:dLbl>
            <c:spPr>
              <a:noFill/>
              <a:ln>
                <a:noFill/>
              </a:ln>
              <a:effectLst/>
            </c:spPr>
            <c:txPr>
              <a:bodyPr/>
              <a:lstStyle/>
              <a:p>
                <a:pPr>
                  <a:defRPr sz="1100" b="1"/>
                </a:pPr>
                <a:endParaRPr lang="es-DO"/>
              </a:p>
            </c:txPr>
            <c:showLegendKey val="0"/>
            <c:showVal val="0"/>
            <c:showCatName val="0"/>
            <c:showSerName val="0"/>
            <c:showPercent val="0"/>
            <c:showBubbleSize val="0"/>
            <c:extLst>
              <c:ext xmlns:c15="http://schemas.microsoft.com/office/drawing/2012/chart" uri="{CE6537A1-D6FC-4f65-9D91-7224C49458BB}">
                <c15:showLeaderLines val="0"/>
              </c:ext>
            </c:extLst>
          </c:dLbls>
          <c:cat>
            <c:strRef>
              <c:f>Sheet2!$A$35:$A$58</c:f>
              <c:strCache>
                <c:ptCount val="24"/>
                <c:pt idx="0">
                  <c:v>ARG</c:v>
                </c:pt>
                <c:pt idx="1">
                  <c:v>BRA</c:v>
                </c:pt>
                <c:pt idx="3">
                  <c:v>PER</c:v>
                </c:pt>
                <c:pt idx="4">
                  <c:v>PER-e.peq.</c:v>
                </c:pt>
                <c:pt idx="5">
                  <c:v>PER-micro</c:v>
                </c:pt>
                <c:pt idx="7">
                  <c:v>URY</c:v>
                </c:pt>
                <c:pt idx="8">
                  <c:v>BOL</c:v>
                </c:pt>
                <c:pt idx="9">
                  <c:v>COL</c:v>
                </c:pt>
                <c:pt idx="10">
                  <c:v>PAN</c:v>
                </c:pt>
                <c:pt idx="11">
                  <c:v>ECU</c:v>
                </c:pt>
                <c:pt idx="12">
                  <c:v>CRI</c:v>
                </c:pt>
                <c:pt idx="13">
                  <c:v>MEX</c:v>
                </c:pt>
                <c:pt idx="14">
                  <c:v>GTM</c:v>
                </c:pt>
                <c:pt idx="15">
                  <c:v>VEN</c:v>
                </c:pt>
                <c:pt idx="16">
                  <c:v>NIC</c:v>
                </c:pt>
                <c:pt idx="17">
                  <c:v>DOM</c:v>
                </c:pt>
                <c:pt idx="18">
                  <c:v>PRY</c:v>
                </c:pt>
                <c:pt idx="19">
                  <c:v>SLV</c:v>
                </c:pt>
                <c:pt idx="20">
                  <c:v>HND</c:v>
                </c:pt>
                <c:pt idx="21">
                  <c:v>CHL</c:v>
                </c:pt>
                <c:pt idx="22">
                  <c:v>JAM</c:v>
                </c:pt>
                <c:pt idx="23">
                  <c:v>TTO</c:v>
                </c:pt>
              </c:strCache>
            </c:strRef>
          </c:cat>
          <c:val>
            <c:numRef>
              <c:f>Sheet2!$K$35:$K$58</c:f>
              <c:numCache>
                <c:formatCode>0%</c:formatCode>
                <c:ptCount val="24"/>
                <c:pt idx="0">
                  <c:v>0.48020075525948852</c:v>
                </c:pt>
                <c:pt idx="1">
                  <c:v>0.48020075525948852</c:v>
                </c:pt>
                <c:pt idx="2">
                  <c:v>0.48020075525948852</c:v>
                </c:pt>
                <c:pt idx="3">
                  <c:v>0.48020075525948852</c:v>
                </c:pt>
                <c:pt idx="4">
                  <c:v>0.48020075525948852</c:v>
                </c:pt>
                <c:pt idx="5">
                  <c:v>0.48020075525948852</c:v>
                </c:pt>
                <c:pt idx="6">
                  <c:v>0.48020075525948852</c:v>
                </c:pt>
                <c:pt idx="7">
                  <c:v>0.48020075525948852</c:v>
                </c:pt>
                <c:pt idx="8">
                  <c:v>0.48020075525948852</c:v>
                </c:pt>
                <c:pt idx="9">
                  <c:v>0.48020075525948852</c:v>
                </c:pt>
                <c:pt idx="10">
                  <c:v>0.48020075525948852</c:v>
                </c:pt>
                <c:pt idx="11">
                  <c:v>0.48020075525948852</c:v>
                </c:pt>
                <c:pt idx="12">
                  <c:v>0.48020075525948852</c:v>
                </c:pt>
                <c:pt idx="13">
                  <c:v>0.48020075525948852</c:v>
                </c:pt>
                <c:pt idx="14">
                  <c:v>0.48020075525948852</c:v>
                </c:pt>
                <c:pt idx="15">
                  <c:v>0.48020075525948852</c:v>
                </c:pt>
                <c:pt idx="16">
                  <c:v>0.48020075525948852</c:v>
                </c:pt>
                <c:pt idx="17">
                  <c:v>0.48020075525948852</c:v>
                </c:pt>
                <c:pt idx="18">
                  <c:v>0.48020075525948852</c:v>
                </c:pt>
                <c:pt idx="19">
                  <c:v>0.48020075525948852</c:v>
                </c:pt>
                <c:pt idx="20">
                  <c:v>0.48020075525948852</c:v>
                </c:pt>
                <c:pt idx="21">
                  <c:v>0.48020075525948852</c:v>
                </c:pt>
                <c:pt idx="22">
                  <c:v>0.48020075525948852</c:v>
                </c:pt>
                <c:pt idx="23">
                  <c:v>0.48020075525948852</c:v>
                </c:pt>
              </c:numCache>
            </c:numRef>
          </c:val>
          <c:smooth val="0"/>
          <c:extLst>
            <c:ext xmlns:c16="http://schemas.microsoft.com/office/drawing/2014/chart" uri="{C3380CC4-5D6E-409C-BE32-E72D297353CC}">
              <c16:uniqueId val="{00000007-8B81-41BD-93F5-49B0BD8145AE}"/>
            </c:ext>
          </c:extLst>
        </c:ser>
        <c:dLbls>
          <c:showLegendKey val="0"/>
          <c:showVal val="0"/>
          <c:showCatName val="0"/>
          <c:showSerName val="0"/>
          <c:showPercent val="0"/>
          <c:showBubbleSize val="0"/>
        </c:dLbls>
        <c:marker val="1"/>
        <c:smooth val="0"/>
        <c:axId val="231708928"/>
        <c:axId val="231718912"/>
      </c:lineChart>
      <c:catAx>
        <c:axId val="231708928"/>
        <c:scaling>
          <c:orientation val="minMax"/>
        </c:scaling>
        <c:delete val="0"/>
        <c:axPos val="b"/>
        <c:numFmt formatCode="General" sourceLinked="0"/>
        <c:majorTickMark val="out"/>
        <c:minorTickMark val="none"/>
        <c:tickLblPos val="nextTo"/>
        <c:txPr>
          <a:bodyPr/>
          <a:lstStyle/>
          <a:p>
            <a:pPr>
              <a:defRPr sz="900"/>
            </a:pPr>
            <a:endParaRPr lang="es-DO"/>
          </a:p>
        </c:txPr>
        <c:crossAx val="231718912"/>
        <c:crosses val="autoZero"/>
        <c:auto val="1"/>
        <c:lblAlgn val="ctr"/>
        <c:lblOffset val="100"/>
        <c:noMultiLvlLbl val="0"/>
      </c:catAx>
      <c:valAx>
        <c:axId val="231718912"/>
        <c:scaling>
          <c:orientation val="minMax"/>
        </c:scaling>
        <c:delete val="0"/>
        <c:axPos val="l"/>
        <c:title>
          <c:tx>
            <c:rich>
              <a:bodyPr rot="-5400000" vert="horz"/>
              <a:lstStyle/>
              <a:p>
                <a:pPr>
                  <a:defRPr/>
                </a:pPr>
                <a:r>
                  <a:rPr lang="es-ES_tradnl"/>
                  <a:t>Costos laborales como % del salario anual </a:t>
                </a:r>
              </a:p>
            </c:rich>
          </c:tx>
          <c:layout>
            <c:manualLayout>
              <c:xMode val="edge"/>
              <c:yMode val="edge"/>
              <c:x val="5.5729710902124698E-3"/>
              <c:y val="0.12827449700987775"/>
            </c:manualLayout>
          </c:layout>
          <c:overlay val="0"/>
        </c:title>
        <c:numFmt formatCode="0%" sourceLinked="1"/>
        <c:majorTickMark val="out"/>
        <c:minorTickMark val="none"/>
        <c:tickLblPos val="nextTo"/>
        <c:crossAx val="231708928"/>
        <c:crosses val="autoZero"/>
        <c:crossBetween val="between"/>
      </c:valAx>
    </c:plotArea>
    <c:legend>
      <c:legendPos val="b"/>
      <c:legendEntry>
        <c:idx val="6"/>
        <c:delete val="1"/>
      </c:legendEntry>
      <c:layout>
        <c:manualLayout>
          <c:xMode val="edge"/>
          <c:yMode val="edge"/>
          <c:x val="0"/>
          <c:y val="0.91061432714724189"/>
          <c:w val="1"/>
          <c:h val="8.3200552291456106E-2"/>
        </c:manualLayout>
      </c:layout>
      <c:overlay val="0"/>
      <c:txPr>
        <a:bodyPr/>
        <a:lstStyle/>
        <a:p>
          <a:pPr>
            <a:defRPr sz="900"/>
          </a:pPr>
          <a:endParaRPr lang="es-DO"/>
        </a:p>
      </c:txPr>
    </c:legend>
    <c:plotVisOnly val="1"/>
    <c:dispBlanksAs val="gap"/>
    <c:showDLblsOverMax val="0"/>
  </c:chart>
  <c:spPr>
    <a:ln>
      <a:noFill/>
    </a:ln>
  </c:spPr>
  <c:printSettings>
    <c:headerFooter/>
    <c:pageMargins b="0.75" l="0.7" r="0.7" t="0.75" header="0.3" footer="0.3"/>
    <c:pageSetup/>
  </c:printSettings>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551409426274897"/>
          <c:y val="4.5643153526970952E-2"/>
          <c:w val="0.8725229640204063"/>
          <c:h val="0.74465057013101577"/>
        </c:manualLayout>
      </c:layout>
      <c:barChart>
        <c:barDir val="col"/>
        <c:grouping val="stacked"/>
        <c:varyColors val="0"/>
        <c:ser>
          <c:idx val="0"/>
          <c:order val="0"/>
          <c:tx>
            <c:strRef>
              <c:f>Figure2!$N$30</c:f>
              <c:strCache>
                <c:ptCount val="1"/>
                <c:pt idx="0">
                  <c:v>Mandatory contributions</c:v>
                </c:pt>
              </c:strCache>
            </c:strRef>
          </c:tx>
          <c:spPr>
            <a:solidFill>
              <a:schemeClr val="accent1">
                <a:lumMod val="50000"/>
              </a:schemeClr>
            </a:solidFill>
          </c:spPr>
          <c:invertIfNegative val="0"/>
          <c:cat>
            <c:multiLvlStrRef>
              <c:f>Figure2!$L$32:$M$71</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Figure2!$N$32:$N$71</c:f>
              <c:numCache>
                <c:formatCode>0.00%</c:formatCode>
                <c:ptCount val="40"/>
                <c:pt idx="0">
                  <c:v>0.44456438356164374</c:v>
                </c:pt>
                <c:pt idx="1">
                  <c:v>0</c:v>
                </c:pt>
                <c:pt idx="2">
                  <c:v>0.46750684931506853</c:v>
                </c:pt>
                <c:pt idx="3">
                  <c:v>0</c:v>
                </c:pt>
                <c:pt idx="4">
                  <c:v>0.33066049950706544</c:v>
                </c:pt>
                <c:pt idx="5">
                  <c:v>0</c:v>
                </c:pt>
                <c:pt idx="6" formatCode="0.0%">
                  <c:v>0.40479900088802745</c:v>
                </c:pt>
                <c:pt idx="7" formatCode="0.0%">
                  <c:v>0</c:v>
                </c:pt>
                <c:pt idx="8">
                  <c:v>0.33751666473800002</c:v>
                </c:pt>
                <c:pt idx="9">
                  <c:v>0</c:v>
                </c:pt>
                <c:pt idx="10">
                  <c:v>0.2742</c:v>
                </c:pt>
                <c:pt idx="11">
                  <c:v>0</c:v>
                </c:pt>
                <c:pt idx="12">
                  <c:v>0.38574657534246581</c:v>
                </c:pt>
                <c:pt idx="13">
                  <c:v>0</c:v>
                </c:pt>
                <c:pt idx="14">
                  <c:v>0.3467386301369863</c:v>
                </c:pt>
                <c:pt idx="15">
                  <c:v>0</c:v>
                </c:pt>
                <c:pt idx="16">
                  <c:v>0.28976913900755835</c:v>
                </c:pt>
                <c:pt idx="17">
                  <c:v>0</c:v>
                </c:pt>
                <c:pt idx="18" formatCode="0.0%">
                  <c:v>0.28217008007986755</c:v>
                </c:pt>
                <c:pt idx="19" formatCode="0.0%">
                  <c:v>0</c:v>
                </c:pt>
                <c:pt idx="20">
                  <c:v>0.14700000000000002</c:v>
                </c:pt>
                <c:pt idx="21">
                  <c:v>0</c:v>
                </c:pt>
                <c:pt idx="22">
                  <c:v>0.17500000000000002</c:v>
                </c:pt>
                <c:pt idx="23">
                  <c:v>0</c:v>
                </c:pt>
                <c:pt idx="24">
                  <c:v>0.28136049950706538</c:v>
                </c:pt>
                <c:pt idx="25">
                  <c:v>0</c:v>
                </c:pt>
                <c:pt idx="26">
                  <c:v>0.24467541899441342</c:v>
                </c:pt>
                <c:pt idx="27">
                  <c:v>0</c:v>
                </c:pt>
                <c:pt idx="28">
                  <c:v>0.22755808969748248</c:v>
                </c:pt>
                <c:pt idx="29">
                  <c:v>0</c:v>
                </c:pt>
                <c:pt idx="30">
                  <c:v>0.24500000000000002</c:v>
                </c:pt>
                <c:pt idx="31">
                  <c:v>0</c:v>
                </c:pt>
                <c:pt idx="32">
                  <c:v>0.21752500000000002</c:v>
                </c:pt>
                <c:pt idx="33">
                  <c:v>0</c:v>
                </c:pt>
                <c:pt idx="34">
                  <c:v>0.2369</c:v>
                </c:pt>
                <c:pt idx="35">
                  <c:v>0</c:v>
                </c:pt>
                <c:pt idx="36">
                  <c:v>0.18618750000000001</c:v>
                </c:pt>
                <c:pt idx="37">
                  <c:v>0</c:v>
                </c:pt>
                <c:pt idx="38">
                  <c:v>0.11852327082170667</c:v>
                </c:pt>
                <c:pt idx="39">
                  <c:v>0</c:v>
                </c:pt>
              </c:numCache>
            </c:numRef>
          </c:val>
          <c:extLst>
            <c:ext xmlns:c16="http://schemas.microsoft.com/office/drawing/2014/chart" uri="{C3380CC4-5D6E-409C-BE32-E72D297353CC}">
              <c16:uniqueId val="{00000001-B000-42BB-B486-CD9B6670A115}"/>
            </c:ext>
          </c:extLst>
        </c:ser>
        <c:ser>
          <c:idx val="1"/>
          <c:order val="1"/>
          <c:tx>
            <c:strRef>
              <c:f>Figure2!$O$31</c:f>
              <c:strCache>
                <c:ptCount val="1"/>
                <c:pt idx="0">
                  <c:v>Bonus</c:v>
                </c:pt>
              </c:strCache>
            </c:strRef>
          </c:tx>
          <c:spPr>
            <a:solidFill>
              <a:schemeClr val="accent2">
                <a:lumMod val="60000"/>
                <a:lumOff val="40000"/>
              </a:schemeClr>
            </a:solidFill>
          </c:spPr>
          <c:invertIfNegative val="0"/>
          <c:cat>
            <c:multiLvlStrRef>
              <c:f>Figure2!$L$32:$M$71</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Figure2!$O$32:$O$71</c:f>
              <c:numCache>
                <c:formatCode>0.00%</c:formatCode>
                <c:ptCount val="40"/>
                <c:pt idx="0">
                  <c:v>8.2191780821917804E-2</c:v>
                </c:pt>
                <c:pt idx="1">
                  <c:v>0</c:v>
                </c:pt>
                <c:pt idx="2">
                  <c:v>8.2191780821917804E-2</c:v>
                </c:pt>
                <c:pt idx="3">
                  <c:v>0</c:v>
                </c:pt>
                <c:pt idx="4">
                  <c:v>0.16431153466973383</c:v>
                </c:pt>
                <c:pt idx="5">
                  <c:v>0</c:v>
                </c:pt>
                <c:pt idx="6" formatCode="0.0%">
                  <c:v>8.2155767334866917E-2</c:v>
                </c:pt>
                <c:pt idx="7" formatCode="0.0%">
                  <c:v>0</c:v>
                </c:pt>
                <c:pt idx="8">
                  <c:v>0.16666665999999999</c:v>
                </c:pt>
                <c:pt idx="9">
                  <c:v>0</c:v>
                </c:pt>
                <c:pt idx="10">
                  <c:v>0.16438356164383561</c:v>
                </c:pt>
                <c:pt idx="11">
                  <c:v>0</c:v>
                </c:pt>
                <c:pt idx="12">
                  <c:v>8.2191780821917804E-2</c:v>
                </c:pt>
                <c:pt idx="13">
                  <c:v>0</c:v>
                </c:pt>
                <c:pt idx="14">
                  <c:v>8.2191780821917804E-2</c:v>
                </c:pt>
                <c:pt idx="15">
                  <c:v>0</c:v>
                </c:pt>
                <c:pt idx="16">
                  <c:v>8.2155767334866917E-2</c:v>
                </c:pt>
                <c:pt idx="17">
                  <c:v>0</c:v>
                </c:pt>
                <c:pt idx="18" formatCode="0.0%">
                  <c:v>8.7228288353769015E-2</c:v>
                </c:pt>
                <c:pt idx="19" formatCode="0.0%">
                  <c:v>0</c:v>
                </c:pt>
                <c:pt idx="20">
                  <c:v>0.16431153466973381</c:v>
                </c:pt>
                <c:pt idx="21">
                  <c:v>0</c:v>
                </c:pt>
                <c:pt idx="22">
                  <c:v>0.16438356164383561</c:v>
                </c:pt>
                <c:pt idx="23">
                  <c:v>0</c:v>
                </c:pt>
                <c:pt idx="24">
                  <c:v>8.2155767334866917E-2</c:v>
                </c:pt>
                <c:pt idx="25">
                  <c:v>0</c:v>
                </c:pt>
                <c:pt idx="26">
                  <c:v>8.2155767334866917E-2</c:v>
                </c:pt>
                <c:pt idx="27">
                  <c:v>0</c:v>
                </c:pt>
                <c:pt idx="28">
                  <c:v>4.1666666666666664E-2</c:v>
                </c:pt>
                <c:pt idx="29">
                  <c:v>0</c:v>
                </c:pt>
                <c:pt idx="30">
                  <c:v>5.2031985978749036E-2</c:v>
                </c:pt>
                <c:pt idx="31">
                  <c:v>0</c:v>
                </c:pt>
                <c:pt idx="32">
                  <c:v>8.2191780821917804E-2</c:v>
                </c:pt>
                <c:pt idx="33">
                  <c:v>0</c:v>
                </c:pt>
                <c:pt idx="34">
                  <c:v>0</c:v>
                </c:pt>
                <c:pt idx="35">
                  <c:v>0</c:v>
                </c:pt>
                <c:pt idx="36">
                  <c:v>0</c:v>
                </c:pt>
                <c:pt idx="37">
                  <c:v>0</c:v>
                </c:pt>
                <c:pt idx="38">
                  <c:v>0</c:v>
                </c:pt>
                <c:pt idx="39">
                  <c:v>0</c:v>
                </c:pt>
              </c:numCache>
            </c:numRef>
          </c:val>
          <c:extLst>
            <c:ext xmlns:c16="http://schemas.microsoft.com/office/drawing/2014/chart" uri="{C3380CC4-5D6E-409C-BE32-E72D297353CC}">
              <c16:uniqueId val="{00000003-B000-42BB-B486-CD9B6670A115}"/>
            </c:ext>
          </c:extLst>
        </c:ser>
        <c:ser>
          <c:idx val="2"/>
          <c:order val="2"/>
          <c:tx>
            <c:strRef>
              <c:f>Figure2!$P$31</c:f>
              <c:strCache>
                <c:ptCount val="1"/>
                <c:pt idx="0">
                  <c:v>Annual leave</c:v>
                </c:pt>
              </c:strCache>
            </c:strRef>
          </c:tx>
          <c:spPr>
            <a:solidFill>
              <a:srgbClr val="E46C0A"/>
            </a:solidFill>
          </c:spPr>
          <c:invertIfNegative val="0"/>
          <c:cat>
            <c:multiLvlStrRef>
              <c:f>Figure2!$L$32:$M$71</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Figure2!$P$32:$P$71</c:f>
              <c:numCache>
                <c:formatCode>0.00%</c:formatCode>
                <c:ptCount val="40"/>
                <c:pt idx="0">
                  <c:v>3.8339358089604557E-2</c:v>
                </c:pt>
                <c:pt idx="1">
                  <c:v>0</c:v>
                </c:pt>
                <c:pt idx="2">
                  <c:v>0.1095890410958904</c:v>
                </c:pt>
                <c:pt idx="3">
                  <c:v>0</c:v>
                </c:pt>
                <c:pt idx="4">
                  <c:v>8.2155767334866917E-2</c:v>
                </c:pt>
                <c:pt idx="5">
                  <c:v>0</c:v>
                </c:pt>
                <c:pt idx="6" formatCode="0.0%">
                  <c:v>5.7509037134406839E-2</c:v>
                </c:pt>
                <c:pt idx="7" formatCode="0.0%">
                  <c:v>0</c:v>
                </c:pt>
                <c:pt idx="8">
                  <c:v>4.1666666666666664E-2</c:v>
                </c:pt>
                <c:pt idx="9">
                  <c:v>0</c:v>
                </c:pt>
                <c:pt idx="10">
                  <c:v>5.4794520547945202E-2</c:v>
                </c:pt>
                <c:pt idx="11">
                  <c:v>0</c:v>
                </c:pt>
                <c:pt idx="12">
                  <c:v>3.8356164383561646E-2</c:v>
                </c:pt>
                <c:pt idx="13">
                  <c:v>0</c:v>
                </c:pt>
                <c:pt idx="14">
                  <c:v>4.1095890410958902E-2</c:v>
                </c:pt>
                <c:pt idx="15">
                  <c:v>0</c:v>
                </c:pt>
                <c:pt idx="16">
                  <c:v>8.2155767334866917E-2</c:v>
                </c:pt>
                <c:pt idx="17">
                  <c:v>0</c:v>
                </c:pt>
                <c:pt idx="18" formatCode="0.0%">
                  <c:v>5.1814119519338939E-2</c:v>
                </c:pt>
                <c:pt idx="19" formatCode="0.0%">
                  <c:v>0</c:v>
                </c:pt>
                <c:pt idx="20">
                  <c:v>5.4770511556577951E-2</c:v>
                </c:pt>
                <c:pt idx="21">
                  <c:v>0</c:v>
                </c:pt>
                <c:pt idx="22">
                  <c:v>4.1095890410958902E-2</c:v>
                </c:pt>
                <c:pt idx="23">
                  <c:v>0</c:v>
                </c:pt>
                <c:pt idx="24">
                  <c:v>3.2862306933946768E-2</c:v>
                </c:pt>
                <c:pt idx="25">
                  <c:v>0</c:v>
                </c:pt>
                <c:pt idx="26">
                  <c:v>4.9293460400920142E-2</c:v>
                </c:pt>
                <c:pt idx="27">
                  <c:v>0</c:v>
                </c:pt>
                <c:pt idx="28">
                  <c:v>3.888888888888889E-2</c:v>
                </c:pt>
                <c:pt idx="29">
                  <c:v>0</c:v>
                </c:pt>
                <c:pt idx="30">
                  <c:v>5.2031985978749036E-2</c:v>
                </c:pt>
                <c:pt idx="31">
                  <c:v>0</c:v>
                </c:pt>
                <c:pt idx="32">
                  <c:v>5.2054794520547946E-2</c:v>
                </c:pt>
                <c:pt idx="33">
                  <c:v>0</c:v>
                </c:pt>
                <c:pt idx="34">
                  <c:v>4.1095890410958902E-2</c:v>
                </c:pt>
                <c:pt idx="35">
                  <c:v>0</c:v>
                </c:pt>
                <c:pt idx="36">
                  <c:v>3.8356164383561646E-2</c:v>
                </c:pt>
                <c:pt idx="37">
                  <c:v>0</c:v>
                </c:pt>
                <c:pt idx="38">
                  <c:v>3.8356164383561646E-2</c:v>
                </c:pt>
                <c:pt idx="39">
                  <c:v>0</c:v>
                </c:pt>
              </c:numCache>
            </c:numRef>
          </c:val>
          <c:extLst>
            <c:ext xmlns:c16="http://schemas.microsoft.com/office/drawing/2014/chart" uri="{C3380CC4-5D6E-409C-BE32-E72D297353CC}">
              <c16:uniqueId val="{00000005-B000-42BB-B486-CD9B6670A115}"/>
            </c:ext>
          </c:extLst>
        </c:ser>
        <c:ser>
          <c:idx val="3"/>
          <c:order val="3"/>
          <c:tx>
            <c:strRef>
              <c:f>Figure2!$Q$31</c:f>
              <c:strCache>
                <c:ptCount val="1"/>
                <c:pt idx="0">
                  <c:v>Severance payment (flow)</c:v>
                </c:pt>
              </c:strCache>
            </c:strRef>
          </c:tx>
          <c:spPr>
            <a:solidFill>
              <a:srgbClr val="95B3D7"/>
            </a:solidFill>
          </c:spPr>
          <c:invertIfNegative val="0"/>
          <c:cat>
            <c:multiLvlStrRef>
              <c:f>Figure2!$L$32:$M$71</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Figure2!$Q$32:$Q$71</c:f>
              <c:numCache>
                <c:formatCode>0.00%</c:formatCode>
                <c:ptCount val="40"/>
                <c:pt idx="0">
                  <c:v>8.2155767334866903E-2</c:v>
                </c:pt>
                <c:pt idx="1">
                  <c:v>0</c:v>
                </c:pt>
                <c:pt idx="2">
                  <c:v>3.1561643835616437E-2</c:v>
                </c:pt>
                <c:pt idx="3">
                  <c:v>0</c:v>
                </c:pt>
                <c:pt idx="4">
                  <c:v>0.12323365100230035</c:v>
                </c:pt>
                <c:pt idx="5">
                  <c:v>0</c:v>
                </c:pt>
                <c:pt idx="6" formatCode="0.0%">
                  <c:v>9.8039215686274522E-2</c:v>
                </c:pt>
                <c:pt idx="7" formatCode="0.0%">
                  <c:v>0</c:v>
                </c:pt>
                <c:pt idx="8">
                  <c:v>8.3333333333333343E-2</c:v>
                </c:pt>
                <c:pt idx="9">
                  <c:v>0</c:v>
                </c:pt>
                <c:pt idx="10">
                  <c:v>8.2191780821917804E-2</c:v>
                </c:pt>
                <c:pt idx="11">
                  <c:v>0</c:v>
                </c:pt>
                <c:pt idx="12">
                  <c:v>5.8082191780821926E-2</c:v>
                </c:pt>
                <c:pt idx="13">
                  <c:v>0</c:v>
                </c:pt>
                <c:pt idx="14">
                  <c:v>6.0273972602739735E-2</c:v>
                </c:pt>
                <c:pt idx="15">
                  <c:v>0</c:v>
                </c:pt>
                <c:pt idx="16">
                  <c:v>6.5176908752327747E-2</c:v>
                </c:pt>
                <c:pt idx="17">
                  <c:v>0</c:v>
                </c:pt>
                <c:pt idx="18" formatCode="0.0%">
                  <c:v>7.2996574532952066E-2</c:v>
                </c:pt>
                <c:pt idx="19" formatCode="0.0%">
                  <c:v>0</c:v>
                </c:pt>
                <c:pt idx="20">
                  <c:v>8.2155767334866917E-2</c:v>
                </c:pt>
                <c:pt idx="21">
                  <c:v>0</c:v>
                </c:pt>
                <c:pt idx="22">
                  <c:v>8.2191780821917818E-2</c:v>
                </c:pt>
                <c:pt idx="23">
                  <c:v>0</c:v>
                </c:pt>
                <c:pt idx="24">
                  <c:v>4.1077883667433458E-2</c:v>
                </c:pt>
                <c:pt idx="25">
                  <c:v>0</c:v>
                </c:pt>
                <c:pt idx="26">
                  <c:v>6.2986088290064635E-2</c:v>
                </c:pt>
                <c:pt idx="27">
                  <c:v>0</c:v>
                </c:pt>
                <c:pt idx="28">
                  <c:v>0.10406397195749809</c:v>
                </c:pt>
                <c:pt idx="29">
                  <c:v>0</c:v>
                </c:pt>
                <c:pt idx="30">
                  <c:v>8.2191780821917818E-2</c:v>
                </c:pt>
                <c:pt idx="31">
                  <c:v>0</c:v>
                </c:pt>
                <c:pt idx="32">
                  <c:v>8.2191780821917804E-2</c:v>
                </c:pt>
                <c:pt idx="33">
                  <c:v>0</c:v>
                </c:pt>
                <c:pt idx="34">
                  <c:v>8.2191780821917804E-2</c:v>
                </c:pt>
                <c:pt idx="35">
                  <c:v>0</c:v>
                </c:pt>
                <c:pt idx="36">
                  <c:v>3.8356164383561646E-2</c:v>
                </c:pt>
                <c:pt idx="37">
                  <c:v>0</c:v>
                </c:pt>
                <c:pt idx="38">
                  <c:v>4.5479452054794527E-2</c:v>
                </c:pt>
                <c:pt idx="39">
                  <c:v>0</c:v>
                </c:pt>
              </c:numCache>
            </c:numRef>
          </c:val>
          <c:extLst>
            <c:ext xmlns:c16="http://schemas.microsoft.com/office/drawing/2014/chart" uri="{C3380CC4-5D6E-409C-BE32-E72D297353CC}">
              <c16:uniqueId val="{00000007-B000-42BB-B486-CD9B6670A115}"/>
            </c:ext>
          </c:extLst>
        </c:ser>
        <c:ser>
          <c:idx val="4"/>
          <c:order val="4"/>
          <c:tx>
            <c:strRef>
              <c:f>Figure2!$R$31</c:f>
              <c:strCache>
                <c:ptCount val="1"/>
                <c:pt idx="0">
                  <c:v>Firing notice (flow)</c:v>
                </c:pt>
              </c:strCache>
            </c:strRef>
          </c:tx>
          <c:spPr>
            <a:solidFill>
              <a:schemeClr val="tx2">
                <a:lumMod val="50000"/>
                <a:lumOff val="50000"/>
              </a:schemeClr>
            </a:solidFill>
          </c:spPr>
          <c:invertIfNegative val="0"/>
          <c:cat>
            <c:multiLvlStrRef>
              <c:f>Figure2!$L$32:$M$71</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Figure2!$R$32:$R$71</c:f>
              <c:numCache>
                <c:formatCode>0.00%</c:formatCode>
                <c:ptCount val="40"/>
                <c:pt idx="0">
                  <c:v>3.2862306933946768E-2</c:v>
                </c:pt>
                <c:pt idx="1">
                  <c:v>0</c:v>
                </c:pt>
                <c:pt idx="2">
                  <c:v>2.3013698630136987E-2</c:v>
                </c:pt>
                <c:pt idx="3">
                  <c:v>0</c:v>
                </c:pt>
                <c:pt idx="4">
                  <c:v>0</c:v>
                </c:pt>
                <c:pt idx="5">
                  <c:v>0</c:v>
                </c:pt>
                <c:pt idx="6" formatCode="0.0%">
                  <c:v>0</c:v>
                </c:pt>
                <c:pt idx="7" formatCode="0.0%">
                  <c:v>0</c:v>
                </c:pt>
                <c:pt idx="8">
                  <c:v>0</c:v>
                </c:pt>
                <c:pt idx="9">
                  <c:v>0</c:v>
                </c:pt>
                <c:pt idx="10">
                  <c:v>4.9315068493150691E-2</c:v>
                </c:pt>
                <c:pt idx="11">
                  <c:v>0</c:v>
                </c:pt>
                <c:pt idx="12">
                  <c:v>1.643835616438356E-2</c:v>
                </c:pt>
                <c:pt idx="13">
                  <c:v>0</c:v>
                </c:pt>
                <c:pt idx="14">
                  <c:v>4.10958904109589E-3</c:v>
                </c:pt>
                <c:pt idx="15">
                  <c:v>0</c:v>
                </c:pt>
                <c:pt idx="16">
                  <c:v>0</c:v>
                </c:pt>
                <c:pt idx="17">
                  <c:v>0</c:v>
                </c:pt>
                <c:pt idx="18" formatCode="0.0%">
                  <c:v>1.212445376583004E-2</c:v>
                </c:pt>
                <c:pt idx="19" formatCode="0.0%">
                  <c:v>0</c:v>
                </c:pt>
                <c:pt idx="20">
                  <c:v>3.2862306933946761E-2</c:v>
                </c:pt>
                <c:pt idx="21">
                  <c:v>0</c:v>
                </c:pt>
                <c:pt idx="22">
                  <c:v>0</c:v>
                </c:pt>
                <c:pt idx="23">
                  <c:v>0</c:v>
                </c:pt>
                <c:pt idx="24">
                  <c:v>2.4646730200460074E-2</c:v>
                </c:pt>
                <c:pt idx="25">
                  <c:v>0</c:v>
                </c:pt>
                <c:pt idx="26">
                  <c:v>1.5335743235841826E-2</c:v>
                </c:pt>
                <c:pt idx="27">
                  <c:v>0</c:v>
                </c:pt>
                <c:pt idx="28">
                  <c:v>0</c:v>
                </c:pt>
                <c:pt idx="29">
                  <c:v>0</c:v>
                </c:pt>
                <c:pt idx="30">
                  <c:v>0</c:v>
                </c:pt>
                <c:pt idx="31">
                  <c:v>0</c:v>
                </c:pt>
                <c:pt idx="32">
                  <c:v>0</c:v>
                </c:pt>
                <c:pt idx="33">
                  <c:v>0</c:v>
                </c:pt>
                <c:pt idx="34">
                  <c:v>1.643835616438356E-2</c:v>
                </c:pt>
                <c:pt idx="35">
                  <c:v>0</c:v>
                </c:pt>
                <c:pt idx="36">
                  <c:v>1.5342465753424659E-2</c:v>
                </c:pt>
                <c:pt idx="37">
                  <c:v>0</c:v>
                </c:pt>
                <c:pt idx="38">
                  <c:v>0</c:v>
                </c:pt>
                <c:pt idx="39">
                  <c:v>0</c:v>
                </c:pt>
              </c:numCache>
            </c:numRef>
          </c:val>
          <c:extLst>
            <c:ext xmlns:c16="http://schemas.microsoft.com/office/drawing/2014/chart" uri="{C3380CC4-5D6E-409C-BE32-E72D297353CC}">
              <c16:uniqueId val="{00000009-B000-42BB-B486-CD9B6670A115}"/>
            </c:ext>
          </c:extLst>
        </c:ser>
        <c:dLbls>
          <c:showLegendKey val="0"/>
          <c:showVal val="0"/>
          <c:showCatName val="0"/>
          <c:showSerName val="0"/>
          <c:showPercent val="0"/>
          <c:showBubbleSize val="0"/>
        </c:dLbls>
        <c:gapWidth val="150"/>
        <c:overlap val="100"/>
        <c:axId val="232903424"/>
        <c:axId val="232904960"/>
      </c:barChart>
      <c:barChart>
        <c:barDir val="col"/>
        <c:grouping val="clustered"/>
        <c:varyColors val="0"/>
        <c:ser>
          <c:idx val="5"/>
          <c:order val="5"/>
          <c:tx>
            <c:strRef>
              <c:f>Figure2!$S$31</c:f>
              <c:strCache>
                <c:ptCount val="1"/>
                <c:pt idx="0">
                  <c:v>Total cost</c:v>
                </c:pt>
              </c:strCache>
            </c:strRef>
          </c:tx>
          <c:spPr>
            <a:noFill/>
          </c:spPr>
          <c:invertIfNegative val="0"/>
          <c:dLbls>
            <c:dLbl>
              <c:idx val="18"/>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9B3D-4D2E-B07D-2D42B191E22B}"/>
                </c:ext>
              </c:extLst>
            </c:dLbl>
            <c:dLbl>
              <c:idx val="19"/>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9B3D-4D2E-B07D-2D42B191E22B}"/>
                </c:ext>
              </c:extLst>
            </c:dLbl>
            <c:spPr>
              <a:noFill/>
              <a:ln>
                <a:noFill/>
              </a:ln>
              <a:effectLst/>
            </c:spPr>
            <c:txPr>
              <a:bodyPr rot="-5400000" vert="horz" wrap="square" lIns="38100" tIns="19050" rIns="38100" bIns="19050" anchor="ctr">
                <a:spAutoFit/>
              </a:bodyPr>
              <a:lstStyle/>
              <a:p>
                <a:pPr>
                  <a:defRPr/>
                </a:pPr>
                <a:endParaRPr lang="en-US"/>
              </a:p>
            </c:txPr>
            <c:showLegendKey val="0"/>
            <c:showVal val="0"/>
            <c:showCatName val="0"/>
            <c:showSerName val="0"/>
            <c:showPercent val="0"/>
            <c:showBubbleSize val="0"/>
            <c:extLst>
              <c:ext xmlns:c15="http://schemas.microsoft.com/office/drawing/2012/chart" uri="{CE6537A1-D6FC-4f65-9D91-7224C49458BB}">
                <c15:showLeaderLines val="1"/>
              </c:ext>
            </c:extLst>
          </c:dLbls>
          <c:cat>
            <c:multiLvlStrRef>
              <c:f>Figure2!$L$32:$M$71</c:f>
              <c:multiLvlStrCache>
                <c:ptCount val="40"/>
                <c:lvl>
                  <c:pt idx="0">
                    <c:v>2013</c:v>
                  </c:pt>
                  <c:pt idx="1">
                    <c:v>2023</c:v>
                  </c:pt>
                  <c:pt idx="2">
                    <c:v>2013</c:v>
                  </c:pt>
                  <c:pt idx="3">
                    <c:v>2023</c:v>
                  </c:pt>
                  <c:pt idx="4">
                    <c:v>2013</c:v>
                  </c:pt>
                  <c:pt idx="5">
                    <c:v>2023</c:v>
                  </c:pt>
                  <c:pt idx="6">
                    <c:v>2013</c:v>
                  </c:pt>
                  <c:pt idx="7">
                    <c:v>2023</c:v>
                  </c:pt>
                  <c:pt idx="8">
                    <c:v>2013</c:v>
                  </c:pt>
                  <c:pt idx="9">
                    <c:v>2023</c:v>
                  </c:pt>
                  <c:pt idx="10">
                    <c:v>2013</c:v>
                  </c:pt>
                  <c:pt idx="11">
                    <c:v>2023</c:v>
                  </c:pt>
                  <c:pt idx="12">
                    <c:v>2013</c:v>
                  </c:pt>
                  <c:pt idx="13">
                    <c:v>2023</c:v>
                  </c:pt>
                  <c:pt idx="14">
                    <c:v>2013</c:v>
                  </c:pt>
                  <c:pt idx="15">
                    <c:v>2023</c:v>
                  </c:pt>
                  <c:pt idx="16">
                    <c:v>2013</c:v>
                  </c:pt>
                  <c:pt idx="17">
                    <c:v>2023</c:v>
                  </c:pt>
                  <c:pt idx="18">
                    <c:v>2013</c:v>
                  </c:pt>
                  <c:pt idx="19">
                    <c:v>2023</c:v>
                  </c:pt>
                  <c:pt idx="20">
                    <c:v>2013</c:v>
                  </c:pt>
                  <c:pt idx="21">
                    <c:v>2023</c:v>
                  </c:pt>
                  <c:pt idx="22">
                    <c:v>2013</c:v>
                  </c:pt>
                  <c:pt idx="23">
                    <c:v>2023</c:v>
                  </c:pt>
                  <c:pt idx="24">
                    <c:v>2013</c:v>
                  </c:pt>
                  <c:pt idx="25">
                    <c:v>2023</c:v>
                  </c:pt>
                  <c:pt idx="26">
                    <c:v>2013</c:v>
                  </c:pt>
                  <c:pt idx="27">
                    <c:v>2023</c:v>
                  </c:pt>
                  <c:pt idx="28">
                    <c:v>2013</c:v>
                  </c:pt>
                  <c:pt idx="29">
                    <c:v>2023</c:v>
                  </c:pt>
                  <c:pt idx="30">
                    <c:v>2013</c:v>
                  </c:pt>
                  <c:pt idx="31">
                    <c:v>2023</c:v>
                  </c:pt>
                  <c:pt idx="32">
                    <c:v>2013</c:v>
                  </c:pt>
                  <c:pt idx="33">
                    <c:v>2023</c:v>
                  </c:pt>
                  <c:pt idx="34">
                    <c:v>2013</c:v>
                  </c:pt>
                  <c:pt idx="35">
                    <c:v>2023</c:v>
                  </c:pt>
                  <c:pt idx="36">
                    <c:v>2013</c:v>
                  </c:pt>
                  <c:pt idx="37">
                    <c:v>2023</c:v>
                  </c:pt>
                  <c:pt idx="38">
                    <c:v>2013</c:v>
                  </c:pt>
                  <c:pt idx="39">
                    <c:v>2023</c:v>
                  </c:pt>
                </c:lvl>
                <c:lvl>
                  <c:pt idx="0">
                    <c:v>ARG</c:v>
                  </c:pt>
                  <c:pt idx="2">
                    <c:v>BRA</c:v>
                  </c:pt>
                  <c:pt idx="4">
                    <c:v>PER</c:v>
                  </c:pt>
                  <c:pt idx="6">
                    <c:v>URY</c:v>
                  </c:pt>
                  <c:pt idx="8">
                    <c:v>ECU</c:v>
                  </c:pt>
                  <c:pt idx="10">
                    <c:v>BOL</c:v>
                  </c:pt>
                  <c:pt idx="12">
                    <c:v>CRI</c:v>
                  </c:pt>
                  <c:pt idx="14">
                    <c:v>COL</c:v>
                  </c:pt>
                  <c:pt idx="16">
                    <c:v>PAN</c:v>
                  </c:pt>
                  <c:pt idx="18">
                    <c:v>LAC</c:v>
                  </c:pt>
                  <c:pt idx="20">
                    <c:v>HND</c:v>
                  </c:pt>
                  <c:pt idx="22">
                    <c:v>GTM</c:v>
                  </c:pt>
                  <c:pt idx="24">
                    <c:v>PRY</c:v>
                  </c:pt>
                  <c:pt idx="26">
                    <c:v>DOM</c:v>
                  </c:pt>
                  <c:pt idx="28">
                    <c:v>MEX</c:v>
                  </c:pt>
                  <c:pt idx="30">
                    <c:v>SLV</c:v>
                  </c:pt>
                  <c:pt idx="32">
                    <c:v>VEN</c:v>
                  </c:pt>
                  <c:pt idx="34">
                    <c:v>CHL</c:v>
                  </c:pt>
                  <c:pt idx="36">
                    <c:v>JAM</c:v>
                  </c:pt>
                  <c:pt idx="38">
                    <c:v>TTO</c:v>
                  </c:pt>
                </c:lvl>
              </c:multiLvlStrCache>
            </c:multiLvlStrRef>
          </c:cat>
          <c:val>
            <c:numRef>
              <c:f>Figure2!$S$32:$S$71</c:f>
              <c:numCache>
                <c:formatCode>0.00%</c:formatCode>
                <c:ptCount val="40"/>
                <c:pt idx="0">
                  <c:v>0.68011359674197969</c:v>
                </c:pt>
                <c:pt idx="1">
                  <c:v>0</c:v>
                </c:pt>
                <c:pt idx="2">
                  <c:v>0.71386301369863026</c:v>
                </c:pt>
                <c:pt idx="3">
                  <c:v>0</c:v>
                </c:pt>
                <c:pt idx="4">
                  <c:v>0.70036145251396653</c:v>
                </c:pt>
                <c:pt idx="5">
                  <c:v>0</c:v>
                </c:pt>
                <c:pt idx="6" formatCode="0.0%">
                  <c:v>0.64250302104357571</c:v>
                </c:pt>
                <c:pt idx="7">
                  <c:v>0</c:v>
                </c:pt>
                <c:pt idx="8">
                  <c:v>0.62918332473799998</c:v>
                </c:pt>
                <c:pt idx="9">
                  <c:v>0</c:v>
                </c:pt>
                <c:pt idx="10">
                  <c:v>0.62488493150684932</c:v>
                </c:pt>
                <c:pt idx="11">
                  <c:v>0</c:v>
                </c:pt>
                <c:pt idx="12">
                  <c:v>0.58081506849315079</c:v>
                </c:pt>
                <c:pt idx="13">
                  <c:v>0</c:v>
                </c:pt>
                <c:pt idx="14">
                  <c:v>0.53440986301369864</c:v>
                </c:pt>
                <c:pt idx="15">
                  <c:v>0</c:v>
                </c:pt>
                <c:pt idx="16">
                  <c:v>0.51925758242961995</c:v>
                </c:pt>
                <c:pt idx="17">
                  <c:v>0</c:v>
                </c:pt>
                <c:pt idx="18" formatCode="0.0%">
                  <c:v>0.5063335162517576</c:v>
                </c:pt>
                <c:pt idx="19" formatCode="0.0%">
                  <c:v>0</c:v>
                </c:pt>
                <c:pt idx="20">
                  <c:v>0.48110012049512546</c:v>
                </c:pt>
                <c:pt idx="21">
                  <c:v>0</c:v>
                </c:pt>
                <c:pt idx="22">
                  <c:v>0.46267123287671236</c:v>
                </c:pt>
                <c:pt idx="23">
                  <c:v>0</c:v>
                </c:pt>
                <c:pt idx="24">
                  <c:v>0.46210318764377262</c:v>
                </c:pt>
                <c:pt idx="25">
                  <c:v>0</c:v>
                </c:pt>
                <c:pt idx="26">
                  <c:v>0.4544464782561069</c:v>
                </c:pt>
                <c:pt idx="27">
                  <c:v>0</c:v>
                </c:pt>
                <c:pt idx="28">
                  <c:v>0.41217761721053614</c:v>
                </c:pt>
                <c:pt idx="29">
                  <c:v>0</c:v>
                </c:pt>
                <c:pt idx="30">
                  <c:v>0.43125575277941591</c:v>
                </c:pt>
                <c:pt idx="31">
                  <c:v>0</c:v>
                </c:pt>
                <c:pt idx="32">
                  <c:v>0.43396335616438358</c:v>
                </c:pt>
                <c:pt idx="33">
                  <c:v>0</c:v>
                </c:pt>
                <c:pt idx="34">
                  <c:v>0.37662602739726025</c:v>
                </c:pt>
                <c:pt idx="35">
                  <c:v>0</c:v>
                </c:pt>
                <c:pt idx="36">
                  <c:v>0.27824229452054799</c:v>
                </c:pt>
                <c:pt idx="37">
                  <c:v>0</c:v>
                </c:pt>
                <c:pt idx="38">
                  <c:v>0.20235888726006285</c:v>
                </c:pt>
                <c:pt idx="39">
                  <c:v>0</c:v>
                </c:pt>
              </c:numCache>
            </c:numRef>
          </c:val>
          <c:extLst>
            <c:ext xmlns:c16="http://schemas.microsoft.com/office/drawing/2014/chart" uri="{C3380CC4-5D6E-409C-BE32-E72D297353CC}">
              <c16:uniqueId val="{00000015-839B-4744-AABF-64EEB3D7E987}"/>
            </c:ext>
          </c:extLst>
        </c:ser>
        <c:dLbls>
          <c:showLegendKey val="0"/>
          <c:showVal val="0"/>
          <c:showCatName val="0"/>
          <c:showSerName val="0"/>
          <c:showPercent val="0"/>
          <c:showBubbleSize val="0"/>
        </c:dLbls>
        <c:gapWidth val="150"/>
        <c:axId val="334447151"/>
        <c:axId val="334441391"/>
      </c:barChart>
      <c:catAx>
        <c:axId val="232903424"/>
        <c:scaling>
          <c:orientation val="minMax"/>
        </c:scaling>
        <c:delete val="0"/>
        <c:axPos val="b"/>
        <c:numFmt formatCode="General" sourceLinked="0"/>
        <c:majorTickMark val="none"/>
        <c:minorTickMark val="none"/>
        <c:tickLblPos val="nextTo"/>
        <c:txPr>
          <a:bodyPr/>
          <a:lstStyle/>
          <a:p>
            <a:pPr>
              <a:defRPr sz="700"/>
            </a:pPr>
            <a:endParaRPr lang="es-DO"/>
          </a:p>
        </c:txPr>
        <c:crossAx val="232904960"/>
        <c:crosses val="autoZero"/>
        <c:auto val="1"/>
        <c:lblAlgn val="ctr"/>
        <c:lblOffset val="100"/>
        <c:noMultiLvlLbl val="0"/>
      </c:catAx>
      <c:valAx>
        <c:axId val="232904960"/>
        <c:scaling>
          <c:orientation val="minMax"/>
        </c:scaling>
        <c:delete val="0"/>
        <c:axPos val="l"/>
        <c:title>
          <c:tx>
            <c:rich>
              <a:bodyPr rot="-5400000" vert="horz"/>
              <a:lstStyle/>
              <a:p>
                <a:pPr>
                  <a:defRPr/>
                </a:pPr>
                <a:r>
                  <a:rPr lang="en-US"/>
                  <a:t>Cost of salaried labor as % of the average wage of formal workers</a:t>
                </a:r>
              </a:p>
            </c:rich>
          </c:tx>
          <c:layout>
            <c:manualLayout>
              <c:xMode val="edge"/>
              <c:yMode val="edge"/>
              <c:x val="1.0309278350515464E-2"/>
              <c:y val="5.7933234536159166E-2"/>
            </c:manualLayout>
          </c:layout>
          <c:overlay val="0"/>
        </c:title>
        <c:numFmt formatCode="0%" sourceLinked="0"/>
        <c:majorTickMark val="out"/>
        <c:minorTickMark val="none"/>
        <c:tickLblPos val="nextTo"/>
        <c:crossAx val="232903424"/>
        <c:crosses val="autoZero"/>
        <c:crossBetween val="between"/>
      </c:valAx>
      <c:valAx>
        <c:axId val="334441391"/>
        <c:scaling>
          <c:orientation val="minMax"/>
        </c:scaling>
        <c:delete val="0"/>
        <c:axPos val="r"/>
        <c:numFmt formatCode="0.00%" sourceLinked="1"/>
        <c:majorTickMark val="out"/>
        <c:minorTickMark val="none"/>
        <c:tickLblPos val="nextTo"/>
        <c:txPr>
          <a:bodyPr/>
          <a:lstStyle/>
          <a:p>
            <a:pPr>
              <a:defRPr sz="100">
                <a:solidFill>
                  <a:schemeClr val="bg1"/>
                </a:solidFill>
              </a:defRPr>
            </a:pPr>
            <a:endParaRPr lang="es-DO"/>
          </a:p>
        </c:txPr>
        <c:crossAx val="334447151"/>
        <c:crosses val="max"/>
        <c:crossBetween val="between"/>
      </c:valAx>
      <c:catAx>
        <c:axId val="334447151"/>
        <c:scaling>
          <c:orientation val="minMax"/>
        </c:scaling>
        <c:delete val="1"/>
        <c:axPos val="b"/>
        <c:numFmt formatCode="General" sourceLinked="1"/>
        <c:majorTickMark val="out"/>
        <c:minorTickMark val="none"/>
        <c:tickLblPos val="nextTo"/>
        <c:crossAx val="334441391"/>
        <c:crosses val="autoZero"/>
        <c:auto val="1"/>
        <c:lblAlgn val="ctr"/>
        <c:lblOffset val="100"/>
        <c:noMultiLvlLbl val="0"/>
      </c:catAx>
    </c:plotArea>
    <c:legend>
      <c:legendPos val="b"/>
      <c:legendEntry>
        <c:idx val="5"/>
        <c:delete val="1"/>
      </c:legendEntry>
      <c:layout>
        <c:manualLayout>
          <c:xMode val="edge"/>
          <c:yMode val="edge"/>
          <c:x val="5.2136752136752125E-2"/>
          <c:y val="0.92960923971640474"/>
          <c:w val="0.86037167374794421"/>
          <c:h val="5.080363332814556E-2"/>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6177047242812901E-2"/>
          <c:y val="1.2889375755344218E-2"/>
          <c:w val="0.91234710000191976"/>
          <c:h val="0.85019902786882739"/>
        </c:manualLayout>
      </c:layout>
      <c:barChart>
        <c:barDir val="col"/>
        <c:grouping val="stacked"/>
        <c:varyColors val="0"/>
        <c:ser>
          <c:idx val="0"/>
          <c:order val="0"/>
          <c:tx>
            <c:strRef>
              <c:f>'Figure 4 2023'!$U$56</c:f>
              <c:strCache>
                <c:ptCount val="1"/>
                <c:pt idx="0">
                  <c:v>Minimum wage</c:v>
                </c:pt>
              </c:strCache>
            </c:strRef>
          </c:tx>
          <c:spPr>
            <a:solidFill>
              <a:srgbClr val="93CDDD"/>
            </a:solidFill>
            <a:ln>
              <a:noFill/>
            </a:ln>
            <a:effectLst/>
          </c:spPr>
          <c:invertIfNegative val="0"/>
          <c:dLbls>
            <c:delete val="1"/>
          </c:dLbls>
          <c:cat>
            <c:strRef>
              <c:extLst>
                <c:ext xmlns:c15="http://schemas.microsoft.com/office/drawing/2012/chart" uri="{02D57815-91ED-43cb-92C2-25804820EDAC}">
                  <c15:fullRef>
                    <c15:sqref>'Figure 4 2023'!$S$58:$S$98</c15:sqref>
                  </c15:fullRef>
                </c:ext>
              </c:extLst>
              <c:f>('Figure 4 2023'!$S$58:$S$77,'Figure 4 2023'!$S$79:$S$98)</c:f>
              <c:strCache>
                <c:ptCount val="20"/>
                <c:pt idx="0">
                  <c:v>HND</c:v>
                </c:pt>
                <c:pt idx="1">
                  <c:v>BOL</c:v>
                </c:pt>
                <c:pt idx="2">
                  <c:v>NIC</c:v>
                </c:pt>
                <c:pt idx="3">
                  <c:v>ECU</c:v>
                </c:pt>
                <c:pt idx="4">
                  <c:v>GTM</c:v>
                </c:pt>
                <c:pt idx="5">
                  <c:v>PRY</c:v>
                </c:pt>
                <c:pt idx="6">
                  <c:v>SLV</c:v>
                </c:pt>
                <c:pt idx="7">
                  <c:v>JAM</c:v>
                </c:pt>
                <c:pt idx="8">
                  <c:v>LAC</c:v>
                </c:pt>
                <c:pt idx="9">
                  <c:v>CRI</c:v>
                </c:pt>
                <c:pt idx="10">
                  <c:v>PER</c:v>
                </c:pt>
                <c:pt idx="11">
                  <c:v>COL</c:v>
                </c:pt>
                <c:pt idx="12">
                  <c:v>ARG</c:v>
                </c:pt>
                <c:pt idx="13">
                  <c:v>BRA</c:v>
                </c:pt>
                <c:pt idx="14">
                  <c:v>PAN</c:v>
                </c:pt>
                <c:pt idx="15">
                  <c:v>CHL</c:v>
                </c:pt>
                <c:pt idx="16">
                  <c:v>DOM</c:v>
                </c:pt>
                <c:pt idx="17">
                  <c:v>URY</c:v>
                </c:pt>
                <c:pt idx="18">
                  <c:v>MEX</c:v>
                </c:pt>
                <c:pt idx="19">
                  <c:v>TTO</c:v>
                </c:pt>
              </c:strCache>
            </c:strRef>
          </c:cat>
          <c:val>
            <c:numRef>
              <c:extLst>
                <c:ext xmlns:c15="http://schemas.microsoft.com/office/drawing/2012/chart" uri="{02D57815-91ED-43cb-92C2-25804820EDAC}">
                  <c15:fullRef>
                    <c15:sqref>'Figure 4 2023'!$U$57:$U$98</c15:sqref>
                  </c15:fullRef>
                </c:ext>
              </c:extLst>
              <c:f>('Figure 4 2023'!$U$57:$U$76,'Figure 4 2023'!$U$78:$U$98)</c:f>
              <c:numCache>
                <c:formatCode>0.0%</c:formatCode>
                <c:ptCount val="20"/>
                <c:pt idx="0">
                  <c:v>0.83278810445546492</c:v>
                </c:pt>
                <c:pt idx="1">
                  <c:v>0.54699745633825936</c:v>
                </c:pt>
                <c:pt idx="2">
                  <c:v>0.49564717633507227</c:v>
                </c:pt>
                <c:pt idx="3">
                  <c:v>0.40407775934646151</c:v>
                </c:pt>
                <c:pt idx="4">
                  <c:v>0.35899897645892631</c:v>
                </c:pt>
                <c:pt idx="5">
                  <c:v>0.35633647410023678</c:v>
                </c:pt>
                <c:pt idx="6">
                  <c:v>0.32727797518904544</c:v>
                </c:pt>
                <c:pt idx="7">
                  <c:v>0.3493412092389489</c:v>
                </c:pt>
                <c:pt idx="8">
                  <c:v>0.28291678041554519</c:v>
                </c:pt>
                <c:pt idx="9">
                  <c:v>0.24342524437339508</c:v>
                </c:pt>
                <c:pt idx="10">
                  <c:v>0.22748898249256386</c:v>
                </c:pt>
                <c:pt idx="11">
                  <c:v>0.23016254439393946</c:v>
                </c:pt>
                <c:pt idx="12">
                  <c:v>0.1777631218252709</c:v>
                </c:pt>
                <c:pt idx="13">
                  <c:v>0.15859572181932569</c:v>
                </c:pt>
                <c:pt idx="14">
                  <c:v>0.18306772666078217</c:v>
                </c:pt>
                <c:pt idx="15">
                  <c:v>0.19285315318051222</c:v>
                </c:pt>
                <c:pt idx="16">
                  <c:v>0.17445773562727609</c:v>
                </c:pt>
                <c:pt idx="17">
                  <c:v>0.14994018775599496</c:v>
                </c:pt>
                <c:pt idx="18">
                  <c:v>0.14311119742571329</c:v>
                </c:pt>
                <c:pt idx="19">
                  <c:v>0.10341574930995291</c:v>
                </c:pt>
              </c:numCache>
            </c:numRef>
          </c:val>
          <c:extLst>
            <c:ext xmlns:c16="http://schemas.microsoft.com/office/drawing/2014/chart" uri="{C3380CC4-5D6E-409C-BE32-E72D297353CC}">
              <c16:uniqueId val="{00000000-FC5A-48D9-9A42-7E4BC3417533}"/>
            </c:ext>
          </c:extLst>
        </c:ser>
        <c:ser>
          <c:idx val="1"/>
          <c:order val="1"/>
          <c:tx>
            <c:strRef>
              <c:f>'Figure 4 2023'!$V$56</c:f>
              <c:strCache>
                <c:ptCount val="1"/>
                <c:pt idx="0">
                  <c:v>Mandatory contributions</c:v>
                </c:pt>
              </c:strCache>
            </c:strRef>
          </c:tx>
          <c:spPr>
            <a:solidFill>
              <a:srgbClr val="17375E"/>
            </a:solidFill>
            <a:ln>
              <a:noFill/>
            </a:ln>
            <a:effectLst/>
          </c:spPr>
          <c:invertIfNegative val="0"/>
          <c:dLbls>
            <c:delete val="1"/>
          </c:dLbls>
          <c:cat>
            <c:strRef>
              <c:extLst>
                <c:ext xmlns:c15="http://schemas.microsoft.com/office/drawing/2012/chart" uri="{02D57815-91ED-43cb-92C2-25804820EDAC}">
                  <c15:fullRef>
                    <c15:sqref>'Figure 4 2023'!$S$58:$S$98</c15:sqref>
                  </c15:fullRef>
                </c:ext>
              </c:extLst>
              <c:f>('Figure 4 2023'!$S$58:$S$77,'Figure 4 2023'!$S$79:$S$98)</c:f>
              <c:strCache>
                <c:ptCount val="20"/>
                <c:pt idx="0">
                  <c:v>HND</c:v>
                </c:pt>
                <c:pt idx="1">
                  <c:v>BOL</c:v>
                </c:pt>
                <c:pt idx="2">
                  <c:v>NIC</c:v>
                </c:pt>
                <c:pt idx="3">
                  <c:v>ECU</c:v>
                </c:pt>
                <c:pt idx="4">
                  <c:v>GTM</c:v>
                </c:pt>
                <c:pt idx="5">
                  <c:v>PRY</c:v>
                </c:pt>
                <c:pt idx="6">
                  <c:v>SLV</c:v>
                </c:pt>
                <c:pt idx="7">
                  <c:v>JAM</c:v>
                </c:pt>
                <c:pt idx="8">
                  <c:v>LAC</c:v>
                </c:pt>
                <c:pt idx="9">
                  <c:v>CRI</c:v>
                </c:pt>
                <c:pt idx="10">
                  <c:v>PER</c:v>
                </c:pt>
                <c:pt idx="11">
                  <c:v>COL</c:v>
                </c:pt>
                <c:pt idx="12">
                  <c:v>ARG</c:v>
                </c:pt>
                <c:pt idx="13">
                  <c:v>BRA</c:v>
                </c:pt>
                <c:pt idx="14">
                  <c:v>PAN</c:v>
                </c:pt>
                <c:pt idx="15">
                  <c:v>CHL</c:v>
                </c:pt>
                <c:pt idx="16">
                  <c:v>DOM</c:v>
                </c:pt>
                <c:pt idx="17">
                  <c:v>URY</c:v>
                </c:pt>
                <c:pt idx="18">
                  <c:v>MEX</c:v>
                </c:pt>
                <c:pt idx="19">
                  <c:v>TTO</c:v>
                </c:pt>
              </c:strCache>
            </c:strRef>
          </c:cat>
          <c:val>
            <c:numRef>
              <c:extLst>
                <c:ext xmlns:c15="http://schemas.microsoft.com/office/drawing/2012/chart" uri="{02D57815-91ED-43cb-92C2-25804820EDAC}">
                  <c15:fullRef>
                    <c15:sqref>'Figure 4 2023'!$V$57:$V$98</c15:sqref>
                  </c15:fullRef>
                </c:ext>
              </c:extLst>
              <c:f>('Figure 4 2023'!$V$57:$V$76,'Figure 4 2023'!$V$78:$V$98)</c:f>
              <c:numCache>
                <c:formatCode>0.0%</c:formatCode>
                <c:ptCount val="20"/>
                <c:pt idx="0">
                  <c:v>6.4124684043070798E-2</c:v>
                </c:pt>
                <c:pt idx="1">
                  <c:v>0.13357677883780295</c:v>
                </c:pt>
                <c:pt idx="2">
                  <c:v>0.15662450772188283</c:v>
                </c:pt>
                <c:pt idx="3">
                  <c:v>7.7793825173028838E-2</c:v>
                </c:pt>
                <c:pt idx="4">
                  <c:v>6.2824820880312104E-2</c:v>
                </c:pt>
                <c:pt idx="5">
                  <c:v>0.100262344904368</c:v>
                </c:pt>
                <c:pt idx="6">
                  <c:v>8.018310392131614E-2</c:v>
                </c:pt>
                <c:pt idx="7">
                  <c:v>7.3720566141452171E-2</c:v>
                </c:pt>
                <c:pt idx="8">
                  <c:v>7.1122312634201129E-2</c:v>
                </c:pt>
                <c:pt idx="9">
                  <c:v>0.10584729851985181</c:v>
                </c:pt>
                <c:pt idx="10">
                  <c:v>7.8343154396778164E-2</c:v>
                </c:pt>
                <c:pt idx="11">
                  <c:v>7.6754605304490922E-2</c:v>
                </c:pt>
                <c:pt idx="12">
                  <c:v>8.2643779914448962E-2</c:v>
                </c:pt>
                <c:pt idx="13">
                  <c:v>7.3801324249349237E-2</c:v>
                </c:pt>
                <c:pt idx="14">
                  <c:v>4.6078146800518874E-2</c:v>
                </c:pt>
                <c:pt idx="15">
                  <c:v>4.9880279249332221E-2</c:v>
                </c:pt>
                <c:pt idx="16">
                  <c:v>4.2686940109600578E-2</c:v>
                </c:pt>
                <c:pt idx="17">
                  <c:v>5.9520092613605774E-2</c:v>
                </c:pt>
                <c:pt idx="18">
                  <c:v>4.3565989137430122E-2</c:v>
                </c:pt>
                <c:pt idx="19">
                  <c:v>1.3650878908913784E-2</c:v>
                </c:pt>
              </c:numCache>
            </c:numRef>
          </c:val>
          <c:extLst>
            <c:ext xmlns:c16="http://schemas.microsoft.com/office/drawing/2014/chart" uri="{C3380CC4-5D6E-409C-BE32-E72D297353CC}">
              <c16:uniqueId val="{00000001-FC5A-48D9-9A42-7E4BC3417533}"/>
            </c:ext>
          </c:extLst>
        </c:ser>
        <c:ser>
          <c:idx val="2"/>
          <c:order val="2"/>
          <c:tx>
            <c:strRef>
              <c:f>'Figure 4 2023'!$W$56</c:f>
              <c:strCache>
                <c:ptCount val="1"/>
                <c:pt idx="0">
                  <c:v>Bonus</c:v>
                </c:pt>
              </c:strCache>
            </c:strRef>
          </c:tx>
          <c:spPr>
            <a:solidFill>
              <a:srgbClr val="FAC090"/>
            </a:solidFill>
            <a:ln>
              <a:noFill/>
            </a:ln>
            <a:effectLst/>
          </c:spPr>
          <c:invertIfNegative val="0"/>
          <c:dLbls>
            <c:delete val="1"/>
          </c:dLbls>
          <c:cat>
            <c:strRef>
              <c:extLst>
                <c:ext xmlns:c15="http://schemas.microsoft.com/office/drawing/2012/chart" uri="{02D57815-91ED-43cb-92C2-25804820EDAC}">
                  <c15:fullRef>
                    <c15:sqref>'Figure 4 2023'!$S$58:$S$98</c15:sqref>
                  </c15:fullRef>
                </c:ext>
              </c:extLst>
              <c:f>('Figure 4 2023'!$S$58:$S$77,'Figure 4 2023'!$S$79:$S$98)</c:f>
              <c:strCache>
                <c:ptCount val="20"/>
                <c:pt idx="0">
                  <c:v>HND</c:v>
                </c:pt>
                <c:pt idx="1">
                  <c:v>BOL</c:v>
                </c:pt>
                <c:pt idx="2">
                  <c:v>NIC</c:v>
                </c:pt>
                <c:pt idx="3">
                  <c:v>ECU</c:v>
                </c:pt>
                <c:pt idx="4">
                  <c:v>GTM</c:v>
                </c:pt>
                <c:pt idx="5">
                  <c:v>PRY</c:v>
                </c:pt>
                <c:pt idx="6">
                  <c:v>SLV</c:v>
                </c:pt>
                <c:pt idx="7">
                  <c:v>JAM</c:v>
                </c:pt>
                <c:pt idx="8">
                  <c:v>LAC</c:v>
                </c:pt>
                <c:pt idx="9">
                  <c:v>CRI</c:v>
                </c:pt>
                <c:pt idx="10">
                  <c:v>PER</c:v>
                </c:pt>
                <c:pt idx="11">
                  <c:v>COL</c:v>
                </c:pt>
                <c:pt idx="12">
                  <c:v>ARG</c:v>
                </c:pt>
                <c:pt idx="13">
                  <c:v>BRA</c:v>
                </c:pt>
                <c:pt idx="14">
                  <c:v>PAN</c:v>
                </c:pt>
                <c:pt idx="15">
                  <c:v>CHL</c:v>
                </c:pt>
                <c:pt idx="16">
                  <c:v>DOM</c:v>
                </c:pt>
                <c:pt idx="17">
                  <c:v>URY</c:v>
                </c:pt>
                <c:pt idx="18">
                  <c:v>MEX</c:v>
                </c:pt>
                <c:pt idx="19">
                  <c:v>TTO</c:v>
                </c:pt>
              </c:strCache>
            </c:strRef>
          </c:cat>
          <c:val>
            <c:numRef>
              <c:extLst>
                <c:ext xmlns:c15="http://schemas.microsoft.com/office/drawing/2012/chart" uri="{02D57815-91ED-43cb-92C2-25804820EDAC}">
                  <c15:fullRef>
                    <c15:sqref>'Figure 4 2023'!$W$57:$W$98</c15:sqref>
                  </c15:fullRef>
                </c:ext>
              </c:extLst>
              <c:f>('Figure 4 2023'!$W$57:$W$76,'Figure 4 2023'!$W$78:$W$98)</c:f>
              <c:numCache>
                <c:formatCode>0.0%</c:formatCode>
                <c:ptCount val="20"/>
                <c:pt idx="0">
                  <c:v>0.138825777012726</c:v>
                </c:pt>
                <c:pt idx="1">
                  <c:v>9.1166242723043231E-2</c:v>
                </c:pt>
                <c:pt idx="2">
                  <c:v>4.130393136125602E-2</c:v>
                </c:pt>
                <c:pt idx="3">
                  <c:v>6.7480985810859082E-2</c:v>
                </c:pt>
                <c:pt idx="4">
                  <c:v>5.995282906864069E-2</c:v>
                </c:pt>
                <c:pt idx="5">
                  <c:v>2.9575927350319654E-2</c:v>
                </c:pt>
                <c:pt idx="6">
                  <c:v>1.7345732685019408E-2</c:v>
                </c:pt>
                <c:pt idx="7">
                  <c:v>0</c:v>
                </c:pt>
                <c:pt idx="8">
                  <c:v>2.9969471303096018E-2</c:v>
                </c:pt>
                <c:pt idx="9">
                  <c:v>2.020429528299179E-2</c:v>
                </c:pt>
                <c:pt idx="10">
                  <c:v>3.7922413381510395E-2</c:v>
                </c:pt>
                <c:pt idx="11">
                  <c:v>1.9180212032828287E-2</c:v>
                </c:pt>
                <c:pt idx="12">
                  <c:v>1.4807668048045064E-2</c:v>
                </c:pt>
                <c:pt idx="13">
                  <c:v>1.3216310151610474E-2</c:v>
                </c:pt>
                <c:pt idx="14">
                  <c:v>1.525564388839851E-2</c:v>
                </c:pt>
                <c:pt idx="15">
                  <c:v>0</c:v>
                </c:pt>
                <c:pt idx="16">
                  <c:v>1.4479992057063917E-2</c:v>
                </c:pt>
                <c:pt idx="17">
                  <c:v>1.2445035583747582E-2</c:v>
                </c:pt>
                <c:pt idx="18">
                  <c:v>6.0106702918799586E-3</c:v>
                </c:pt>
                <c:pt idx="19">
                  <c:v>0</c:v>
                </c:pt>
              </c:numCache>
            </c:numRef>
          </c:val>
          <c:extLst>
            <c:ext xmlns:c16="http://schemas.microsoft.com/office/drawing/2014/chart" uri="{C3380CC4-5D6E-409C-BE32-E72D297353CC}">
              <c16:uniqueId val="{00000002-FC5A-48D9-9A42-7E4BC3417533}"/>
            </c:ext>
          </c:extLst>
        </c:ser>
        <c:ser>
          <c:idx val="3"/>
          <c:order val="3"/>
          <c:tx>
            <c:strRef>
              <c:f>'Figure 4 2023'!$X$56</c:f>
              <c:strCache>
                <c:ptCount val="1"/>
                <c:pt idx="0">
                  <c:v>Annual leave</c:v>
                </c:pt>
              </c:strCache>
            </c:strRef>
          </c:tx>
          <c:spPr>
            <a:solidFill>
              <a:srgbClr val="E46C0A"/>
            </a:solidFill>
            <a:ln>
              <a:noFill/>
            </a:ln>
            <a:effectLst/>
          </c:spPr>
          <c:invertIfNegative val="0"/>
          <c:dLbls>
            <c:delete val="1"/>
          </c:dLbls>
          <c:cat>
            <c:strRef>
              <c:extLst>
                <c:ext xmlns:c15="http://schemas.microsoft.com/office/drawing/2012/chart" uri="{02D57815-91ED-43cb-92C2-25804820EDAC}">
                  <c15:fullRef>
                    <c15:sqref>'Figure 4 2023'!$S$58:$S$98</c15:sqref>
                  </c15:fullRef>
                </c:ext>
              </c:extLst>
              <c:f>('Figure 4 2023'!$S$58:$S$77,'Figure 4 2023'!$S$79:$S$98)</c:f>
              <c:strCache>
                <c:ptCount val="20"/>
                <c:pt idx="0">
                  <c:v>HND</c:v>
                </c:pt>
                <c:pt idx="1">
                  <c:v>BOL</c:v>
                </c:pt>
                <c:pt idx="2">
                  <c:v>NIC</c:v>
                </c:pt>
                <c:pt idx="3">
                  <c:v>ECU</c:v>
                </c:pt>
                <c:pt idx="4">
                  <c:v>GTM</c:v>
                </c:pt>
                <c:pt idx="5">
                  <c:v>PRY</c:v>
                </c:pt>
                <c:pt idx="6">
                  <c:v>SLV</c:v>
                </c:pt>
                <c:pt idx="7">
                  <c:v>JAM</c:v>
                </c:pt>
                <c:pt idx="8">
                  <c:v>LAC</c:v>
                </c:pt>
                <c:pt idx="9">
                  <c:v>CRI</c:v>
                </c:pt>
                <c:pt idx="10">
                  <c:v>PER</c:v>
                </c:pt>
                <c:pt idx="11">
                  <c:v>COL</c:v>
                </c:pt>
                <c:pt idx="12">
                  <c:v>ARG</c:v>
                </c:pt>
                <c:pt idx="13">
                  <c:v>BRA</c:v>
                </c:pt>
                <c:pt idx="14">
                  <c:v>PAN</c:v>
                </c:pt>
                <c:pt idx="15">
                  <c:v>CHL</c:v>
                </c:pt>
                <c:pt idx="16">
                  <c:v>DOM</c:v>
                </c:pt>
                <c:pt idx="17">
                  <c:v>URY</c:v>
                </c:pt>
                <c:pt idx="18">
                  <c:v>MEX</c:v>
                </c:pt>
                <c:pt idx="19">
                  <c:v>TTO</c:v>
                </c:pt>
              </c:strCache>
            </c:strRef>
          </c:cat>
          <c:val>
            <c:numRef>
              <c:extLst>
                <c:ext xmlns:c15="http://schemas.microsoft.com/office/drawing/2012/chart" uri="{02D57815-91ED-43cb-92C2-25804820EDAC}">
                  <c15:fullRef>
                    <c15:sqref>'Figure 4 2023'!$X$57:$X$98</c15:sqref>
                  </c15:fullRef>
                </c:ext>
              </c:extLst>
              <c:f>('Figure 4 2023'!$X$57:$X$76,'Figure 4 2023'!$X$78:$X$98)</c:f>
              <c:numCache>
                <c:formatCode>0.0%</c:formatCode>
                <c:ptCount val="20"/>
                <c:pt idx="0">
                  <c:v>4.6266005803081385E-2</c:v>
                </c:pt>
                <c:pt idx="1">
                  <c:v>3.038874757434774E-2</c:v>
                </c:pt>
                <c:pt idx="2">
                  <c:v>4.130393136125602E-2</c:v>
                </c:pt>
                <c:pt idx="3">
                  <c:v>1.6971265892551386E-2</c:v>
                </c:pt>
                <c:pt idx="4">
                  <c:v>1.5077957011274904E-2</c:v>
                </c:pt>
                <c:pt idx="5">
                  <c:v>1.1759103645307814E-2</c:v>
                </c:pt>
                <c:pt idx="6">
                  <c:v>1.3745674957939911E-2</c:v>
                </c:pt>
                <c:pt idx="7">
                  <c:v>1.3585491470403568E-2</c:v>
                </c:pt>
                <c:pt idx="8">
                  <c:v>1.522758203192108E-2</c:v>
                </c:pt>
                <c:pt idx="9">
                  <c:v>9.4935845305624093E-3</c:v>
                </c:pt>
                <c:pt idx="10">
                  <c:v>1.894983224163057E-2</c:v>
                </c:pt>
                <c:pt idx="11">
                  <c:v>9.5901060164141436E-3</c:v>
                </c:pt>
                <c:pt idx="12">
                  <c:v>6.9149854390030373E-3</c:v>
                </c:pt>
                <c:pt idx="13">
                  <c:v>1.7621746868813966E-2</c:v>
                </c:pt>
                <c:pt idx="14">
                  <c:v>1.525564388839851E-2</c:v>
                </c:pt>
                <c:pt idx="15">
                  <c:v>8.0355480491880096E-3</c:v>
                </c:pt>
                <c:pt idx="16">
                  <c:v>8.7228867813638044E-3</c:v>
                </c:pt>
                <c:pt idx="17">
                  <c:v>8.6965308898477086E-3</c:v>
                </c:pt>
                <c:pt idx="18">
                  <c:v>8.0142270558399443E-3</c:v>
                </c:pt>
                <c:pt idx="19">
                  <c:v>4.0217235842759467E-3</c:v>
                </c:pt>
              </c:numCache>
            </c:numRef>
          </c:val>
          <c:extLst>
            <c:ext xmlns:c16="http://schemas.microsoft.com/office/drawing/2014/chart" uri="{C3380CC4-5D6E-409C-BE32-E72D297353CC}">
              <c16:uniqueId val="{00000003-FC5A-48D9-9A42-7E4BC3417533}"/>
            </c:ext>
          </c:extLst>
        </c:ser>
        <c:ser>
          <c:idx val="4"/>
          <c:order val="4"/>
          <c:tx>
            <c:strRef>
              <c:f>'Figure 4 2023'!$Y$56</c:f>
              <c:strCache>
                <c:ptCount val="1"/>
                <c:pt idx="0">
                  <c:v>Severance payment (flow)</c:v>
                </c:pt>
              </c:strCache>
            </c:strRef>
          </c:tx>
          <c:spPr>
            <a:solidFill>
              <a:srgbClr val="95B3D7"/>
            </a:solidFill>
            <a:ln>
              <a:noFill/>
            </a:ln>
            <a:effectLst/>
          </c:spPr>
          <c:invertIfNegative val="0"/>
          <c:dLbls>
            <c:delete val="1"/>
          </c:dLbls>
          <c:cat>
            <c:strRef>
              <c:extLst>
                <c:ext xmlns:c15="http://schemas.microsoft.com/office/drawing/2012/chart" uri="{02D57815-91ED-43cb-92C2-25804820EDAC}">
                  <c15:fullRef>
                    <c15:sqref>'Figure 4 2023'!$S$58:$S$98</c15:sqref>
                  </c15:fullRef>
                </c:ext>
              </c:extLst>
              <c:f>('Figure 4 2023'!$S$58:$S$77,'Figure 4 2023'!$S$79:$S$98)</c:f>
              <c:strCache>
                <c:ptCount val="20"/>
                <c:pt idx="0">
                  <c:v>HND</c:v>
                </c:pt>
                <c:pt idx="1">
                  <c:v>BOL</c:v>
                </c:pt>
                <c:pt idx="2">
                  <c:v>NIC</c:v>
                </c:pt>
                <c:pt idx="3">
                  <c:v>ECU</c:v>
                </c:pt>
                <c:pt idx="4">
                  <c:v>GTM</c:v>
                </c:pt>
                <c:pt idx="5">
                  <c:v>PRY</c:v>
                </c:pt>
                <c:pt idx="6">
                  <c:v>SLV</c:v>
                </c:pt>
                <c:pt idx="7">
                  <c:v>JAM</c:v>
                </c:pt>
                <c:pt idx="8">
                  <c:v>LAC</c:v>
                </c:pt>
                <c:pt idx="9">
                  <c:v>CRI</c:v>
                </c:pt>
                <c:pt idx="10">
                  <c:v>PER</c:v>
                </c:pt>
                <c:pt idx="11">
                  <c:v>COL</c:v>
                </c:pt>
                <c:pt idx="12">
                  <c:v>ARG</c:v>
                </c:pt>
                <c:pt idx="13">
                  <c:v>BRA</c:v>
                </c:pt>
                <c:pt idx="14">
                  <c:v>PAN</c:v>
                </c:pt>
                <c:pt idx="15">
                  <c:v>CHL</c:v>
                </c:pt>
                <c:pt idx="16">
                  <c:v>DOM</c:v>
                </c:pt>
                <c:pt idx="17">
                  <c:v>URY</c:v>
                </c:pt>
                <c:pt idx="18">
                  <c:v>MEX</c:v>
                </c:pt>
                <c:pt idx="19">
                  <c:v>TTO</c:v>
                </c:pt>
              </c:strCache>
            </c:strRef>
          </c:cat>
          <c:val>
            <c:numRef>
              <c:extLst>
                <c:ext xmlns:c15="http://schemas.microsoft.com/office/drawing/2012/chart" uri="{02D57815-91ED-43cb-92C2-25804820EDAC}">
                  <c15:fullRef>
                    <c15:sqref>'Figure 4 2023'!$Y$57:$Y$98</c15:sqref>
                  </c15:fullRef>
                </c:ext>
              </c:extLst>
              <c:f>('Figure 4 2023'!$Y$57:$Y$76,'Figure 4 2023'!$Y$78:$Y$98)</c:f>
              <c:numCache>
                <c:formatCode>0.0%</c:formatCode>
                <c:ptCount val="20"/>
                <c:pt idx="0">
                  <c:v>6.9371249101140217E-2</c:v>
                </c:pt>
                <c:pt idx="1">
                  <c:v>4.5564888112977001E-2</c:v>
                </c:pt>
                <c:pt idx="2">
                  <c:v>3.5785726131392213E-2</c:v>
                </c:pt>
                <c:pt idx="3">
                  <c:v>3.3538454025756309E-2</c:v>
                </c:pt>
                <c:pt idx="4">
                  <c:v>2.9916581371577194E-2</c:v>
                </c:pt>
                <c:pt idx="5">
                  <c:v>1.4859230969979874E-2</c:v>
                </c:pt>
                <c:pt idx="6">
                  <c:v>2.7164071940690773E-2</c:v>
                </c:pt>
                <c:pt idx="7">
                  <c:v>1.3589373039395112E-2</c:v>
                </c:pt>
                <c:pt idx="8">
                  <c:v>1.9904044900265268E-2</c:v>
                </c:pt>
                <c:pt idx="9">
                  <c:v>4.1382291543477171E-3</c:v>
                </c:pt>
                <c:pt idx="10">
                  <c:v>2.8436122811570482E-2</c:v>
                </c:pt>
                <c:pt idx="11">
                  <c:v>1.40629314624697E-2</c:v>
                </c:pt>
                <c:pt idx="12">
                  <c:v>1.4807668048045064E-2</c:v>
                </c:pt>
                <c:pt idx="13">
                  <c:v>5.0750630982184224E-3</c:v>
                </c:pt>
                <c:pt idx="14">
                  <c:v>0</c:v>
                </c:pt>
                <c:pt idx="15">
                  <c:v>1.6064667659936669E-2</c:v>
                </c:pt>
                <c:pt idx="16">
                  <c:v>1.116529508014567E-2</c:v>
                </c:pt>
                <c:pt idx="17">
                  <c:v>1.4904054662945898E-2</c:v>
                </c:pt>
                <c:pt idx="18">
                  <c:v>1.5112542448155323E-2</c:v>
                </c:pt>
                <c:pt idx="19">
                  <c:v>4.3089895545813713E-3</c:v>
                </c:pt>
              </c:numCache>
            </c:numRef>
          </c:val>
          <c:extLst>
            <c:ext xmlns:c16="http://schemas.microsoft.com/office/drawing/2014/chart" uri="{C3380CC4-5D6E-409C-BE32-E72D297353CC}">
              <c16:uniqueId val="{00000004-FC5A-48D9-9A42-7E4BC3417533}"/>
            </c:ext>
          </c:extLst>
        </c:ser>
        <c:ser>
          <c:idx val="5"/>
          <c:order val="5"/>
          <c:tx>
            <c:strRef>
              <c:f>'Figure 4 2023'!$Z$56</c:f>
              <c:strCache>
                <c:ptCount val="1"/>
                <c:pt idx="0">
                  <c:v>Firing notice (flow)</c:v>
                </c:pt>
              </c:strCache>
            </c:strRef>
          </c:tx>
          <c:spPr>
            <a:solidFill>
              <a:srgbClr val="558ED5"/>
            </a:solidFill>
            <a:ln>
              <a:noFill/>
            </a:ln>
            <a:effectLst/>
          </c:spPr>
          <c:invertIfNegative val="0"/>
          <c:dLbls>
            <c:delete val="1"/>
          </c:dLbls>
          <c:cat>
            <c:strRef>
              <c:extLst>
                <c:ext xmlns:c15="http://schemas.microsoft.com/office/drawing/2012/chart" uri="{02D57815-91ED-43cb-92C2-25804820EDAC}">
                  <c15:fullRef>
                    <c15:sqref>'Figure 4 2023'!$S$58:$S$98</c15:sqref>
                  </c15:fullRef>
                </c:ext>
              </c:extLst>
              <c:f>('Figure 4 2023'!$S$58:$S$77,'Figure 4 2023'!$S$79:$S$98)</c:f>
              <c:strCache>
                <c:ptCount val="20"/>
                <c:pt idx="0">
                  <c:v>HND</c:v>
                </c:pt>
                <c:pt idx="1">
                  <c:v>BOL</c:v>
                </c:pt>
                <c:pt idx="2">
                  <c:v>NIC</c:v>
                </c:pt>
                <c:pt idx="3">
                  <c:v>ECU</c:v>
                </c:pt>
                <c:pt idx="4">
                  <c:v>GTM</c:v>
                </c:pt>
                <c:pt idx="5">
                  <c:v>PRY</c:v>
                </c:pt>
                <c:pt idx="6">
                  <c:v>SLV</c:v>
                </c:pt>
                <c:pt idx="7">
                  <c:v>JAM</c:v>
                </c:pt>
                <c:pt idx="8">
                  <c:v>LAC</c:v>
                </c:pt>
                <c:pt idx="9">
                  <c:v>CRI</c:v>
                </c:pt>
                <c:pt idx="10">
                  <c:v>PER</c:v>
                </c:pt>
                <c:pt idx="11">
                  <c:v>COL</c:v>
                </c:pt>
                <c:pt idx="12">
                  <c:v>ARG</c:v>
                </c:pt>
                <c:pt idx="13">
                  <c:v>BRA</c:v>
                </c:pt>
                <c:pt idx="14">
                  <c:v>PAN</c:v>
                </c:pt>
                <c:pt idx="15">
                  <c:v>CHL</c:v>
                </c:pt>
                <c:pt idx="16">
                  <c:v>DOM</c:v>
                </c:pt>
                <c:pt idx="17">
                  <c:v>URY</c:v>
                </c:pt>
                <c:pt idx="18">
                  <c:v>MEX</c:v>
                </c:pt>
                <c:pt idx="19">
                  <c:v>TTO</c:v>
                </c:pt>
              </c:strCache>
            </c:strRef>
          </c:cat>
          <c:val>
            <c:numRef>
              <c:extLst>
                <c:ext xmlns:c15="http://schemas.microsoft.com/office/drawing/2012/chart" uri="{02D57815-91ED-43cb-92C2-25804820EDAC}">
                  <c15:fullRef>
                    <c15:sqref>'Figure 4 2023'!$Z$57:$Z$98</c15:sqref>
                  </c15:fullRef>
                </c:ext>
              </c:extLst>
              <c:f>('Figure 4 2023'!$Z$57:$Z$76,'Figure 4 2023'!$Z$78:$Z$98)</c:f>
              <c:numCache>
                <c:formatCode>0.0%</c:formatCode>
                <c:ptCount val="20"/>
                <c:pt idx="0">
                  <c:v>1.3879801740924414E-2</c:v>
                </c:pt>
                <c:pt idx="1">
                  <c:v>2.7349872816912969E-2</c:v>
                </c:pt>
                <c:pt idx="2">
                  <c:v>0</c:v>
                </c:pt>
                <c:pt idx="3">
                  <c:v>0</c:v>
                </c:pt>
                <c:pt idx="4">
                  <c:v>0</c:v>
                </c:pt>
                <c:pt idx="5">
                  <c:v>8.9084118525059215E-3</c:v>
                </c:pt>
                <c:pt idx="6">
                  <c:v>0</c:v>
                </c:pt>
                <c:pt idx="7">
                  <c:v>5.4497228641276025E-3</c:v>
                </c:pt>
                <c:pt idx="8">
                  <c:v>4.9457884313750446E-3</c:v>
                </c:pt>
                <c:pt idx="9">
                  <c:v>1.4362089418030308E-2</c:v>
                </c:pt>
                <c:pt idx="10">
                  <c:v>0</c:v>
                </c:pt>
                <c:pt idx="11">
                  <c:v>9.6668268645454562E-4</c:v>
                </c:pt>
                <c:pt idx="12">
                  <c:v>5.9195119567815209E-3</c:v>
                </c:pt>
                <c:pt idx="13">
                  <c:v>3.964893045483143E-3</c:v>
                </c:pt>
                <c:pt idx="14">
                  <c:v>1.2102810818129486E-2</c:v>
                </c:pt>
                <c:pt idx="15">
                  <c:v>3.2206476581145543E-3</c:v>
                </c:pt>
                <c:pt idx="16">
                  <c:v>2.7913237700364175E-3</c:v>
                </c:pt>
                <c:pt idx="17">
                  <c:v>0</c:v>
                </c:pt>
                <c:pt idx="18">
                  <c:v>0</c:v>
                </c:pt>
                <c:pt idx="19">
                  <c:v>0</c:v>
                </c:pt>
              </c:numCache>
            </c:numRef>
          </c:val>
          <c:extLst>
            <c:ext xmlns:c16="http://schemas.microsoft.com/office/drawing/2014/chart" uri="{C3380CC4-5D6E-409C-BE32-E72D297353CC}">
              <c16:uniqueId val="{00000005-FC5A-48D9-9A42-7E4BC3417533}"/>
            </c:ext>
          </c:extLst>
        </c:ser>
        <c:dLbls>
          <c:dLblPos val="ctr"/>
          <c:showLegendKey val="0"/>
          <c:showVal val="1"/>
          <c:showCatName val="0"/>
          <c:showSerName val="0"/>
          <c:showPercent val="0"/>
          <c:showBubbleSize val="0"/>
        </c:dLbls>
        <c:gapWidth val="219"/>
        <c:overlap val="100"/>
        <c:axId val="271161888"/>
        <c:axId val="271148448"/>
      </c:barChart>
      <c:catAx>
        <c:axId val="27116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vert="horz" wrap="square" anchor="ctr" anchorCtr="1"/>
          <a:lstStyle/>
          <a:p>
            <a:pPr>
              <a:defRPr lang="en-US" sz="16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71148448"/>
        <c:crosses val="autoZero"/>
        <c:auto val="1"/>
        <c:lblAlgn val="ctr"/>
        <c:lblOffset val="100"/>
        <c:noMultiLvlLbl val="0"/>
      </c:catAx>
      <c:valAx>
        <c:axId val="271148448"/>
        <c:scaling>
          <c:orientation val="minMax"/>
        </c:scaling>
        <c:delete val="0"/>
        <c:axPos val="l"/>
        <c:title>
          <c:tx>
            <c:rich>
              <a:bodyPr rot="-5400000" spcFirstLastPara="1" vertOverflow="ellipsis" vert="horz" wrap="square" anchor="ctr" anchorCtr="1"/>
              <a:lstStyle/>
              <a:p>
                <a:pPr>
                  <a:defRPr lang="en-US" sz="2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2000" b="1" i="0" u="none" strike="noStrike" kern="1200" baseline="0">
                    <a:solidFill>
                      <a:sysClr val="windowText" lastClr="000000"/>
                    </a:solidFill>
                    <a:latin typeface="Times New Roman" panose="02020603050405020304" pitchFamily="18" charset="0"/>
                    <a:cs typeface="Times New Roman" panose="02020603050405020304" pitchFamily="18" charset="0"/>
                  </a:rPr>
                  <a:t>Minimum cost of salaried labor as % of GDP per worker</a:t>
                </a:r>
              </a:p>
            </c:rich>
          </c:tx>
          <c:layout>
            <c:manualLayout>
              <c:xMode val="edge"/>
              <c:yMode val="edge"/>
              <c:x val="5.719245709219287E-3"/>
              <c:y val="0.12515627396532467"/>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2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71161888"/>
        <c:crosses val="autoZero"/>
        <c:crossBetween val="between"/>
      </c:valAx>
    </c:plotArea>
    <c:legend>
      <c:legendPos val="b"/>
      <c:layout>
        <c:manualLayout>
          <c:xMode val="edge"/>
          <c:yMode val="edge"/>
          <c:x val="0"/>
          <c:y val="0.94354989877470452"/>
          <c:w val="0.99866175381923417"/>
          <c:h val="5.6263655558002147E-2"/>
        </c:manualLayout>
      </c:layout>
      <c:overlay val="1"/>
      <c:spPr>
        <a:noFill/>
        <a:ln>
          <a:noFill/>
        </a:ln>
        <a:effectLst/>
      </c:spPr>
      <c:txPr>
        <a:bodyPr rot="0" spcFirstLastPara="1" vertOverflow="ellipsis" vert="horz" wrap="square" anchor="ctr" anchorCtr="1"/>
        <a:lstStyle/>
        <a:p>
          <a:pPr>
            <a:defRPr lang="en-US" sz="2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chart>
  <c:spPr>
    <a:solidFill>
      <a:schemeClr val="bg1"/>
    </a:solidFill>
    <a:ln w="9525" cap="flat" cmpd="sng" algn="ctr">
      <a:noFill/>
      <a:round/>
    </a:ln>
    <a:effectLst/>
  </c:spPr>
  <c:txPr>
    <a:bodyPr/>
    <a:lstStyle/>
    <a:p>
      <a:pPr algn="ct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printSettings>
    <c:headerFooter/>
    <c:pageMargins b="0.75" l="0.7" r="0.7" t="0.75" header="0.3" footer="0.3"/>
    <c:pageSetup/>
  </c:printSettings>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lang="en-US" sz="3200" b="0" i="0" u="none" strike="noStrike" kern="1200" spc="0" baseline="0">
                <a:solidFill>
                  <a:schemeClr val="tx1"/>
                </a:solidFill>
                <a:latin typeface="Times New Roman" panose="02020603050405020304" pitchFamily="18" charset="0"/>
                <a:ea typeface="+mn-ea"/>
                <a:cs typeface="Times New Roman" panose="02020603050405020304" pitchFamily="18" charset="0"/>
              </a:defRPr>
            </a:pPr>
            <a:r>
              <a:rPr lang="es-419" sz="3200"/>
              <a:t>The minimum cost of salaried labor (MCSL), 2023</a:t>
            </a:r>
          </a:p>
        </c:rich>
      </c:tx>
      <c:overlay val="0"/>
      <c:spPr>
        <a:noFill/>
        <a:ln>
          <a:noFill/>
        </a:ln>
        <a:effectLst/>
      </c:spPr>
    </c:title>
    <c:autoTitleDeleted val="0"/>
    <c:plotArea>
      <c:layout>
        <c:manualLayout>
          <c:layoutTarget val="inner"/>
          <c:xMode val="edge"/>
          <c:yMode val="edge"/>
          <c:x val="5.3468114210479811E-2"/>
          <c:y val="6.8122257532666528E-2"/>
          <c:w val="0.94376536136849587"/>
          <c:h val="0.8064566091909714"/>
        </c:manualLayout>
      </c:layout>
      <c:barChart>
        <c:barDir val="col"/>
        <c:grouping val="stacked"/>
        <c:varyColors val="0"/>
        <c:ser>
          <c:idx val="0"/>
          <c:order val="0"/>
          <c:tx>
            <c:strRef>
              <c:f>'Figure 4'!$C$83</c:f>
              <c:strCache>
                <c:ptCount val="1"/>
                <c:pt idx="0">
                  <c:v>Minimum wage</c:v>
                </c:pt>
              </c:strCache>
            </c:strRef>
          </c:tx>
          <c:invertIfNegative val="0"/>
          <c:dLbls>
            <c:delete val="1"/>
          </c:dLbls>
          <c:val>
            <c:numRef>
              <c:f>'Figure 4'!#REF!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4'!#REF!</c15:sqref>
                        </c15:formulaRef>
                      </c:ext>
                    </c:extLst>
                  </c:multiLvlStrRef>
                </c15:cat>
              </c15:filteredCategoryTitle>
            </c:ext>
            <c:ext xmlns:c16="http://schemas.microsoft.com/office/drawing/2014/chart" uri="{C3380CC4-5D6E-409C-BE32-E72D297353CC}">
              <c16:uniqueId val="{00000000-4A07-4585-B2FD-4218AAAE4AFD}"/>
            </c:ext>
          </c:extLst>
        </c:ser>
        <c:ser>
          <c:idx val="1"/>
          <c:order val="1"/>
          <c:tx>
            <c:strRef>
              <c:f>'Figure 4'!$D$83</c:f>
              <c:strCache>
                <c:ptCount val="1"/>
                <c:pt idx="0">
                  <c:v>Mandatory contributions</c:v>
                </c:pt>
              </c:strCache>
            </c:strRef>
          </c:tx>
          <c:invertIfNegative val="0"/>
          <c:dLbls>
            <c:delete val="1"/>
          </c:dLbls>
          <c:val>
            <c:numRef>
              <c:f>'Figure 4'!#REF!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4'!#REF!</c15:sqref>
                        </c15:formulaRef>
                      </c:ext>
                    </c:extLst>
                  </c:multiLvlStrRef>
                </c15:cat>
              </c15:filteredCategoryTitle>
            </c:ext>
            <c:ext xmlns:c16="http://schemas.microsoft.com/office/drawing/2014/chart" uri="{C3380CC4-5D6E-409C-BE32-E72D297353CC}">
              <c16:uniqueId val="{00000001-4A07-4585-B2FD-4218AAAE4AFD}"/>
            </c:ext>
          </c:extLst>
        </c:ser>
        <c:ser>
          <c:idx val="2"/>
          <c:order val="2"/>
          <c:tx>
            <c:strRef>
              <c:f>'Figure 4'!$E$83</c:f>
              <c:strCache>
                <c:ptCount val="1"/>
                <c:pt idx="0">
                  <c:v>Bonus</c:v>
                </c:pt>
              </c:strCache>
            </c:strRef>
          </c:tx>
          <c:invertIfNegative val="0"/>
          <c:dLbls>
            <c:delete val="1"/>
          </c:dLbls>
          <c:val>
            <c:numRef>
              <c:f>'Figure 4'!#REF!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4'!#REF!</c15:sqref>
                        </c15:formulaRef>
                      </c:ext>
                    </c:extLst>
                  </c:multiLvlStrRef>
                </c15:cat>
              </c15:filteredCategoryTitle>
            </c:ext>
            <c:ext xmlns:c16="http://schemas.microsoft.com/office/drawing/2014/chart" uri="{C3380CC4-5D6E-409C-BE32-E72D297353CC}">
              <c16:uniqueId val="{00000002-4A07-4585-B2FD-4218AAAE4AFD}"/>
            </c:ext>
          </c:extLst>
        </c:ser>
        <c:ser>
          <c:idx val="3"/>
          <c:order val="3"/>
          <c:tx>
            <c:strRef>
              <c:f>'Figure 4'!$F$83</c:f>
              <c:strCache>
                <c:ptCount val="1"/>
                <c:pt idx="0">
                  <c:v>Annual leave</c:v>
                </c:pt>
              </c:strCache>
            </c:strRef>
          </c:tx>
          <c:invertIfNegative val="0"/>
          <c:dLbls>
            <c:delete val="1"/>
          </c:dLbls>
          <c:val>
            <c:numRef>
              <c:f>'Figure 4'!#REF!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4'!#REF!</c15:sqref>
                        </c15:formulaRef>
                      </c:ext>
                    </c:extLst>
                  </c:multiLvlStrRef>
                </c15:cat>
              </c15:filteredCategoryTitle>
            </c:ext>
            <c:ext xmlns:c16="http://schemas.microsoft.com/office/drawing/2014/chart" uri="{C3380CC4-5D6E-409C-BE32-E72D297353CC}">
              <c16:uniqueId val="{00000003-4A07-4585-B2FD-4218AAAE4AFD}"/>
            </c:ext>
          </c:extLst>
        </c:ser>
        <c:ser>
          <c:idx val="4"/>
          <c:order val="4"/>
          <c:tx>
            <c:strRef>
              <c:f>'Figure 4'!$G$83</c:f>
              <c:strCache>
                <c:ptCount val="1"/>
                <c:pt idx="0">
                  <c:v>Severance payment (flow)</c:v>
                </c:pt>
              </c:strCache>
            </c:strRef>
          </c:tx>
          <c:invertIfNegative val="0"/>
          <c:dLbls>
            <c:delete val="1"/>
          </c:dLbls>
          <c:val>
            <c:numRef>
              <c:f>'Figure 4'!#REF!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4'!#REF!</c15:sqref>
                        </c15:formulaRef>
                      </c:ext>
                    </c:extLst>
                  </c:multiLvlStrRef>
                </c15:cat>
              </c15:filteredCategoryTitle>
            </c:ext>
            <c:ext xmlns:c16="http://schemas.microsoft.com/office/drawing/2014/chart" uri="{C3380CC4-5D6E-409C-BE32-E72D297353CC}">
              <c16:uniqueId val="{00000004-4A07-4585-B2FD-4218AAAE4AFD}"/>
            </c:ext>
          </c:extLst>
        </c:ser>
        <c:ser>
          <c:idx val="5"/>
          <c:order val="5"/>
          <c:tx>
            <c:strRef>
              <c:f>'Figure 4'!$H$83</c:f>
              <c:strCache>
                <c:ptCount val="1"/>
                <c:pt idx="0">
                  <c:v>Firing notice (flow)</c:v>
                </c:pt>
              </c:strCache>
            </c:strRef>
          </c:tx>
          <c:invertIfNegative val="0"/>
          <c:dLbls>
            <c:delete val="1"/>
          </c:dLbls>
          <c:val>
            <c:numRef>
              <c:f>'Figure 4'!#REF!</c:f>
              <c:numCache>
                <c:formatCode>General</c:formatCode>
                <c:ptCount val="1"/>
                <c:pt idx="0">
                  <c:v>1</c:v>
                </c:pt>
              </c:numCache>
            </c:numRef>
          </c:val>
          <c:extLst>
            <c:ext xmlns:c15="http://schemas.microsoft.com/office/drawing/2012/chart" uri="{02D57815-91ED-43cb-92C2-25804820EDAC}">
              <c15:filteredCategoryTitle>
                <c15:cat>
                  <c:multiLvlStrRef>
                    <c:extLst>
                      <c:ext uri="{02D57815-91ED-43cb-92C2-25804820EDAC}">
                        <c15:formulaRef>
                          <c15:sqref>'Figure 4'!#REF!</c15:sqref>
                        </c15:formulaRef>
                      </c:ext>
                    </c:extLst>
                  </c:multiLvlStrRef>
                </c15:cat>
              </c15:filteredCategoryTitle>
            </c:ext>
            <c:ext xmlns:c16="http://schemas.microsoft.com/office/drawing/2014/chart" uri="{C3380CC4-5D6E-409C-BE32-E72D297353CC}">
              <c16:uniqueId val="{00000005-4A07-4585-B2FD-4218AAAE4AFD}"/>
            </c:ext>
          </c:extLst>
        </c:ser>
        <c:dLbls>
          <c:dLblPos val="ctr"/>
          <c:showLegendKey val="0"/>
          <c:showVal val="1"/>
          <c:showCatName val="0"/>
          <c:showSerName val="0"/>
          <c:showPercent val="0"/>
          <c:showBubbleSize val="0"/>
        </c:dLbls>
        <c:gapWidth val="219"/>
        <c:overlap val="100"/>
        <c:axId val="271161888"/>
        <c:axId val="271148448"/>
      </c:barChart>
      <c:catAx>
        <c:axId val="2711618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lang="en-US" sz="2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71148448"/>
        <c:crosses val="autoZero"/>
        <c:auto val="1"/>
        <c:lblAlgn val="ctr"/>
        <c:lblOffset val="100"/>
        <c:noMultiLvlLbl val="0"/>
      </c:catAx>
      <c:valAx>
        <c:axId val="271148448"/>
        <c:scaling>
          <c:orientation val="minMax"/>
        </c:scaling>
        <c:delete val="0"/>
        <c:axPos val="l"/>
        <c:title>
          <c:tx>
            <c:rich>
              <a:bodyPr rot="-5400000" spcFirstLastPara="1" vertOverflow="ellipsis" vert="horz" wrap="square" anchor="ctr" anchorCtr="1"/>
              <a:lstStyle/>
              <a:p>
                <a:pPr>
                  <a:defRPr lang="en-US" sz="2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r>
                  <a:rPr lang="en-US" sz="2000" b="1" i="0" u="none" strike="noStrike" kern="1200" baseline="0">
                    <a:solidFill>
                      <a:sysClr val="windowText" lastClr="000000"/>
                    </a:solidFill>
                    <a:latin typeface="Times New Roman" panose="02020603050405020304" pitchFamily="18" charset="0"/>
                    <a:cs typeface="Times New Roman" panose="02020603050405020304" pitchFamily="18" charset="0"/>
                  </a:rPr>
                  <a:t>Minimum cost of salaried labor as % of GDP per worker</a:t>
                </a:r>
              </a:p>
            </c:rich>
          </c:tx>
          <c:layout>
            <c:manualLayout>
              <c:xMode val="edge"/>
              <c:yMode val="edge"/>
              <c:x val="1.932430602494074E-5"/>
              <c:y val="0.16790433319511336"/>
            </c:manualLayout>
          </c:layout>
          <c:overlay val="0"/>
          <c:spPr>
            <a:noFill/>
            <a:ln>
              <a:noFill/>
            </a:ln>
            <a:effectLst/>
          </c:sp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lang="en-US" sz="1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crossAx val="271161888"/>
        <c:crosses val="autoZero"/>
        <c:crossBetween val="between"/>
      </c:valAx>
    </c:plotArea>
    <c:legend>
      <c:legendPos val="b"/>
      <c:layout>
        <c:manualLayout>
          <c:xMode val="edge"/>
          <c:yMode val="edge"/>
          <c:x val="2.4670547836317669E-2"/>
          <c:y val="0.95879520943004604"/>
          <c:w val="0.94951651908698742"/>
          <c:h val="3.9957461156246869E-2"/>
        </c:manualLayout>
      </c:layout>
      <c:overlay val="1"/>
      <c:spPr>
        <a:noFill/>
        <a:ln>
          <a:noFill/>
        </a:ln>
        <a:effectLst/>
      </c:spPr>
      <c:txPr>
        <a:bodyPr rot="0" spcFirstLastPara="1" vertOverflow="ellipsis" vert="horz" wrap="square" anchor="ctr" anchorCtr="1"/>
        <a:lstStyle/>
        <a:p>
          <a:pPr>
            <a:defRPr lang="en-US" sz="28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extLst/>
  </c:chart>
  <c:spPr>
    <a:solidFill>
      <a:schemeClr val="bg1"/>
    </a:solidFill>
    <a:ln w="9525" cap="flat" cmpd="sng" algn="ctr">
      <a:noFill/>
      <a:round/>
    </a:ln>
    <a:effectLst/>
  </c:spPr>
  <c:txPr>
    <a:bodyPr/>
    <a:lstStyle/>
    <a:p>
      <a:pPr algn="ctr">
        <a:defRPr lang="en-US" sz="1000" b="0" i="0" u="none" strike="noStrike" kern="1200" baseline="0">
          <a:solidFill>
            <a:schemeClr val="tx1"/>
          </a:solidFill>
          <a:latin typeface="Times New Roman" panose="02020603050405020304" pitchFamily="18" charset="0"/>
          <a:ea typeface="+mn-ea"/>
          <a:cs typeface="Times New Roman" panose="02020603050405020304" pitchFamily="18" charset="0"/>
        </a:defRPr>
      </a:pPr>
      <a:endParaRPr lang="es-DO"/>
    </a:p>
  </c:txPr>
  <c:printSettings>
    <c:headerFooter/>
    <c:pageMargins b="0.75" l="0.7" r="0.7" t="0.75" header="0.3" footer="0.3"/>
    <c:pageSetup/>
  </c:printSettings>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JSP!$B$6</c:f>
              <c:strCache>
                <c:ptCount val="1"/>
                <c:pt idx="0">
                  <c:v>Severance payment (without just cause)</c:v>
                </c:pt>
              </c:strCache>
            </c:strRef>
          </c:tx>
          <c:spPr>
            <a:solidFill>
              <a:schemeClr val="accent1"/>
            </a:solidFill>
            <a:ln>
              <a:noFill/>
            </a:ln>
            <a:effectLst/>
          </c:spPr>
          <c:invertIfNegative val="0"/>
          <c:cat>
            <c:strRef>
              <c:f>JSP!$A$7:$A$26</c:f>
              <c:strCache>
                <c:ptCount val="20"/>
                <c:pt idx="0">
                  <c:v>BOL</c:v>
                </c:pt>
                <c:pt idx="1">
                  <c:v>PER</c:v>
                </c:pt>
                <c:pt idx="2">
                  <c:v>ARG</c:v>
                </c:pt>
                <c:pt idx="3">
                  <c:v>MEX</c:v>
                </c:pt>
                <c:pt idx="4">
                  <c:v>CHL</c:v>
                </c:pt>
                <c:pt idx="5">
                  <c:v>HND</c:v>
                </c:pt>
                <c:pt idx="6">
                  <c:v>URY</c:v>
                </c:pt>
                <c:pt idx="7">
                  <c:v>ECU</c:v>
                </c:pt>
                <c:pt idx="8">
                  <c:v>GTM</c:v>
                </c:pt>
                <c:pt idx="9">
                  <c:v>SLV</c:v>
                </c:pt>
                <c:pt idx="10">
                  <c:v>VEN</c:v>
                </c:pt>
                <c:pt idx="11">
                  <c:v>DOM</c:v>
                </c:pt>
                <c:pt idx="12">
                  <c:v>CRI</c:v>
                </c:pt>
                <c:pt idx="13">
                  <c:v>NIC</c:v>
                </c:pt>
                <c:pt idx="14">
                  <c:v>PRY</c:v>
                </c:pt>
                <c:pt idx="15">
                  <c:v>PAN</c:v>
                </c:pt>
                <c:pt idx="16">
                  <c:v>COL</c:v>
                </c:pt>
                <c:pt idx="17">
                  <c:v>BRA</c:v>
                </c:pt>
                <c:pt idx="18">
                  <c:v>JAM</c:v>
                </c:pt>
                <c:pt idx="19">
                  <c:v>TOT</c:v>
                </c:pt>
              </c:strCache>
            </c:strRef>
          </c:cat>
          <c:val>
            <c:numRef>
              <c:f>JSP!$B$7:$B$26</c:f>
              <c:numCache>
                <c:formatCode>0%</c:formatCode>
                <c:ptCount val="20"/>
                <c:pt idx="0">
                  <c:v>0.41095890410958902</c:v>
                </c:pt>
                <c:pt idx="1">
                  <c:v>0.61643835616438358</c:v>
                </c:pt>
                <c:pt idx="2">
                  <c:v>0.41095890410958902</c:v>
                </c:pt>
                <c:pt idx="3">
                  <c:v>0.52054794520547942</c:v>
                </c:pt>
                <c:pt idx="4">
                  <c:v>0.41095890410958902</c:v>
                </c:pt>
                <c:pt idx="5">
                  <c:v>0.41095890410958902</c:v>
                </c:pt>
                <c:pt idx="6">
                  <c:v>0.49041095890410963</c:v>
                </c:pt>
                <c:pt idx="7">
                  <c:v>0.41095890410958907</c:v>
                </c:pt>
                <c:pt idx="8">
                  <c:v>0.41095890410958907</c:v>
                </c:pt>
                <c:pt idx="9">
                  <c:v>0.41095890410958907</c:v>
                </c:pt>
                <c:pt idx="10">
                  <c:v>0.41095890410958902</c:v>
                </c:pt>
                <c:pt idx="11">
                  <c:v>0.31506849315068491</c:v>
                </c:pt>
                <c:pt idx="12">
                  <c:v>0.29041095890410962</c:v>
                </c:pt>
                <c:pt idx="13">
                  <c:v>0.35616438356164382</c:v>
                </c:pt>
                <c:pt idx="14">
                  <c:v>0.20547945205479454</c:v>
                </c:pt>
                <c:pt idx="15">
                  <c:v>0.32602739726027402</c:v>
                </c:pt>
                <c:pt idx="16">
                  <c:v>0.30136986301369867</c:v>
                </c:pt>
                <c:pt idx="17">
                  <c:v>0.15780821917808219</c:v>
                </c:pt>
                <c:pt idx="18">
                  <c:v>0.19178082191780824</c:v>
                </c:pt>
                <c:pt idx="19">
                  <c:v>0.22739726027397264</c:v>
                </c:pt>
              </c:numCache>
            </c:numRef>
          </c:val>
          <c:extLst>
            <c:ext xmlns:c16="http://schemas.microsoft.com/office/drawing/2014/chart" uri="{C3380CC4-5D6E-409C-BE32-E72D297353CC}">
              <c16:uniqueId val="{00000000-479E-4D57-9FFB-2B50BC3A775C}"/>
            </c:ext>
          </c:extLst>
        </c:ser>
        <c:ser>
          <c:idx val="1"/>
          <c:order val="1"/>
          <c:tx>
            <c:strRef>
              <c:f>JSP!$C$6</c:f>
              <c:strCache>
                <c:ptCount val="1"/>
                <c:pt idx="0">
                  <c:v>Firing notice</c:v>
                </c:pt>
              </c:strCache>
            </c:strRef>
          </c:tx>
          <c:spPr>
            <a:solidFill>
              <a:schemeClr val="accent2"/>
            </a:solidFill>
            <a:ln>
              <a:noFill/>
            </a:ln>
            <a:effectLst/>
          </c:spPr>
          <c:invertIfNegative val="0"/>
          <c:cat>
            <c:strRef>
              <c:f>JSP!$A$7:$A$26</c:f>
              <c:strCache>
                <c:ptCount val="20"/>
                <c:pt idx="0">
                  <c:v>BOL</c:v>
                </c:pt>
                <c:pt idx="1">
                  <c:v>PER</c:v>
                </c:pt>
                <c:pt idx="2">
                  <c:v>ARG</c:v>
                </c:pt>
                <c:pt idx="3">
                  <c:v>MEX</c:v>
                </c:pt>
                <c:pt idx="4">
                  <c:v>CHL</c:v>
                </c:pt>
                <c:pt idx="5">
                  <c:v>HND</c:v>
                </c:pt>
                <c:pt idx="6">
                  <c:v>URY</c:v>
                </c:pt>
                <c:pt idx="7">
                  <c:v>ECU</c:v>
                </c:pt>
                <c:pt idx="8">
                  <c:v>GTM</c:v>
                </c:pt>
                <c:pt idx="9">
                  <c:v>SLV</c:v>
                </c:pt>
                <c:pt idx="10">
                  <c:v>VEN</c:v>
                </c:pt>
                <c:pt idx="11">
                  <c:v>DOM</c:v>
                </c:pt>
                <c:pt idx="12">
                  <c:v>CRI</c:v>
                </c:pt>
                <c:pt idx="13">
                  <c:v>NIC</c:v>
                </c:pt>
                <c:pt idx="14">
                  <c:v>PRY</c:v>
                </c:pt>
                <c:pt idx="15">
                  <c:v>PAN</c:v>
                </c:pt>
                <c:pt idx="16">
                  <c:v>COL</c:v>
                </c:pt>
                <c:pt idx="17">
                  <c:v>BRA</c:v>
                </c:pt>
                <c:pt idx="18">
                  <c:v>JAM</c:v>
                </c:pt>
                <c:pt idx="19">
                  <c:v>TOT</c:v>
                </c:pt>
              </c:strCache>
            </c:strRef>
          </c:cat>
          <c:val>
            <c:numRef>
              <c:f>JSP!$C$7:$C$26</c:f>
              <c:numCache>
                <c:formatCode>0%</c:formatCode>
                <c:ptCount val="20"/>
                <c:pt idx="0">
                  <c:v>0.24657534246575344</c:v>
                </c:pt>
                <c:pt idx="1">
                  <c:v>0</c:v>
                </c:pt>
                <c:pt idx="2">
                  <c:v>0.16438356164383561</c:v>
                </c:pt>
                <c:pt idx="3">
                  <c:v>0</c:v>
                </c:pt>
                <c:pt idx="4">
                  <c:v>8.2191780821917804E-2</c:v>
                </c:pt>
                <c:pt idx="5">
                  <c:v>8.2191780821917804E-2</c:v>
                </c:pt>
                <c:pt idx="6">
                  <c:v>0</c:v>
                </c:pt>
                <c:pt idx="7">
                  <c:v>0</c:v>
                </c:pt>
                <c:pt idx="8">
                  <c:v>0</c:v>
                </c:pt>
                <c:pt idx="9">
                  <c:v>0</c:v>
                </c:pt>
                <c:pt idx="10">
                  <c:v>0</c:v>
                </c:pt>
                <c:pt idx="11">
                  <c:v>7.6712328767123278E-2</c:v>
                </c:pt>
                <c:pt idx="12">
                  <c:v>8.2191780821917804E-2</c:v>
                </c:pt>
                <c:pt idx="13">
                  <c:v>0</c:v>
                </c:pt>
                <c:pt idx="14">
                  <c:v>0.12328767123287672</c:v>
                </c:pt>
                <c:pt idx="15">
                  <c:v>0</c:v>
                </c:pt>
                <c:pt idx="16">
                  <c:v>2.0547945205479451E-2</c:v>
                </c:pt>
                <c:pt idx="17">
                  <c:v>0.11506849315068493</c:v>
                </c:pt>
                <c:pt idx="18">
                  <c:v>7.6712328767123292E-2</c:v>
                </c:pt>
              </c:numCache>
            </c:numRef>
          </c:val>
          <c:extLst>
            <c:ext xmlns:c16="http://schemas.microsoft.com/office/drawing/2014/chart" uri="{C3380CC4-5D6E-409C-BE32-E72D297353CC}">
              <c16:uniqueId val="{00000001-479E-4D57-9FFB-2B50BC3A775C}"/>
            </c:ext>
          </c:extLst>
        </c:ser>
        <c:dLbls>
          <c:showLegendKey val="0"/>
          <c:showVal val="0"/>
          <c:showCatName val="0"/>
          <c:showSerName val="0"/>
          <c:showPercent val="0"/>
          <c:showBubbleSize val="0"/>
        </c:dLbls>
        <c:gapWidth val="150"/>
        <c:overlap val="100"/>
        <c:axId val="235883520"/>
        <c:axId val="235901696"/>
      </c:barChart>
      <c:catAx>
        <c:axId val="235883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5901696"/>
        <c:crosses val="autoZero"/>
        <c:auto val="1"/>
        <c:lblAlgn val="ctr"/>
        <c:lblOffset val="100"/>
        <c:noMultiLvlLbl val="0"/>
      </c:catAx>
      <c:valAx>
        <c:axId val="235901696"/>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Job security provision as % of the average annual wage of formal workers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title>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5883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stacked"/>
        <c:varyColors val="0"/>
        <c:ser>
          <c:idx val="0"/>
          <c:order val="0"/>
          <c:tx>
            <c:strRef>
              <c:f>JSP!$E$6</c:f>
              <c:strCache>
                <c:ptCount val="1"/>
                <c:pt idx="0">
                  <c:v>Severance payment (without just cause)</c:v>
                </c:pt>
              </c:strCache>
            </c:strRef>
          </c:tx>
          <c:spPr>
            <a:solidFill>
              <a:schemeClr val="accent1"/>
            </a:solidFill>
            <a:ln>
              <a:noFill/>
            </a:ln>
            <a:effectLst/>
          </c:spPr>
          <c:invertIfNegative val="0"/>
          <c:cat>
            <c:strRef>
              <c:f>JSP!$A$7:$A$26</c:f>
              <c:strCache>
                <c:ptCount val="20"/>
                <c:pt idx="0">
                  <c:v>BOL</c:v>
                </c:pt>
                <c:pt idx="1">
                  <c:v>PER</c:v>
                </c:pt>
                <c:pt idx="2">
                  <c:v>ARG</c:v>
                </c:pt>
                <c:pt idx="3">
                  <c:v>MEX</c:v>
                </c:pt>
                <c:pt idx="4">
                  <c:v>CHL</c:v>
                </c:pt>
                <c:pt idx="5">
                  <c:v>HND</c:v>
                </c:pt>
                <c:pt idx="6">
                  <c:v>URY</c:v>
                </c:pt>
                <c:pt idx="7">
                  <c:v>ECU</c:v>
                </c:pt>
                <c:pt idx="8">
                  <c:v>GTM</c:v>
                </c:pt>
                <c:pt idx="9">
                  <c:v>SLV</c:v>
                </c:pt>
                <c:pt idx="10">
                  <c:v>VEN</c:v>
                </c:pt>
                <c:pt idx="11">
                  <c:v>DOM</c:v>
                </c:pt>
                <c:pt idx="12">
                  <c:v>CRI</c:v>
                </c:pt>
                <c:pt idx="13">
                  <c:v>NIC</c:v>
                </c:pt>
                <c:pt idx="14">
                  <c:v>PRY</c:v>
                </c:pt>
                <c:pt idx="15">
                  <c:v>PAN</c:v>
                </c:pt>
                <c:pt idx="16">
                  <c:v>COL</c:v>
                </c:pt>
                <c:pt idx="17">
                  <c:v>BRA</c:v>
                </c:pt>
                <c:pt idx="18">
                  <c:v>JAM</c:v>
                </c:pt>
                <c:pt idx="19">
                  <c:v>TOT</c:v>
                </c:pt>
              </c:strCache>
            </c:strRef>
          </c:cat>
          <c:val>
            <c:numRef>
              <c:f>JSP!$E$7:$E$26</c:f>
              <c:numCache>
                <c:formatCode>0.0%</c:formatCode>
                <c:ptCount val="20"/>
                <c:pt idx="0">
                  <c:v>8.2191780821917804E-2</c:v>
                </c:pt>
                <c:pt idx="1">
                  <c:v>0.12328767123287672</c:v>
                </c:pt>
                <c:pt idx="2">
                  <c:v>8.2191780821917804E-2</c:v>
                </c:pt>
                <c:pt idx="3">
                  <c:v>0.10410958904109588</c:v>
                </c:pt>
                <c:pt idx="4">
                  <c:v>8.2191780821917804E-2</c:v>
                </c:pt>
                <c:pt idx="5">
                  <c:v>8.2191780821917804E-2</c:v>
                </c:pt>
                <c:pt idx="6">
                  <c:v>9.808219178082192E-2</c:v>
                </c:pt>
                <c:pt idx="7">
                  <c:v>8.2191780821917818E-2</c:v>
                </c:pt>
                <c:pt idx="8">
                  <c:v>8.2191780821917818E-2</c:v>
                </c:pt>
                <c:pt idx="9">
                  <c:v>8.2191780821917818E-2</c:v>
                </c:pt>
                <c:pt idx="10">
                  <c:v>8.2191780821917804E-2</c:v>
                </c:pt>
                <c:pt idx="11">
                  <c:v>6.3013698630136977E-2</c:v>
                </c:pt>
                <c:pt idx="12">
                  <c:v>5.8082191780821926E-2</c:v>
                </c:pt>
                <c:pt idx="13">
                  <c:v>7.1232876712328766E-2</c:v>
                </c:pt>
                <c:pt idx="14">
                  <c:v>4.1095890410958909E-2</c:v>
                </c:pt>
                <c:pt idx="15">
                  <c:v>6.5205479452054807E-2</c:v>
                </c:pt>
                <c:pt idx="16">
                  <c:v>6.0273972602739735E-2</c:v>
                </c:pt>
                <c:pt idx="17">
                  <c:v>3.1561643835616437E-2</c:v>
                </c:pt>
                <c:pt idx="18">
                  <c:v>3.8356164383561646E-2</c:v>
                </c:pt>
                <c:pt idx="19">
                  <c:v>4.5479452054794527E-2</c:v>
                </c:pt>
              </c:numCache>
            </c:numRef>
          </c:val>
          <c:extLst>
            <c:ext xmlns:c16="http://schemas.microsoft.com/office/drawing/2014/chart" uri="{C3380CC4-5D6E-409C-BE32-E72D297353CC}">
              <c16:uniqueId val="{00000000-DAEF-4AB5-A464-12EDA6B2CB04}"/>
            </c:ext>
          </c:extLst>
        </c:ser>
        <c:ser>
          <c:idx val="1"/>
          <c:order val="1"/>
          <c:tx>
            <c:strRef>
              <c:f>JSP!$F$6</c:f>
              <c:strCache>
                <c:ptCount val="1"/>
                <c:pt idx="0">
                  <c:v>Firing notice</c:v>
                </c:pt>
              </c:strCache>
            </c:strRef>
          </c:tx>
          <c:spPr>
            <a:solidFill>
              <a:schemeClr val="accent2"/>
            </a:solidFill>
            <a:ln>
              <a:noFill/>
            </a:ln>
            <a:effectLst/>
          </c:spPr>
          <c:invertIfNegative val="0"/>
          <c:cat>
            <c:strRef>
              <c:f>JSP!$A$7:$A$26</c:f>
              <c:strCache>
                <c:ptCount val="20"/>
                <c:pt idx="0">
                  <c:v>BOL</c:v>
                </c:pt>
                <c:pt idx="1">
                  <c:v>PER</c:v>
                </c:pt>
                <c:pt idx="2">
                  <c:v>ARG</c:v>
                </c:pt>
                <c:pt idx="3">
                  <c:v>MEX</c:v>
                </c:pt>
                <c:pt idx="4">
                  <c:v>CHL</c:v>
                </c:pt>
                <c:pt idx="5">
                  <c:v>HND</c:v>
                </c:pt>
                <c:pt idx="6">
                  <c:v>URY</c:v>
                </c:pt>
                <c:pt idx="7">
                  <c:v>ECU</c:v>
                </c:pt>
                <c:pt idx="8">
                  <c:v>GTM</c:v>
                </c:pt>
                <c:pt idx="9">
                  <c:v>SLV</c:v>
                </c:pt>
                <c:pt idx="10">
                  <c:v>VEN</c:v>
                </c:pt>
                <c:pt idx="11">
                  <c:v>DOM</c:v>
                </c:pt>
                <c:pt idx="12">
                  <c:v>CRI</c:v>
                </c:pt>
                <c:pt idx="13">
                  <c:v>NIC</c:v>
                </c:pt>
                <c:pt idx="14">
                  <c:v>PRY</c:v>
                </c:pt>
                <c:pt idx="15">
                  <c:v>PAN</c:v>
                </c:pt>
                <c:pt idx="16">
                  <c:v>COL</c:v>
                </c:pt>
                <c:pt idx="17">
                  <c:v>BRA</c:v>
                </c:pt>
                <c:pt idx="18">
                  <c:v>JAM</c:v>
                </c:pt>
                <c:pt idx="19">
                  <c:v>TOT</c:v>
                </c:pt>
              </c:strCache>
            </c:strRef>
          </c:cat>
          <c:val>
            <c:numRef>
              <c:f>JSP!$F$7:$F$26</c:f>
              <c:numCache>
                <c:formatCode>0.0%</c:formatCode>
                <c:ptCount val="20"/>
                <c:pt idx="0">
                  <c:v>4.9315068493150691E-2</c:v>
                </c:pt>
                <c:pt idx="1">
                  <c:v>0</c:v>
                </c:pt>
                <c:pt idx="2">
                  <c:v>3.287671232876712E-2</c:v>
                </c:pt>
                <c:pt idx="3">
                  <c:v>0</c:v>
                </c:pt>
                <c:pt idx="4">
                  <c:v>1.643835616438356E-2</c:v>
                </c:pt>
                <c:pt idx="5">
                  <c:v>1.643835616438356E-2</c:v>
                </c:pt>
                <c:pt idx="6">
                  <c:v>0</c:v>
                </c:pt>
                <c:pt idx="7">
                  <c:v>0</c:v>
                </c:pt>
                <c:pt idx="8">
                  <c:v>0</c:v>
                </c:pt>
                <c:pt idx="9">
                  <c:v>0</c:v>
                </c:pt>
                <c:pt idx="10">
                  <c:v>0</c:v>
                </c:pt>
                <c:pt idx="11">
                  <c:v>1.5342465753424656E-2</c:v>
                </c:pt>
                <c:pt idx="12">
                  <c:v>1.643835616438356E-2</c:v>
                </c:pt>
                <c:pt idx="13">
                  <c:v>0</c:v>
                </c:pt>
                <c:pt idx="14">
                  <c:v>2.4657534246575345E-2</c:v>
                </c:pt>
                <c:pt idx="15">
                  <c:v>0</c:v>
                </c:pt>
                <c:pt idx="16">
                  <c:v>4.10958904109589E-3</c:v>
                </c:pt>
                <c:pt idx="17">
                  <c:v>2.3013698630136987E-2</c:v>
                </c:pt>
                <c:pt idx="18">
                  <c:v>1.5342465753424659E-2</c:v>
                </c:pt>
                <c:pt idx="19">
                  <c:v>0</c:v>
                </c:pt>
              </c:numCache>
            </c:numRef>
          </c:val>
          <c:extLst>
            <c:ext xmlns:c16="http://schemas.microsoft.com/office/drawing/2014/chart" uri="{C3380CC4-5D6E-409C-BE32-E72D297353CC}">
              <c16:uniqueId val="{00000001-DAEF-4AB5-A464-12EDA6B2CB04}"/>
            </c:ext>
          </c:extLst>
        </c:ser>
        <c:dLbls>
          <c:showLegendKey val="0"/>
          <c:showVal val="0"/>
          <c:showCatName val="0"/>
          <c:showSerName val="0"/>
          <c:showPercent val="0"/>
          <c:showBubbleSize val="0"/>
        </c:dLbls>
        <c:gapWidth val="150"/>
        <c:overlap val="100"/>
        <c:axId val="235927424"/>
        <c:axId val="235928960"/>
      </c:barChart>
      <c:catAx>
        <c:axId val="23592742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5928960"/>
        <c:crosses val="autoZero"/>
        <c:auto val="1"/>
        <c:lblAlgn val="ctr"/>
        <c:lblOffset val="100"/>
        <c:noMultiLvlLbl val="0"/>
      </c:catAx>
      <c:valAx>
        <c:axId val="235928960"/>
        <c:scaling>
          <c:orientation val="minMax"/>
        </c:scaling>
        <c:delete val="0"/>
        <c:axPos val="l"/>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r>
                  <a:rPr lang="en-US"/>
                  <a:t>Job security provision as % of the average annual wage of formal workers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title>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crossAx val="235927424"/>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Times New Roman" panose="02020603050405020304" pitchFamily="18" charset="0"/>
              <a:ea typeface="+mn-ea"/>
              <a:cs typeface="Times New Roman" panose="02020603050405020304" pitchFamily="18" charset="0"/>
            </a:defRPr>
          </a:pPr>
          <a:endParaRPr lang="es-DO"/>
        </a:p>
      </c:txPr>
    </c:legend>
    <c:plotVisOnly val="1"/>
    <c:dispBlanksAs val="gap"/>
    <c:showDLblsOverMax val="0"/>
  </c:chart>
  <c:spPr>
    <a:solidFill>
      <a:schemeClr val="bg1"/>
    </a:solidFill>
    <a:ln w="9525" cap="flat" cmpd="sng" algn="ctr">
      <a:noFill/>
      <a:round/>
    </a:ln>
    <a:effectLst/>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tx>
            <c:strRef>
              <c:f>Sheet3!$B$50</c:f>
              <c:strCache>
                <c:ptCount val="1"/>
                <c:pt idx="0">
                  <c:v>Mandatory contributions</c:v>
                </c:pt>
              </c:strCache>
            </c:strRef>
          </c:tx>
          <c:invertIfNegative val="0"/>
          <c:cat>
            <c:strRef>
              <c:f>Sheet3!$A$51:$A$70</c:f>
              <c:strCache>
                <c:ptCount val="20"/>
                <c:pt idx="0">
                  <c:v>ARG</c:v>
                </c:pt>
                <c:pt idx="1">
                  <c:v>BRA</c:v>
                </c:pt>
                <c:pt idx="2">
                  <c:v>PER</c:v>
                </c:pt>
                <c:pt idx="3">
                  <c:v>URY</c:v>
                </c:pt>
                <c:pt idx="4">
                  <c:v>BOL</c:v>
                </c:pt>
                <c:pt idx="5">
                  <c:v>MEX</c:v>
                </c:pt>
                <c:pt idx="6">
                  <c:v>CRI</c:v>
                </c:pt>
                <c:pt idx="7">
                  <c:v>COL</c:v>
                </c:pt>
                <c:pt idx="8">
                  <c:v>ECU</c:v>
                </c:pt>
                <c:pt idx="9">
                  <c:v>PAN</c:v>
                </c:pt>
                <c:pt idx="10">
                  <c:v>NIC</c:v>
                </c:pt>
                <c:pt idx="11">
                  <c:v>GTM</c:v>
                </c:pt>
                <c:pt idx="12">
                  <c:v>DOM</c:v>
                </c:pt>
                <c:pt idx="13">
                  <c:v>PRY</c:v>
                </c:pt>
                <c:pt idx="14">
                  <c:v>SLV</c:v>
                </c:pt>
                <c:pt idx="15">
                  <c:v>VEN</c:v>
                </c:pt>
                <c:pt idx="16">
                  <c:v>HND</c:v>
                </c:pt>
                <c:pt idx="17">
                  <c:v>CHL</c:v>
                </c:pt>
                <c:pt idx="18">
                  <c:v>JAM</c:v>
                </c:pt>
                <c:pt idx="19">
                  <c:v>TOT</c:v>
                </c:pt>
              </c:strCache>
            </c:strRef>
          </c:cat>
          <c:val>
            <c:numRef>
              <c:f>Sheet3!$B$51:$B$70</c:f>
              <c:numCache>
                <c:formatCode>0%</c:formatCode>
                <c:ptCount val="20"/>
                <c:pt idx="0">
                  <c:v>0.4815753424657534</c:v>
                </c:pt>
                <c:pt idx="1">
                  <c:v>0.4566849315068493</c:v>
                </c:pt>
                <c:pt idx="2">
                  <c:v>0.30963333333333332</c:v>
                </c:pt>
                <c:pt idx="3">
                  <c:v>0.39149999999999996</c:v>
                </c:pt>
                <c:pt idx="4">
                  <c:v>0.24419999999999997</c:v>
                </c:pt>
                <c:pt idx="5">
                  <c:v>0.40186027397260277</c:v>
                </c:pt>
                <c:pt idx="6">
                  <c:v>0.3857465753424657</c:v>
                </c:pt>
                <c:pt idx="7">
                  <c:v>0.34297260273972602</c:v>
                </c:pt>
                <c:pt idx="8">
                  <c:v>0.23918778538812785</c:v>
                </c:pt>
                <c:pt idx="9">
                  <c:v>0.28354931506849318</c:v>
                </c:pt>
                <c:pt idx="10">
                  <c:v>0.24414383561643832</c:v>
                </c:pt>
                <c:pt idx="11">
                  <c:v>0.17500000000000004</c:v>
                </c:pt>
                <c:pt idx="12">
                  <c:v>0.24186986301369864</c:v>
                </c:pt>
                <c:pt idx="13">
                  <c:v>0.25972602739726025</c:v>
                </c:pt>
                <c:pt idx="14">
                  <c:v>0.245</c:v>
                </c:pt>
                <c:pt idx="15">
                  <c:v>0.21981632226082301</c:v>
                </c:pt>
                <c:pt idx="16">
                  <c:v>7.5000000000000011E-2</c:v>
                </c:pt>
                <c:pt idx="17">
                  <c:v>0.2369</c:v>
                </c:pt>
                <c:pt idx="18">
                  <c:v>0.18618750000000001</c:v>
                </c:pt>
                <c:pt idx="19">
                  <c:v>0.13469979276954958</c:v>
                </c:pt>
              </c:numCache>
            </c:numRef>
          </c:val>
          <c:extLst>
            <c:ext xmlns:c16="http://schemas.microsoft.com/office/drawing/2014/chart" uri="{C3380CC4-5D6E-409C-BE32-E72D297353CC}">
              <c16:uniqueId val="{00000000-A68D-402B-B231-F43E691FA5D9}"/>
            </c:ext>
          </c:extLst>
        </c:ser>
        <c:ser>
          <c:idx val="1"/>
          <c:order val="1"/>
          <c:tx>
            <c:strRef>
              <c:f>Sheet3!$C$50</c:f>
              <c:strCache>
                <c:ptCount val="1"/>
                <c:pt idx="0">
                  <c:v>Bonus</c:v>
                </c:pt>
              </c:strCache>
            </c:strRef>
          </c:tx>
          <c:invertIfNegative val="0"/>
          <c:cat>
            <c:strRef>
              <c:f>Sheet3!$A$51:$A$70</c:f>
              <c:strCache>
                <c:ptCount val="20"/>
                <c:pt idx="0">
                  <c:v>ARG</c:v>
                </c:pt>
                <c:pt idx="1">
                  <c:v>BRA</c:v>
                </c:pt>
                <c:pt idx="2">
                  <c:v>PER</c:v>
                </c:pt>
                <c:pt idx="3">
                  <c:v>URY</c:v>
                </c:pt>
                <c:pt idx="4">
                  <c:v>BOL</c:v>
                </c:pt>
                <c:pt idx="5">
                  <c:v>MEX</c:v>
                </c:pt>
                <c:pt idx="6">
                  <c:v>CRI</c:v>
                </c:pt>
                <c:pt idx="7">
                  <c:v>COL</c:v>
                </c:pt>
                <c:pt idx="8">
                  <c:v>ECU</c:v>
                </c:pt>
                <c:pt idx="9">
                  <c:v>PAN</c:v>
                </c:pt>
                <c:pt idx="10">
                  <c:v>NIC</c:v>
                </c:pt>
                <c:pt idx="11">
                  <c:v>GTM</c:v>
                </c:pt>
                <c:pt idx="12">
                  <c:v>DOM</c:v>
                </c:pt>
                <c:pt idx="13">
                  <c:v>PRY</c:v>
                </c:pt>
                <c:pt idx="14">
                  <c:v>SLV</c:v>
                </c:pt>
                <c:pt idx="15">
                  <c:v>VEN</c:v>
                </c:pt>
                <c:pt idx="16">
                  <c:v>HND</c:v>
                </c:pt>
                <c:pt idx="17">
                  <c:v>CHL</c:v>
                </c:pt>
                <c:pt idx="18">
                  <c:v>JAM</c:v>
                </c:pt>
                <c:pt idx="19">
                  <c:v>TOT</c:v>
                </c:pt>
              </c:strCache>
            </c:strRef>
          </c:cat>
          <c:val>
            <c:numRef>
              <c:f>Sheet3!$C$51:$C$70</c:f>
              <c:numCache>
                <c:formatCode>0%</c:formatCode>
                <c:ptCount val="20"/>
                <c:pt idx="0">
                  <c:v>8.2191780821917804E-2</c:v>
                </c:pt>
                <c:pt idx="1">
                  <c:v>8.2191780821917818E-2</c:v>
                </c:pt>
                <c:pt idx="2">
                  <c:v>0.16438356164383561</c:v>
                </c:pt>
                <c:pt idx="3">
                  <c:v>8.2191780821917804E-2</c:v>
                </c:pt>
                <c:pt idx="4">
                  <c:v>0.16438356164383561</c:v>
                </c:pt>
                <c:pt idx="5">
                  <c:v>4.1095890410958902E-2</c:v>
                </c:pt>
                <c:pt idx="6">
                  <c:v>8.2191780821917804E-2</c:v>
                </c:pt>
                <c:pt idx="7">
                  <c:v>8.2191780821917804E-2</c:v>
                </c:pt>
                <c:pt idx="8">
                  <c:v>0.16552511415525112</c:v>
                </c:pt>
                <c:pt idx="9">
                  <c:v>8.2191780821917804E-2</c:v>
                </c:pt>
                <c:pt idx="10">
                  <c:v>8.2191780821917818E-2</c:v>
                </c:pt>
                <c:pt idx="11">
                  <c:v>0.16438356164383561</c:v>
                </c:pt>
                <c:pt idx="12">
                  <c:v>8.2191780821917804E-2</c:v>
                </c:pt>
                <c:pt idx="13">
                  <c:v>8.2191780821917804E-2</c:v>
                </c:pt>
                <c:pt idx="14">
                  <c:v>4.1095890410958902E-2</c:v>
                </c:pt>
                <c:pt idx="15">
                  <c:v>6.27253064167268E-2</c:v>
                </c:pt>
                <c:pt idx="16">
                  <c:v>0.16438356164383561</c:v>
                </c:pt>
                <c:pt idx="17">
                  <c:v>0</c:v>
                </c:pt>
                <c:pt idx="18">
                  <c:v>0</c:v>
                </c:pt>
                <c:pt idx="19">
                  <c:v>0</c:v>
                </c:pt>
              </c:numCache>
            </c:numRef>
          </c:val>
          <c:extLst>
            <c:ext xmlns:c16="http://schemas.microsoft.com/office/drawing/2014/chart" uri="{C3380CC4-5D6E-409C-BE32-E72D297353CC}">
              <c16:uniqueId val="{00000001-A68D-402B-B231-F43E691FA5D9}"/>
            </c:ext>
          </c:extLst>
        </c:ser>
        <c:ser>
          <c:idx val="2"/>
          <c:order val="2"/>
          <c:tx>
            <c:strRef>
              <c:f>Sheet3!$D$50</c:f>
              <c:strCache>
                <c:ptCount val="1"/>
                <c:pt idx="0">
                  <c:v>Annual leave</c:v>
                </c:pt>
              </c:strCache>
            </c:strRef>
          </c:tx>
          <c:invertIfNegative val="0"/>
          <c:cat>
            <c:strRef>
              <c:f>Sheet3!$A$51:$A$70</c:f>
              <c:strCache>
                <c:ptCount val="20"/>
                <c:pt idx="0">
                  <c:v>ARG</c:v>
                </c:pt>
                <c:pt idx="1">
                  <c:v>BRA</c:v>
                </c:pt>
                <c:pt idx="2">
                  <c:v>PER</c:v>
                </c:pt>
                <c:pt idx="3">
                  <c:v>URY</c:v>
                </c:pt>
                <c:pt idx="4">
                  <c:v>BOL</c:v>
                </c:pt>
                <c:pt idx="5">
                  <c:v>MEX</c:v>
                </c:pt>
                <c:pt idx="6">
                  <c:v>CRI</c:v>
                </c:pt>
                <c:pt idx="7">
                  <c:v>COL</c:v>
                </c:pt>
                <c:pt idx="8">
                  <c:v>ECU</c:v>
                </c:pt>
                <c:pt idx="9">
                  <c:v>PAN</c:v>
                </c:pt>
                <c:pt idx="10">
                  <c:v>NIC</c:v>
                </c:pt>
                <c:pt idx="11">
                  <c:v>GTM</c:v>
                </c:pt>
                <c:pt idx="12">
                  <c:v>DOM</c:v>
                </c:pt>
                <c:pt idx="13">
                  <c:v>PRY</c:v>
                </c:pt>
                <c:pt idx="14">
                  <c:v>SLV</c:v>
                </c:pt>
                <c:pt idx="15">
                  <c:v>VEN</c:v>
                </c:pt>
                <c:pt idx="16">
                  <c:v>HND</c:v>
                </c:pt>
                <c:pt idx="17">
                  <c:v>CHL</c:v>
                </c:pt>
                <c:pt idx="18">
                  <c:v>JAM</c:v>
                </c:pt>
                <c:pt idx="19">
                  <c:v>TOT</c:v>
                </c:pt>
              </c:strCache>
            </c:strRef>
          </c:cat>
          <c:val>
            <c:numRef>
              <c:f>Sheet3!$D$51:$D$70</c:f>
              <c:numCache>
                <c:formatCode>0%</c:formatCode>
                <c:ptCount val="20"/>
                <c:pt idx="0">
                  <c:v>3.8356164383561639E-2</c:v>
                </c:pt>
                <c:pt idx="1">
                  <c:v>0.10958904109589043</c:v>
                </c:pt>
                <c:pt idx="2">
                  <c:v>8.2191780821917804E-2</c:v>
                </c:pt>
                <c:pt idx="3">
                  <c:v>5.7534246575342465E-2</c:v>
                </c:pt>
                <c:pt idx="4">
                  <c:v>5.4794520547945209E-2</c:v>
                </c:pt>
                <c:pt idx="5">
                  <c:v>3.8356164383561639E-2</c:v>
                </c:pt>
                <c:pt idx="6">
                  <c:v>3.8356164383561646E-2</c:v>
                </c:pt>
                <c:pt idx="7">
                  <c:v>4.1095890410958902E-2</c:v>
                </c:pt>
                <c:pt idx="8">
                  <c:v>4.1095890410958909E-2</c:v>
                </c:pt>
                <c:pt idx="9">
                  <c:v>8.2191780821917804E-2</c:v>
                </c:pt>
                <c:pt idx="10">
                  <c:v>8.2191780821917818E-2</c:v>
                </c:pt>
                <c:pt idx="11">
                  <c:v>4.1095890410958902E-2</c:v>
                </c:pt>
                <c:pt idx="12">
                  <c:v>4.9315068493150684E-2</c:v>
                </c:pt>
                <c:pt idx="13">
                  <c:v>3.2876712328767127E-2</c:v>
                </c:pt>
                <c:pt idx="14">
                  <c:v>6.575342465753424E-2</c:v>
                </c:pt>
                <c:pt idx="15">
                  <c:v>5.5948089401586097E-2</c:v>
                </c:pt>
                <c:pt idx="16">
                  <c:v>5.4794520547945202E-2</c:v>
                </c:pt>
                <c:pt idx="17">
                  <c:v>4.1095890410958909E-2</c:v>
                </c:pt>
                <c:pt idx="18">
                  <c:v>3.8356164383561646E-2</c:v>
                </c:pt>
                <c:pt idx="19">
                  <c:v>3.8356164383561646E-2</c:v>
                </c:pt>
              </c:numCache>
            </c:numRef>
          </c:val>
          <c:extLst>
            <c:ext xmlns:c16="http://schemas.microsoft.com/office/drawing/2014/chart" uri="{C3380CC4-5D6E-409C-BE32-E72D297353CC}">
              <c16:uniqueId val="{00000002-A68D-402B-B231-F43E691FA5D9}"/>
            </c:ext>
          </c:extLst>
        </c:ser>
        <c:ser>
          <c:idx val="3"/>
          <c:order val="3"/>
          <c:tx>
            <c:strRef>
              <c:f>Sheet3!$E$50</c:f>
              <c:strCache>
                <c:ptCount val="1"/>
                <c:pt idx="0">
                  <c:v>Severance payment (flow)</c:v>
                </c:pt>
              </c:strCache>
            </c:strRef>
          </c:tx>
          <c:invertIfNegative val="0"/>
          <c:cat>
            <c:strRef>
              <c:f>Sheet3!$A$51:$A$70</c:f>
              <c:strCache>
                <c:ptCount val="20"/>
                <c:pt idx="0">
                  <c:v>ARG</c:v>
                </c:pt>
                <c:pt idx="1">
                  <c:v>BRA</c:v>
                </c:pt>
                <c:pt idx="2">
                  <c:v>PER</c:v>
                </c:pt>
                <c:pt idx="3">
                  <c:v>URY</c:v>
                </c:pt>
                <c:pt idx="4">
                  <c:v>BOL</c:v>
                </c:pt>
                <c:pt idx="5">
                  <c:v>MEX</c:v>
                </c:pt>
                <c:pt idx="6">
                  <c:v>CRI</c:v>
                </c:pt>
                <c:pt idx="7">
                  <c:v>COL</c:v>
                </c:pt>
                <c:pt idx="8">
                  <c:v>ECU</c:v>
                </c:pt>
                <c:pt idx="9">
                  <c:v>PAN</c:v>
                </c:pt>
                <c:pt idx="10">
                  <c:v>NIC</c:v>
                </c:pt>
                <c:pt idx="11">
                  <c:v>GTM</c:v>
                </c:pt>
                <c:pt idx="12">
                  <c:v>DOM</c:v>
                </c:pt>
                <c:pt idx="13">
                  <c:v>PRY</c:v>
                </c:pt>
                <c:pt idx="14">
                  <c:v>SLV</c:v>
                </c:pt>
                <c:pt idx="15">
                  <c:v>VEN</c:v>
                </c:pt>
                <c:pt idx="16">
                  <c:v>HND</c:v>
                </c:pt>
                <c:pt idx="17">
                  <c:v>CHL</c:v>
                </c:pt>
                <c:pt idx="18">
                  <c:v>JAM</c:v>
                </c:pt>
                <c:pt idx="19">
                  <c:v>TOT</c:v>
                </c:pt>
              </c:strCache>
            </c:strRef>
          </c:cat>
          <c:val>
            <c:numRef>
              <c:f>Sheet3!$E$51:$E$70</c:f>
              <c:numCache>
                <c:formatCode>0%</c:formatCode>
                <c:ptCount val="20"/>
                <c:pt idx="0">
                  <c:v>8.2191780821917804E-2</c:v>
                </c:pt>
                <c:pt idx="1">
                  <c:v>3.1561643835616444E-2</c:v>
                </c:pt>
                <c:pt idx="2">
                  <c:v>0.12328767123287672</c:v>
                </c:pt>
                <c:pt idx="3">
                  <c:v>9.808219178082192E-2</c:v>
                </c:pt>
                <c:pt idx="4">
                  <c:v>8.2191780821917804E-2</c:v>
                </c:pt>
                <c:pt idx="5">
                  <c:v>0.10410958904109588</c:v>
                </c:pt>
                <c:pt idx="6">
                  <c:v>5.8082191780821926E-2</c:v>
                </c:pt>
                <c:pt idx="7">
                  <c:v>6.0273972602739721E-2</c:v>
                </c:pt>
                <c:pt idx="8">
                  <c:v>8.2191780821917804E-2</c:v>
                </c:pt>
                <c:pt idx="9">
                  <c:v>6.5205479452054793E-2</c:v>
                </c:pt>
                <c:pt idx="10">
                  <c:v>7.1232876712328766E-2</c:v>
                </c:pt>
                <c:pt idx="11">
                  <c:v>8.2191780821917818E-2</c:v>
                </c:pt>
                <c:pt idx="12">
                  <c:v>6.3013698630136977E-2</c:v>
                </c:pt>
                <c:pt idx="13">
                  <c:v>4.1095890410958902E-2</c:v>
                </c:pt>
                <c:pt idx="14">
                  <c:v>8.2191780821917804E-2</c:v>
                </c:pt>
                <c:pt idx="15">
                  <c:v>7.4776255707762598E-2</c:v>
                </c:pt>
                <c:pt idx="16">
                  <c:v>8.2191780821917818E-2</c:v>
                </c:pt>
                <c:pt idx="17">
                  <c:v>8.2191780821917804E-2</c:v>
                </c:pt>
                <c:pt idx="18">
                  <c:v>3.8356164383561639E-2</c:v>
                </c:pt>
                <c:pt idx="19">
                  <c:v>4.547945205479452E-2</c:v>
                </c:pt>
              </c:numCache>
            </c:numRef>
          </c:val>
          <c:extLst>
            <c:ext xmlns:c16="http://schemas.microsoft.com/office/drawing/2014/chart" uri="{C3380CC4-5D6E-409C-BE32-E72D297353CC}">
              <c16:uniqueId val="{00000003-A68D-402B-B231-F43E691FA5D9}"/>
            </c:ext>
          </c:extLst>
        </c:ser>
        <c:ser>
          <c:idx val="4"/>
          <c:order val="4"/>
          <c:tx>
            <c:strRef>
              <c:f>Sheet3!$F$50</c:f>
              <c:strCache>
                <c:ptCount val="1"/>
                <c:pt idx="0">
                  <c:v>Firing notice (flow)</c:v>
                </c:pt>
              </c:strCache>
            </c:strRef>
          </c:tx>
          <c:invertIfNegative val="0"/>
          <c:cat>
            <c:strRef>
              <c:f>Sheet3!$A$51:$A$70</c:f>
              <c:strCache>
                <c:ptCount val="20"/>
                <c:pt idx="0">
                  <c:v>ARG</c:v>
                </c:pt>
                <c:pt idx="1">
                  <c:v>BRA</c:v>
                </c:pt>
                <c:pt idx="2">
                  <c:v>PER</c:v>
                </c:pt>
                <c:pt idx="3">
                  <c:v>URY</c:v>
                </c:pt>
                <c:pt idx="4">
                  <c:v>BOL</c:v>
                </c:pt>
                <c:pt idx="5">
                  <c:v>MEX</c:v>
                </c:pt>
                <c:pt idx="6">
                  <c:v>CRI</c:v>
                </c:pt>
                <c:pt idx="7">
                  <c:v>COL</c:v>
                </c:pt>
                <c:pt idx="8">
                  <c:v>ECU</c:v>
                </c:pt>
                <c:pt idx="9">
                  <c:v>PAN</c:v>
                </c:pt>
                <c:pt idx="10">
                  <c:v>NIC</c:v>
                </c:pt>
                <c:pt idx="11">
                  <c:v>GTM</c:v>
                </c:pt>
                <c:pt idx="12">
                  <c:v>DOM</c:v>
                </c:pt>
                <c:pt idx="13">
                  <c:v>PRY</c:v>
                </c:pt>
                <c:pt idx="14">
                  <c:v>SLV</c:v>
                </c:pt>
                <c:pt idx="15">
                  <c:v>VEN</c:v>
                </c:pt>
                <c:pt idx="16">
                  <c:v>HND</c:v>
                </c:pt>
                <c:pt idx="17">
                  <c:v>CHL</c:v>
                </c:pt>
                <c:pt idx="18">
                  <c:v>JAM</c:v>
                </c:pt>
                <c:pt idx="19">
                  <c:v>TOT</c:v>
                </c:pt>
              </c:strCache>
            </c:strRef>
          </c:cat>
          <c:val>
            <c:numRef>
              <c:f>Sheet3!$F$51:$F$70</c:f>
              <c:numCache>
                <c:formatCode>0%</c:formatCode>
                <c:ptCount val="20"/>
                <c:pt idx="0">
                  <c:v>3.287671232876712E-2</c:v>
                </c:pt>
                <c:pt idx="1">
                  <c:v>2.301369863013699E-2</c:v>
                </c:pt>
                <c:pt idx="2">
                  <c:v>0</c:v>
                </c:pt>
                <c:pt idx="3">
                  <c:v>0</c:v>
                </c:pt>
                <c:pt idx="4">
                  <c:v>4.9315068493150691E-2</c:v>
                </c:pt>
                <c:pt idx="5">
                  <c:v>0</c:v>
                </c:pt>
                <c:pt idx="6">
                  <c:v>1.643835616438356E-2</c:v>
                </c:pt>
                <c:pt idx="7">
                  <c:v>4.10958904109589E-3</c:v>
                </c:pt>
                <c:pt idx="8">
                  <c:v>0</c:v>
                </c:pt>
                <c:pt idx="9">
                  <c:v>0</c:v>
                </c:pt>
                <c:pt idx="10">
                  <c:v>0</c:v>
                </c:pt>
                <c:pt idx="11">
                  <c:v>0</c:v>
                </c:pt>
                <c:pt idx="12">
                  <c:v>1.5342465753424659E-2</c:v>
                </c:pt>
                <c:pt idx="13">
                  <c:v>2.4657534246575345E-2</c:v>
                </c:pt>
                <c:pt idx="14">
                  <c:v>0</c:v>
                </c:pt>
                <c:pt idx="15">
                  <c:v>-3.1627012737322499E-3</c:v>
                </c:pt>
                <c:pt idx="16">
                  <c:v>1.643835616438356E-2</c:v>
                </c:pt>
                <c:pt idx="17">
                  <c:v>1.6438356164383564E-2</c:v>
                </c:pt>
                <c:pt idx="18">
                  <c:v>1.5342465753424659E-2</c:v>
                </c:pt>
                <c:pt idx="19">
                  <c:v>0</c:v>
                </c:pt>
              </c:numCache>
            </c:numRef>
          </c:val>
          <c:extLst>
            <c:ext xmlns:c16="http://schemas.microsoft.com/office/drawing/2014/chart" uri="{C3380CC4-5D6E-409C-BE32-E72D297353CC}">
              <c16:uniqueId val="{00000004-A68D-402B-B231-F43E691FA5D9}"/>
            </c:ext>
          </c:extLst>
        </c:ser>
        <c:dLbls>
          <c:showLegendKey val="0"/>
          <c:showVal val="0"/>
          <c:showCatName val="0"/>
          <c:showSerName val="0"/>
          <c:showPercent val="0"/>
          <c:showBubbleSize val="0"/>
        </c:dLbls>
        <c:gapWidth val="150"/>
        <c:overlap val="100"/>
        <c:axId val="231826944"/>
        <c:axId val="231828480"/>
      </c:barChart>
      <c:catAx>
        <c:axId val="231826944"/>
        <c:scaling>
          <c:orientation val="minMax"/>
        </c:scaling>
        <c:delete val="0"/>
        <c:axPos val="b"/>
        <c:numFmt formatCode="General" sourceLinked="0"/>
        <c:majorTickMark val="out"/>
        <c:minorTickMark val="none"/>
        <c:tickLblPos val="nextTo"/>
        <c:crossAx val="231828480"/>
        <c:crosses val="autoZero"/>
        <c:auto val="1"/>
        <c:lblAlgn val="ctr"/>
        <c:lblOffset val="100"/>
        <c:noMultiLvlLbl val="0"/>
      </c:catAx>
      <c:valAx>
        <c:axId val="231828480"/>
        <c:scaling>
          <c:orientation val="minMax"/>
        </c:scaling>
        <c:delete val="0"/>
        <c:axPos val="l"/>
        <c:numFmt formatCode="0%" sourceLinked="1"/>
        <c:majorTickMark val="out"/>
        <c:minorTickMark val="none"/>
        <c:tickLblPos val="nextTo"/>
        <c:crossAx val="231826944"/>
        <c:crosses val="autoZero"/>
        <c:crossBetween val="between"/>
      </c:valAx>
    </c:plotArea>
    <c:legend>
      <c:legendPos val="b"/>
      <c:overlay val="0"/>
    </c:legend>
    <c:plotVisOnly val="1"/>
    <c:dispBlanksAs val="gap"/>
    <c:showDLblsOverMax val="0"/>
  </c:chart>
  <c:spPr>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5876725086784"/>
          <c:y val="3.9157053042788256E-2"/>
          <c:w val="0.56455727711455428"/>
          <c:h val="0.84711963618182584"/>
        </c:manualLayout>
      </c:layout>
      <c:barChart>
        <c:barDir val="col"/>
        <c:grouping val="stacked"/>
        <c:varyColors val="0"/>
        <c:ser>
          <c:idx val="0"/>
          <c:order val="0"/>
          <c:tx>
            <c:strRef>
              <c:f>Figure1a_1b_1c!$A$27</c:f>
              <c:strCache>
                <c:ptCount val="1"/>
                <c:pt idx="0">
                  <c:v>Minimum wage</c:v>
                </c:pt>
              </c:strCache>
            </c:strRef>
          </c:tx>
          <c:spPr>
            <a:solidFill>
              <a:schemeClr val="tx2">
                <a:lumMod val="75000"/>
              </a:schemeClr>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Figure1a_1b_1c!$B$26:$D$26</c:f>
              <c:strCache>
                <c:ptCount val="3"/>
                <c:pt idx="0">
                  <c:v>2013</c:v>
                </c:pt>
                <c:pt idx="1">
                  <c:v>2023</c:v>
                </c:pt>
                <c:pt idx="2">
                  <c:v>2025 (Projected)</c:v>
                </c:pt>
              </c:strCache>
            </c:strRef>
          </c:cat>
          <c:val>
            <c:numRef>
              <c:f>Figure1a_1b_1c!$B$27:$D$27</c:f>
              <c:numCache>
                <c:formatCode>0.00%</c:formatCode>
                <c:ptCount val="3"/>
                <c:pt idx="0">
                  <c:v>0.25373341501477159</c:v>
                </c:pt>
                <c:pt idx="1">
                  <c:v>0.28636553579646828</c:v>
                </c:pt>
                <c:pt idx="2">
                  <c:v>0.30439590606112116</c:v>
                </c:pt>
              </c:numCache>
            </c:numRef>
          </c:val>
          <c:extLst>
            <c:ext xmlns:c16="http://schemas.microsoft.com/office/drawing/2014/chart" uri="{C3380CC4-5D6E-409C-BE32-E72D297353CC}">
              <c16:uniqueId val="{00000000-60FB-4CA5-9663-CFE126ED20D3}"/>
            </c:ext>
          </c:extLst>
        </c:ser>
        <c:ser>
          <c:idx val="1"/>
          <c:order val="1"/>
          <c:tx>
            <c:strRef>
              <c:f>Figure1a_1b_1c!$A$28</c:f>
              <c:strCache>
                <c:ptCount val="1"/>
                <c:pt idx="0">
                  <c:v>Bonuses</c:v>
                </c:pt>
              </c:strCache>
            </c:strRef>
          </c:tx>
          <c:spPr>
            <a:solidFill>
              <a:schemeClr val="accent5">
                <a:lumMod val="75000"/>
              </a:schemeClr>
            </a:solidFill>
          </c:spPr>
          <c:invertIfNegative val="0"/>
          <c:cat>
            <c:strRef>
              <c:f>Figure1a_1b_1c!$B$26:$D$26</c:f>
              <c:strCache>
                <c:ptCount val="3"/>
                <c:pt idx="0">
                  <c:v>2013</c:v>
                </c:pt>
                <c:pt idx="1">
                  <c:v>2023</c:v>
                </c:pt>
                <c:pt idx="2">
                  <c:v>2025 (Projected)</c:v>
                </c:pt>
              </c:strCache>
            </c:strRef>
          </c:cat>
          <c:val>
            <c:numRef>
              <c:f>Figure1a_1b_1c!$B$28:$D$28</c:f>
              <c:numCache>
                <c:formatCode>0.00%</c:formatCode>
                <c:ptCount val="3"/>
                <c:pt idx="0">
                  <c:v>2.8576493211027038E-2</c:v>
                </c:pt>
                <c:pt idx="1">
                  <c:v>3.0230137000569104E-2</c:v>
                </c:pt>
                <c:pt idx="2">
                  <c:v>3.1548840250996996E-2</c:v>
                </c:pt>
              </c:numCache>
            </c:numRef>
          </c:val>
          <c:extLst>
            <c:ext xmlns:c16="http://schemas.microsoft.com/office/drawing/2014/chart" uri="{C3380CC4-5D6E-409C-BE32-E72D297353CC}">
              <c16:uniqueId val="{00000001-60FB-4CA5-9663-CFE126ED20D3}"/>
            </c:ext>
          </c:extLst>
        </c:ser>
        <c:ser>
          <c:idx val="2"/>
          <c:order val="2"/>
          <c:tx>
            <c:strRef>
              <c:f>Figure1a_1b_1c!$A$29</c:f>
              <c:strCache>
                <c:ptCount val="1"/>
                <c:pt idx="0">
                  <c:v>Paid leave</c:v>
                </c:pt>
              </c:strCache>
            </c:strRef>
          </c:tx>
          <c:spPr>
            <a:solidFill>
              <a:schemeClr val="tx2">
                <a:lumMod val="40000"/>
                <a:lumOff val="60000"/>
              </a:schemeClr>
            </a:solidFill>
          </c:spPr>
          <c:invertIfNegative val="0"/>
          <c:cat>
            <c:strRef>
              <c:f>Figure1a_1b_1c!$B$26:$D$26</c:f>
              <c:strCache>
                <c:ptCount val="3"/>
                <c:pt idx="0">
                  <c:v>2013</c:v>
                </c:pt>
                <c:pt idx="1">
                  <c:v>2023</c:v>
                </c:pt>
                <c:pt idx="2">
                  <c:v>2025 (Projected)</c:v>
                </c:pt>
              </c:strCache>
            </c:strRef>
          </c:cat>
          <c:val>
            <c:numRef>
              <c:f>Figure1a_1b_1c!$B$29:$D$29</c:f>
              <c:numCache>
                <c:formatCode>0.00%</c:formatCode>
                <c:ptCount val="3"/>
                <c:pt idx="0">
                  <c:v>1.2861392295970589E-2</c:v>
                </c:pt>
                <c:pt idx="1">
                  <c:v>1.4576832815799322E-2</c:v>
                </c:pt>
                <c:pt idx="2">
                  <c:v>1.5517035478423008E-2</c:v>
                </c:pt>
              </c:numCache>
            </c:numRef>
          </c:val>
          <c:extLst>
            <c:ext xmlns:c16="http://schemas.microsoft.com/office/drawing/2014/chart" uri="{C3380CC4-5D6E-409C-BE32-E72D297353CC}">
              <c16:uniqueId val="{00000002-60FB-4CA5-9663-CFE126ED20D3}"/>
            </c:ext>
          </c:extLst>
        </c:ser>
        <c:ser>
          <c:idx val="3"/>
          <c:order val="3"/>
          <c:tx>
            <c:strRef>
              <c:f>Figure1a_1b_1c!$A$30</c:f>
              <c:strCache>
                <c:ptCount val="1"/>
                <c:pt idx="0">
                  <c:v>Mandatory social security contributions</c:v>
                </c:pt>
              </c:strCache>
            </c:strRef>
          </c:tx>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Figure1a_1b_1c!$B$26:$D$26</c:f>
              <c:strCache>
                <c:ptCount val="3"/>
                <c:pt idx="0">
                  <c:v>2013</c:v>
                </c:pt>
                <c:pt idx="1">
                  <c:v>2023</c:v>
                </c:pt>
                <c:pt idx="2">
                  <c:v>2025 (Projected)</c:v>
                </c:pt>
              </c:strCache>
            </c:strRef>
          </c:cat>
          <c:val>
            <c:numRef>
              <c:f>Figure1a_1b_1c!$B$30:$D$30</c:f>
              <c:numCache>
                <c:formatCode>0.00%</c:formatCode>
                <c:ptCount val="3"/>
                <c:pt idx="0">
                  <c:v>6.6760485099831957E-2</c:v>
                </c:pt>
                <c:pt idx="1">
                  <c:v>7.3718518223032214E-2</c:v>
                </c:pt>
                <c:pt idx="2">
                  <c:v>7.7437221410211962E-2</c:v>
                </c:pt>
              </c:numCache>
            </c:numRef>
          </c:val>
          <c:extLst>
            <c:ext xmlns:c16="http://schemas.microsoft.com/office/drawing/2014/chart" uri="{C3380CC4-5D6E-409C-BE32-E72D297353CC}">
              <c16:uniqueId val="{00000003-60FB-4CA5-9663-CFE126ED20D3}"/>
            </c:ext>
          </c:extLst>
        </c:ser>
        <c:ser>
          <c:idx val="4"/>
          <c:order val="4"/>
          <c:tx>
            <c:strRef>
              <c:f>Figure1a_1b_1c!$A$31</c:f>
              <c:strCache>
                <c:ptCount val="1"/>
                <c:pt idx="0">
                  <c:v>Severance payment </c:v>
                </c:pt>
              </c:strCache>
            </c:strRef>
          </c:tx>
          <c:spPr>
            <a:solidFill>
              <a:schemeClr val="accent6">
                <a:lumMod val="75000"/>
              </a:schemeClr>
            </a:solidFill>
          </c:spPr>
          <c:invertIfNegative val="0"/>
          <c:cat>
            <c:strRef>
              <c:f>Figure1a_1b_1c!$B$26:$D$26</c:f>
              <c:strCache>
                <c:ptCount val="3"/>
                <c:pt idx="0">
                  <c:v>2013</c:v>
                </c:pt>
                <c:pt idx="1">
                  <c:v>2023</c:v>
                </c:pt>
                <c:pt idx="2">
                  <c:v>2025 (Projected)</c:v>
                </c:pt>
              </c:strCache>
            </c:strRef>
          </c:cat>
          <c:val>
            <c:numRef>
              <c:f>Figure1a_1b_1c!$B$31:$D$31</c:f>
              <c:numCache>
                <c:formatCode>0.00%</c:formatCode>
                <c:ptCount val="3"/>
                <c:pt idx="0">
                  <c:v>1.8428871659998333E-2</c:v>
                </c:pt>
                <c:pt idx="1">
                  <c:v>2.0987432336352932E-2</c:v>
                </c:pt>
                <c:pt idx="2">
                  <c:v>2.2207386345868989E-2</c:v>
                </c:pt>
              </c:numCache>
            </c:numRef>
          </c:val>
          <c:extLst>
            <c:ext xmlns:c16="http://schemas.microsoft.com/office/drawing/2014/chart" uri="{C3380CC4-5D6E-409C-BE32-E72D297353CC}">
              <c16:uniqueId val="{00000004-60FB-4CA5-9663-CFE126ED20D3}"/>
            </c:ext>
          </c:extLst>
        </c:ser>
        <c:ser>
          <c:idx val="5"/>
          <c:order val="5"/>
          <c:tx>
            <c:strRef>
              <c:f>Figure1a_1b_1c!$A$32</c:f>
              <c:strCache>
                <c:ptCount val="1"/>
                <c:pt idx="0">
                  <c:v>Firing notice</c:v>
                </c:pt>
              </c:strCache>
            </c:strRef>
          </c:tx>
          <c:spPr>
            <a:solidFill>
              <a:schemeClr val="accent6">
                <a:lumMod val="40000"/>
                <a:lumOff val="60000"/>
              </a:schemeClr>
            </a:solidFill>
          </c:spPr>
          <c:invertIfNegative val="0"/>
          <c:cat>
            <c:strRef>
              <c:f>Figure1a_1b_1c!$B$26:$D$26</c:f>
              <c:strCache>
                <c:ptCount val="3"/>
                <c:pt idx="0">
                  <c:v>2013</c:v>
                </c:pt>
                <c:pt idx="1">
                  <c:v>2023</c:v>
                </c:pt>
                <c:pt idx="2">
                  <c:v>2025 (Projected)</c:v>
                </c:pt>
              </c:strCache>
            </c:strRef>
          </c:cat>
          <c:val>
            <c:numRef>
              <c:f>Figure1a_1b_1c!$B$32:$D$32</c:f>
              <c:numCache>
                <c:formatCode>0.00%</c:formatCode>
                <c:ptCount val="3"/>
                <c:pt idx="0">
                  <c:v>3.4481290793055043E-3</c:v>
                </c:pt>
                <c:pt idx="1">
                  <c:v>4.9539790966967572E-3</c:v>
                </c:pt>
                <c:pt idx="2">
                  <c:v>4.5088064301264073E-3</c:v>
                </c:pt>
              </c:numCache>
            </c:numRef>
          </c:val>
          <c:extLst>
            <c:ext xmlns:c16="http://schemas.microsoft.com/office/drawing/2014/chart" uri="{C3380CC4-5D6E-409C-BE32-E72D297353CC}">
              <c16:uniqueId val="{00000005-60FB-4CA5-9663-CFE126ED20D3}"/>
            </c:ext>
          </c:extLst>
        </c:ser>
        <c:dLbls>
          <c:showLegendKey val="0"/>
          <c:showVal val="0"/>
          <c:showCatName val="0"/>
          <c:showSerName val="0"/>
          <c:showPercent val="0"/>
          <c:showBubbleSize val="0"/>
        </c:dLbls>
        <c:gapWidth val="150"/>
        <c:overlap val="100"/>
        <c:axId val="231918208"/>
        <c:axId val="231924096"/>
        <c:extLst>
          <c:ext xmlns:c15="http://schemas.microsoft.com/office/drawing/2012/chart" uri="{02D57815-91ED-43cb-92C2-25804820EDAC}">
            <c15:filteredBarSeries>
              <c15:ser>
                <c:idx val="6"/>
                <c:order val="6"/>
                <c:tx>
                  <c:strRef>
                    <c:extLst>
                      <c:ext uri="{02D57815-91ED-43cb-92C2-25804820EDAC}">
                        <c15:formulaRef>
                          <c15:sqref>Figure1a_1b_1c!$A$33</c15:sqref>
                        </c15:formulaRef>
                      </c:ext>
                    </c:extLst>
                    <c:strCache>
                      <c:ptCount val="1"/>
                    </c:strCache>
                  </c:strRef>
                </c:tx>
                <c:invertIfNegative val="0"/>
                <c:cat>
                  <c:strRef>
                    <c:extLst>
                      <c:ext uri="{02D57815-91ED-43cb-92C2-25804820EDAC}">
                        <c15:formulaRef>
                          <c15:sqref>Figure1a_1b_1c!$B$26:$D$26</c15:sqref>
                        </c15:formulaRef>
                      </c:ext>
                    </c:extLst>
                    <c:strCache>
                      <c:ptCount val="3"/>
                      <c:pt idx="0">
                        <c:v>2013</c:v>
                      </c:pt>
                      <c:pt idx="1">
                        <c:v>2023</c:v>
                      </c:pt>
                      <c:pt idx="2">
                        <c:v>2025 (Projected)</c:v>
                      </c:pt>
                    </c:strCache>
                  </c:strRef>
                </c:cat>
                <c:val>
                  <c:numRef>
                    <c:extLst>
                      <c:ext uri="{02D57815-91ED-43cb-92C2-25804820EDAC}">
                        <c15:formulaRef>
                          <c15:sqref>Figure1a_1b_1c!$B$33:$D$33</c15:sqref>
                        </c15:formulaRef>
                      </c:ext>
                    </c:extLst>
                    <c:numCache>
                      <c:formatCode>0.00%</c:formatCode>
                      <c:ptCount val="3"/>
                    </c:numCache>
                  </c:numRef>
                </c:val>
                <c:extLst>
                  <c:ext xmlns:c16="http://schemas.microsoft.com/office/drawing/2014/chart" uri="{C3380CC4-5D6E-409C-BE32-E72D297353CC}">
                    <c16:uniqueId val="{0000000A-4230-4BAA-AAAC-C4CFD4A5BACD}"/>
                  </c:ext>
                </c:extLst>
              </c15:ser>
            </c15:filteredBarSeries>
          </c:ext>
        </c:extLst>
      </c:barChart>
      <c:barChart>
        <c:barDir val="col"/>
        <c:grouping val="clustered"/>
        <c:varyColors val="0"/>
        <c:ser>
          <c:idx val="7"/>
          <c:order val="7"/>
          <c:tx>
            <c:strRef>
              <c:f>Figure1a_1b_1c!$A$34</c:f>
              <c:strCache>
                <c:ptCount val="1"/>
              </c:strCache>
            </c:strRef>
          </c:tx>
          <c:spPr>
            <a:no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Figure1a_1b_1c!$B$26:$D$26</c:f>
              <c:strCache>
                <c:ptCount val="3"/>
                <c:pt idx="0">
                  <c:v>2013</c:v>
                </c:pt>
                <c:pt idx="1">
                  <c:v>2023</c:v>
                </c:pt>
                <c:pt idx="2">
                  <c:v>2025 (Projected)</c:v>
                </c:pt>
              </c:strCache>
            </c:strRef>
          </c:cat>
          <c:val>
            <c:numRef>
              <c:f>Figure1a_1b_1c!$B$34:$D$34</c:f>
              <c:numCache>
                <c:formatCode>0.0%</c:formatCode>
                <c:ptCount val="3"/>
                <c:pt idx="0">
                  <c:v>0.38380878636090504</c:v>
                </c:pt>
                <c:pt idx="1">
                  <c:v>0.43083243526891857</c:v>
                </c:pt>
                <c:pt idx="2">
                  <c:v>0.4562081137574629</c:v>
                </c:pt>
              </c:numCache>
            </c:numRef>
          </c:val>
          <c:extLst>
            <c:ext xmlns:c16="http://schemas.microsoft.com/office/drawing/2014/chart" uri="{C3380CC4-5D6E-409C-BE32-E72D297353CC}">
              <c16:uniqueId val="{0000000B-4230-4BAA-AAAC-C4CFD4A5BACD}"/>
            </c:ext>
          </c:extLst>
        </c:ser>
        <c:dLbls>
          <c:showLegendKey val="0"/>
          <c:showVal val="0"/>
          <c:showCatName val="0"/>
          <c:showSerName val="0"/>
          <c:showPercent val="0"/>
          <c:showBubbleSize val="0"/>
        </c:dLbls>
        <c:gapWidth val="150"/>
        <c:axId val="1974573696"/>
        <c:axId val="1974570336"/>
      </c:barChart>
      <c:catAx>
        <c:axId val="231918208"/>
        <c:scaling>
          <c:orientation val="minMax"/>
        </c:scaling>
        <c:delete val="0"/>
        <c:axPos val="b"/>
        <c:numFmt formatCode="General" sourceLinked="1"/>
        <c:majorTickMark val="out"/>
        <c:minorTickMark val="none"/>
        <c:tickLblPos val="nextTo"/>
        <c:crossAx val="231924096"/>
        <c:crosses val="autoZero"/>
        <c:auto val="1"/>
        <c:lblAlgn val="ctr"/>
        <c:lblOffset val="100"/>
        <c:noMultiLvlLbl val="0"/>
      </c:catAx>
      <c:valAx>
        <c:axId val="231924096"/>
        <c:scaling>
          <c:orientation val="minMax"/>
        </c:scaling>
        <c:delete val="0"/>
        <c:axPos val="l"/>
        <c:title>
          <c:tx>
            <c:rich>
              <a:bodyPr rot="-5400000" vert="horz"/>
              <a:lstStyle/>
              <a:p>
                <a:pPr>
                  <a:defRPr/>
                </a:pPr>
                <a:r>
                  <a:rPr lang="en-US"/>
                  <a:t>Minimum cost of salaried labor as % of  the GDP per workler</a:t>
                </a:r>
              </a:p>
            </c:rich>
          </c:tx>
          <c:layout>
            <c:manualLayout>
              <c:xMode val="edge"/>
              <c:yMode val="edge"/>
              <c:x val="1.2903225806451613E-2"/>
              <c:y val="9.2441860465116266E-2"/>
            </c:manualLayout>
          </c:layout>
          <c:overlay val="0"/>
        </c:title>
        <c:numFmt formatCode="0%" sourceLinked="0"/>
        <c:majorTickMark val="out"/>
        <c:minorTickMark val="none"/>
        <c:tickLblPos val="nextTo"/>
        <c:crossAx val="231918208"/>
        <c:crosses val="autoZero"/>
        <c:crossBetween val="between"/>
      </c:valAx>
      <c:valAx>
        <c:axId val="1974570336"/>
        <c:scaling>
          <c:orientation val="minMax"/>
          <c:min val="0"/>
        </c:scaling>
        <c:delete val="0"/>
        <c:axPos val="r"/>
        <c:numFmt formatCode="0.0%" sourceLinked="1"/>
        <c:majorTickMark val="none"/>
        <c:minorTickMark val="none"/>
        <c:tickLblPos val="none"/>
        <c:spPr>
          <a:noFill/>
          <a:ln>
            <a:solidFill>
              <a:schemeClr val="bg1"/>
            </a:solidFill>
          </a:ln>
        </c:spPr>
        <c:txPr>
          <a:bodyPr/>
          <a:lstStyle/>
          <a:p>
            <a:pPr>
              <a:defRPr sz="100"/>
            </a:pPr>
            <a:endParaRPr lang="en-US"/>
          </a:p>
        </c:txPr>
        <c:crossAx val="1974573696"/>
        <c:crosses val="max"/>
        <c:crossBetween val="between"/>
      </c:valAx>
      <c:catAx>
        <c:axId val="1974573696"/>
        <c:scaling>
          <c:orientation val="minMax"/>
        </c:scaling>
        <c:delete val="1"/>
        <c:axPos val="b"/>
        <c:numFmt formatCode="General" sourceLinked="1"/>
        <c:majorTickMark val="out"/>
        <c:minorTickMark val="none"/>
        <c:tickLblPos val="nextTo"/>
        <c:crossAx val="1974570336"/>
        <c:crosses val="autoZero"/>
        <c:auto val="1"/>
        <c:lblAlgn val="ctr"/>
        <c:lblOffset val="100"/>
        <c:noMultiLvlLbl val="0"/>
      </c:catAx>
    </c:plotArea>
    <c:legend>
      <c:legendPos val="r"/>
      <c:layout>
        <c:manualLayout>
          <c:xMode val="edge"/>
          <c:yMode val="edge"/>
          <c:x val="0.68906892608779868"/>
          <c:y val="0.27030747329365212"/>
          <c:w val="0.31093114525382332"/>
          <c:h val="0.61547502950468957"/>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6"/>
          <c:order val="0"/>
          <c:tx>
            <c:strRef>
              <c:f>Figure1a_1b_1c!$A$5</c:f>
              <c:strCache>
                <c:ptCount val="1"/>
                <c:pt idx="0">
                  <c:v>Bonuses</c:v>
                </c:pt>
              </c:strCache>
            </c:strRef>
          </c:tx>
          <c:spPr>
            <a:solidFill>
              <a:schemeClr val="accent5">
                <a:lumMod val="50000"/>
              </a:schemeClr>
            </a:solidFill>
          </c:spPr>
          <c:invertIfNegative val="0"/>
          <c:cat>
            <c:strRef>
              <c:f>Figure1a_1b_1c!$B$4:$D$4</c:f>
              <c:strCache>
                <c:ptCount val="3"/>
                <c:pt idx="0">
                  <c:v>2013</c:v>
                </c:pt>
                <c:pt idx="1">
                  <c:v>2023</c:v>
                </c:pt>
                <c:pt idx="2">
                  <c:v>2025 (Projected)</c:v>
                </c:pt>
              </c:strCache>
            </c:strRef>
          </c:cat>
          <c:val>
            <c:numRef>
              <c:f>Figure1a_1b_1c!$B$5:$D$5</c:f>
              <c:numCache>
                <c:formatCode>0.00%</c:formatCode>
                <c:ptCount val="3"/>
                <c:pt idx="0">
                  <c:v>8.4885784224977875E-2</c:v>
                </c:pt>
                <c:pt idx="1">
                  <c:v>8.5512082729423525E-2</c:v>
                </c:pt>
                <c:pt idx="2" formatCode="0.0%">
                  <c:v>8.564031281241602E-2</c:v>
                </c:pt>
              </c:numCache>
            </c:numRef>
          </c:val>
          <c:extLst>
            <c:ext xmlns:c16="http://schemas.microsoft.com/office/drawing/2014/chart" uri="{C3380CC4-5D6E-409C-BE32-E72D297353CC}">
              <c16:uniqueId val="{0000001C-2B7C-48AB-B55C-1C6BB05B5326}"/>
            </c:ext>
          </c:extLst>
        </c:ser>
        <c:ser>
          <c:idx val="2"/>
          <c:order val="1"/>
          <c:tx>
            <c:strRef>
              <c:f>Figure1a_1b_1c!$A$6</c:f>
              <c:strCache>
                <c:ptCount val="1"/>
                <c:pt idx="0">
                  <c:v>Paid leave</c:v>
                </c:pt>
              </c:strCache>
            </c:strRef>
          </c:tx>
          <c:spPr>
            <a:solidFill>
              <a:schemeClr val="accent1">
                <a:lumMod val="60000"/>
                <a:lumOff val="40000"/>
              </a:schemeClr>
            </a:solidFill>
          </c:spPr>
          <c:invertIfNegative val="0"/>
          <c:cat>
            <c:strRef>
              <c:f>Figure1a_1b_1c!$B$4:$D$4</c:f>
              <c:strCache>
                <c:ptCount val="3"/>
                <c:pt idx="0">
                  <c:v>2013</c:v>
                </c:pt>
                <c:pt idx="1">
                  <c:v>2023</c:v>
                </c:pt>
                <c:pt idx="2">
                  <c:v>2025 (Projected)</c:v>
                </c:pt>
              </c:strCache>
            </c:strRef>
          </c:cat>
          <c:val>
            <c:numRef>
              <c:f>Figure1a_1b_1c!$B$6:$D$6</c:f>
              <c:numCache>
                <c:formatCode>0.00%</c:formatCode>
                <c:ptCount val="3"/>
                <c:pt idx="0">
                  <c:v>5.1814119519338939E-2</c:v>
                </c:pt>
                <c:pt idx="1">
                  <c:v>5.2639506258251624E-2</c:v>
                </c:pt>
                <c:pt idx="2" formatCode="0.0%">
                  <c:v>5.2639506258251624E-2</c:v>
                </c:pt>
              </c:numCache>
            </c:numRef>
          </c:val>
          <c:extLst>
            <c:ext xmlns:c16="http://schemas.microsoft.com/office/drawing/2014/chart" uri="{C3380CC4-5D6E-409C-BE32-E72D297353CC}">
              <c16:uniqueId val="{0000000D-2B7C-48AB-B55C-1C6BB05B5326}"/>
            </c:ext>
          </c:extLst>
        </c:ser>
        <c:ser>
          <c:idx val="3"/>
          <c:order val="2"/>
          <c:tx>
            <c:strRef>
              <c:f>Figure1a_1b_1c!$A$7</c:f>
              <c:strCache>
                <c:ptCount val="1"/>
                <c:pt idx="0">
                  <c:v>Mandatory social security contributions</c:v>
                </c:pt>
              </c:strCache>
            </c:strRef>
          </c:tx>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Figure1a_1b_1c!$B$4:$D$4</c:f>
              <c:strCache>
                <c:ptCount val="3"/>
                <c:pt idx="0">
                  <c:v>2013</c:v>
                </c:pt>
                <c:pt idx="1">
                  <c:v>2023</c:v>
                </c:pt>
                <c:pt idx="2">
                  <c:v>2025 (Projected)</c:v>
                </c:pt>
              </c:strCache>
            </c:strRef>
          </c:cat>
          <c:val>
            <c:numRef>
              <c:f>Figure1a_1b_1c!$B$7:$D$7</c:f>
              <c:numCache>
                <c:formatCode>0.00%</c:formatCode>
                <c:ptCount val="3"/>
                <c:pt idx="0">
                  <c:v>0.28088396404102545</c:v>
                </c:pt>
                <c:pt idx="1">
                  <c:v>0.28744893329535542</c:v>
                </c:pt>
                <c:pt idx="2" formatCode="0.0%">
                  <c:v>0.29416402161577604</c:v>
                </c:pt>
              </c:numCache>
            </c:numRef>
          </c:val>
          <c:extLst>
            <c:ext xmlns:c16="http://schemas.microsoft.com/office/drawing/2014/chart" uri="{C3380CC4-5D6E-409C-BE32-E72D297353CC}">
              <c16:uniqueId val="{00000011-2B7C-48AB-B55C-1C6BB05B5326}"/>
            </c:ext>
          </c:extLst>
        </c:ser>
        <c:ser>
          <c:idx val="4"/>
          <c:order val="3"/>
          <c:tx>
            <c:strRef>
              <c:f>Figure1a_1b_1c!$A$8</c:f>
              <c:strCache>
                <c:ptCount val="1"/>
                <c:pt idx="0">
                  <c:v>Severance payment </c:v>
                </c:pt>
              </c:strCache>
            </c:strRef>
          </c:tx>
          <c:spPr>
            <a:solidFill>
              <a:schemeClr val="accent6">
                <a:lumMod val="75000"/>
              </a:schemeClr>
            </a:solidFill>
          </c:spPr>
          <c:invertIfNegative val="0"/>
          <c:cat>
            <c:strRef>
              <c:f>Figure1a_1b_1c!$B$4:$D$4</c:f>
              <c:strCache>
                <c:ptCount val="3"/>
                <c:pt idx="0">
                  <c:v>2013</c:v>
                </c:pt>
                <c:pt idx="1">
                  <c:v>2023</c:v>
                </c:pt>
                <c:pt idx="2">
                  <c:v>2025 (Projected)</c:v>
                </c:pt>
              </c:strCache>
            </c:strRef>
          </c:cat>
          <c:val>
            <c:numRef>
              <c:f>Figure1a_1b_1c!$B$8:$D$8</c:f>
              <c:numCache>
                <c:formatCode>0.00%</c:formatCode>
                <c:ptCount val="3"/>
                <c:pt idx="0">
                  <c:v>7.2936492821824947E-2</c:v>
                </c:pt>
                <c:pt idx="1">
                  <c:v>7.2696777574780713E-2</c:v>
                </c:pt>
                <c:pt idx="2" formatCode="0.0%">
                  <c:v>7.269488212809383E-2</c:v>
                </c:pt>
              </c:numCache>
            </c:numRef>
          </c:val>
          <c:extLst>
            <c:ext xmlns:c16="http://schemas.microsoft.com/office/drawing/2014/chart" uri="{C3380CC4-5D6E-409C-BE32-E72D297353CC}">
              <c16:uniqueId val="{00000015-2B7C-48AB-B55C-1C6BB05B5326}"/>
            </c:ext>
          </c:extLst>
        </c:ser>
        <c:ser>
          <c:idx val="5"/>
          <c:order val="4"/>
          <c:tx>
            <c:strRef>
              <c:f>Figure1a_1b_1c!$A$9</c:f>
              <c:strCache>
                <c:ptCount val="1"/>
                <c:pt idx="0">
                  <c:v>Firing notice</c:v>
                </c:pt>
              </c:strCache>
            </c:strRef>
          </c:tx>
          <c:invertIfNegative val="0"/>
          <c:cat>
            <c:strRef>
              <c:f>Figure1a_1b_1c!$B$4:$D$4</c:f>
              <c:strCache>
                <c:ptCount val="3"/>
                <c:pt idx="0">
                  <c:v>2013</c:v>
                </c:pt>
                <c:pt idx="1">
                  <c:v>2023</c:v>
                </c:pt>
                <c:pt idx="2">
                  <c:v>2025 (Projected)</c:v>
                </c:pt>
              </c:strCache>
            </c:strRef>
          </c:cat>
          <c:val>
            <c:numRef>
              <c:f>Figure1a_1b_1c!$B$9:$D$9</c:f>
              <c:numCache>
                <c:formatCode>0.00%</c:formatCode>
                <c:ptCount val="3"/>
                <c:pt idx="0">
                  <c:v>1.212445376583004E-2</c:v>
                </c:pt>
                <c:pt idx="1">
                  <c:v>1.2208058760110926E-2</c:v>
                </c:pt>
                <c:pt idx="2" formatCode="0.0%">
                  <c:v>1.134326120921759E-2</c:v>
                </c:pt>
              </c:numCache>
            </c:numRef>
          </c:val>
          <c:extLst>
            <c:ext xmlns:c16="http://schemas.microsoft.com/office/drawing/2014/chart" uri="{C3380CC4-5D6E-409C-BE32-E72D297353CC}">
              <c16:uniqueId val="{00000019-2B7C-48AB-B55C-1C6BB05B5326}"/>
            </c:ext>
          </c:extLst>
        </c:ser>
        <c:dLbls>
          <c:showLegendKey val="0"/>
          <c:showVal val="0"/>
          <c:showCatName val="0"/>
          <c:showSerName val="0"/>
          <c:showPercent val="0"/>
          <c:showBubbleSize val="0"/>
        </c:dLbls>
        <c:gapWidth val="150"/>
        <c:overlap val="100"/>
        <c:axId val="232567552"/>
        <c:axId val="232569088"/>
      </c:barChart>
      <c:barChart>
        <c:barDir val="col"/>
        <c:grouping val="clustered"/>
        <c:varyColors val="0"/>
        <c:ser>
          <c:idx val="0"/>
          <c:order val="5"/>
          <c:tx>
            <c:strRef>
              <c:f>Figure1a_1b_1c!$A$10</c:f>
              <c:strCache>
                <c:ptCount val="1"/>
              </c:strCache>
            </c:strRef>
          </c:tx>
          <c:spPr>
            <a:no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Figure1a_1b_1c!$B$4:$D$4</c:f>
              <c:strCache>
                <c:ptCount val="3"/>
                <c:pt idx="0">
                  <c:v>2013</c:v>
                </c:pt>
                <c:pt idx="1">
                  <c:v>2023</c:v>
                </c:pt>
                <c:pt idx="2">
                  <c:v>2025 (Projected)</c:v>
                </c:pt>
              </c:strCache>
            </c:strRef>
          </c:cat>
          <c:val>
            <c:numRef>
              <c:f>Figure1a_1b_1c!$B$11:$D$11</c:f>
              <c:numCache>
                <c:formatCode>0.0%</c:formatCode>
                <c:ptCount val="3"/>
                <c:pt idx="0">
                  <c:v>0.50264481437299724</c:v>
                </c:pt>
                <c:pt idx="1">
                  <c:v>0.51050535861792223</c:v>
                </c:pt>
                <c:pt idx="2">
                  <c:v>0.51648198402375511</c:v>
                </c:pt>
              </c:numCache>
            </c:numRef>
          </c:val>
          <c:extLst>
            <c:ext xmlns:c16="http://schemas.microsoft.com/office/drawing/2014/chart" uri="{C3380CC4-5D6E-409C-BE32-E72D297353CC}">
              <c16:uniqueId val="{00000014-C493-4165-9E78-07D8055C839D}"/>
            </c:ext>
          </c:extLst>
        </c:ser>
        <c:dLbls>
          <c:showLegendKey val="0"/>
          <c:showVal val="0"/>
          <c:showCatName val="0"/>
          <c:showSerName val="0"/>
          <c:showPercent val="0"/>
          <c:showBubbleSize val="0"/>
        </c:dLbls>
        <c:gapWidth val="150"/>
        <c:axId val="1949853632"/>
        <c:axId val="1949843072"/>
      </c:barChart>
      <c:catAx>
        <c:axId val="232567552"/>
        <c:scaling>
          <c:orientation val="minMax"/>
        </c:scaling>
        <c:delete val="0"/>
        <c:axPos val="b"/>
        <c:numFmt formatCode="General" sourceLinked="1"/>
        <c:majorTickMark val="out"/>
        <c:minorTickMark val="none"/>
        <c:tickLblPos val="nextTo"/>
        <c:txPr>
          <a:bodyPr/>
          <a:lstStyle/>
          <a:p>
            <a:pPr>
              <a:defRPr>
                <a:solidFill>
                  <a:sysClr val="windowText" lastClr="000000"/>
                </a:solidFill>
              </a:defRPr>
            </a:pPr>
            <a:endParaRPr lang="es-DO"/>
          </a:p>
        </c:txPr>
        <c:crossAx val="232569088"/>
        <c:crosses val="autoZero"/>
        <c:auto val="1"/>
        <c:lblAlgn val="ctr"/>
        <c:lblOffset val="100"/>
        <c:noMultiLvlLbl val="0"/>
      </c:catAx>
      <c:valAx>
        <c:axId val="232569088"/>
        <c:scaling>
          <c:orientation val="minMax"/>
        </c:scaling>
        <c:delete val="0"/>
        <c:axPos val="l"/>
        <c:title>
          <c:tx>
            <c:rich>
              <a:bodyPr rot="-5400000" vert="horz"/>
              <a:lstStyle/>
              <a:p>
                <a:pPr>
                  <a:defRPr/>
                </a:pPr>
                <a:r>
                  <a:rPr lang="en-US"/>
                  <a:t>Cost of labor as % of the base annual wage </a:t>
                </a:r>
              </a:p>
            </c:rich>
          </c:tx>
          <c:layout>
            <c:manualLayout>
              <c:xMode val="edge"/>
              <c:yMode val="edge"/>
              <c:x val="1.2903225806451613E-2"/>
              <c:y val="7.2809924922175417E-2"/>
            </c:manualLayout>
          </c:layout>
          <c:overlay val="0"/>
        </c:title>
        <c:numFmt formatCode="0%" sourceLinked="0"/>
        <c:majorTickMark val="out"/>
        <c:minorTickMark val="none"/>
        <c:tickLblPos val="nextTo"/>
        <c:crossAx val="232567552"/>
        <c:crosses val="autoZero"/>
        <c:crossBetween val="between"/>
      </c:valAx>
      <c:valAx>
        <c:axId val="1949843072"/>
        <c:scaling>
          <c:orientation val="minMax"/>
          <c:min val="0"/>
        </c:scaling>
        <c:delete val="1"/>
        <c:axPos val="r"/>
        <c:numFmt formatCode="0.0%" sourceLinked="1"/>
        <c:majorTickMark val="none"/>
        <c:minorTickMark val="none"/>
        <c:tickLblPos val="none"/>
        <c:crossAx val="1949853632"/>
        <c:crosses val="max"/>
        <c:crossBetween val="between"/>
      </c:valAx>
      <c:catAx>
        <c:axId val="1949853632"/>
        <c:scaling>
          <c:orientation val="minMax"/>
        </c:scaling>
        <c:delete val="1"/>
        <c:axPos val="b"/>
        <c:numFmt formatCode="General" sourceLinked="1"/>
        <c:majorTickMark val="out"/>
        <c:minorTickMark val="none"/>
        <c:tickLblPos val="nextTo"/>
        <c:crossAx val="1949843072"/>
        <c:crosses val="autoZero"/>
        <c:auto val="1"/>
        <c:lblAlgn val="ctr"/>
        <c:lblOffset val="100"/>
        <c:noMultiLvlLbl val="0"/>
      </c:catAx>
      <c:spPr>
        <a:noFill/>
        <a:ln w="25400">
          <a:noFill/>
        </a:ln>
      </c:spPr>
    </c:plotArea>
    <c:legend>
      <c:legendPos val="r"/>
      <c:layout>
        <c:manualLayout>
          <c:xMode val="edge"/>
          <c:yMode val="edge"/>
          <c:x val="0.68816120565574468"/>
          <c:y val="0.31488412387728731"/>
          <c:w val="0.31183890511894313"/>
          <c:h val="0.54401058846020145"/>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4295876725086784"/>
          <c:y val="3.9157053042788256E-2"/>
          <c:w val="0.56455727711455428"/>
          <c:h val="0.84711963618182584"/>
        </c:manualLayout>
      </c:layout>
      <c:barChart>
        <c:barDir val="col"/>
        <c:grouping val="stacked"/>
        <c:varyColors val="0"/>
        <c:ser>
          <c:idx val="0"/>
          <c:order val="0"/>
          <c:tx>
            <c:strRef>
              <c:f>Figure1a_1b_1c!$A$48</c:f>
              <c:strCache>
                <c:ptCount val="1"/>
                <c:pt idx="0">
                  <c:v>Wage Costs</c:v>
                </c:pt>
              </c:strCache>
            </c:strRef>
          </c:tx>
          <c:spPr>
            <a:solidFill>
              <a:schemeClr val="tx2"/>
            </a:solidFill>
          </c:spPr>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Figure1a_1b_1c!$B$48:$C$48</c15:sqref>
                  </c15:fullRef>
                </c:ext>
              </c:extLst>
              <c:f>Figure1a_1b_1c!$B$48:$C$48</c:f>
              <c:numCache>
                <c:formatCode>0.00%</c:formatCode>
                <c:ptCount val="2"/>
                <c:pt idx="0">
                  <c:v>0.16961406641460458</c:v>
                </c:pt>
                <c:pt idx="1">
                  <c:v>0.25595554346277805</c:v>
                </c:pt>
              </c:numCache>
            </c:numRef>
          </c:val>
          <c:extLst>
            <c:ext xmlns:c16="http://schemas.microsoft.com/office/drawing/2014/chart" uri="{C3380CC4-5D6E-409C-BE32-E72D297353CC}">
              <c16:uniqueId val="{00000000-C0E7-4B45-BDD0-3313254EC0F9}"/>
            </c:ext>
          </c:extLst>
        </c:ser>
        <c:ser>
          <c:idx val="1"/>
          <c:order val="1"/>
          <c:tx>
            <c:strRef>
              <c:f>Figure1a_1b_1c!$A$49</c:f>
              <c:strCache>
                <c:ptCount val="1"/>
                <c:pt idx="0">
                  <c:v>Bonuses</c:v>
                </c:pt>
              </c:strCache>
            </c:strRef>
          </c:tx>
          <c:spPr>
            <a:solidFill>
              <a:schemeClr val="accent5"/>
            </a:solidFill>
          </c:spPr>
          <c:invertIfNegative val="0"/>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Figure1a_1b_1c!$B$49:$D$49</c15:sqref>
                  </c15:fullRef>
                </c:ext>
              </c:extLst>
              <c:f>Figure1a_1b_1c!$B$49:$C$49</c:f>
              <c:numCache>
                <c:formatCode>0%</c:formatCode>
                <c:ptCount val="2"/>
                <c:pt idx="0">
                  <c:v>8.6723315154888084E-2</c:v>
                </c:pt>
                <c:pt idx="1">
                  <c:v>0.11620117796554331</c:v>
                </c:pt>
              </c:numCache>
            </c:numRef>
          </c:val>
          <c:extLst>
            <c:ext xmlns:c16="http://schemas.microsoft.com/office/drawing/2014/chart" uri="{C3380CC4-5D6E-409C-BE32-E72D297353CC}">
              <c16:uniqueId val="{00000001-C0E7-4B45-BDD0-3313254EC0F9}"/>
            </c:ext>
          </c:extLst>
        </c:ser>
        <c:ser>
          <c:idx val="2"/>
          <c:order val="2"/>
          <c:tx>
            <c:strRef>
              <c:f>Figure1a_1b_1c!$A$50</c:f>
              <c:strCache>
                <c:ptCount val="1"/>
                <c:pt idx="0">
                  <c:v>Paid leave</c:v>
                </c:pt>
              </c:strCache>
            </c:strRef>
          </c:tx>
          <c:spPr>
            <a:solidFill>
              <a:schemeClr val="tx2">
                <a:lumMod val="25000"/>
                <a:lumOff val="75000"/>
              </a:schemeClr>
            </a:solidFill>
          </c:spPr>
          <c:invertIfNegative val="0"/>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Figure1a_1b_1c!$B$50:$D$50</c15:sqref>
                  </c15:fullRef>
                </c:ext>
              </c:extLst>
              <c:f>Figure1a_1b_1c!$B$50:$C$50</c:f>
              <c:numCache>
                <c:formatCode>0%</c:formatCode>
                <c:ptCount val="2"/>
                <c:pt idx="0">
                  <c:v>5.507806796850051E-2</c:v>
                </c:pt>
                <c:pt idx="1">
                  <c:v>6.3658372188347453E-2</c:v>
                </c:pt>
              </c:numCache>
            </c:numRef>
          </c:val>
          <c:extLst>
            <c:ext xmlns:c16="http://schemas.microsoft.com/office/drawing/2014/chart" uri="{C3380CC4-5D6E-409C-BE32-E72D297353CC}">
              <c16:uniqueId val="{00000002-C0E7-4B45-BDD0-3313254EC0F9}"/>
            </c:ext>
          </c:extLst>
        </c:ser>
        <c:ser>
          <c:idx val="3"/>
          <c:order val="3"/>
          <c:tx>
            <c:strRef>
              <c:f>Figure1a_1b_1c!$A$51</c:f>
              <c:strCache>
                <c:ptCount val="1"/>
                <c:pt idx="0">
                  <c:v>Mandatory social security contributions</c:v>
                </c:pt>
              </c:strCache>
            </c:strRef>
          </c:tx>
          <c:invertIfNegative val="0"/>
          <c:dLbls>
            <c:spPr>
              <a:noFill/>
              <a:ln>
                <a:noFill/>
              </a:ln>
              <a:effectLst/>
            </c:spPr>
            <c:txPr>
              <a:bodyPr wrap="square" lIns="38100" tIns="19050" rIns="38100" bIns="19050" anchor="ctr">
                <a:spAutoFit/>
              </a:bodyPr>
              <a:lstStyle/>
              <a:p>
                <a:pPr>
                  <a:defRPr>
                    <a:solidFill>
                      <a:schemeClr val="bg1"/>
                    </a:solidFill>
                  </a:defRPr>
                </a:pPr>
                <a:endParaRPr lang="en-US"/>
              </a:p>
            </c:txPr>
            <c:dLblPos val="inBase"/>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Figure1a_1b_1c!$B$51:$D$51</c15:sqref>
                  </c15:fullRef>
                </c:ext>
              </c:extLst>
              <c:f>Figure1a_1b_1c!$B$51:$C$51</c:f>
              <c:numCache>
                <c:formatCode>0%</c:formatCode>
                <c:ptCount val="2"/>
                <c:pt idx="0">
                  <c:v>0.27876054632803393</c:v>
                </c:pt>
                <c:pt idx="1">
                  <c:v>0.33883998142775745</c:v>
                </c:pt>
              </c:numCache>
            </c:numRef>
          </c:val>
          <c:extLst>
            <c:ext xmlns:c16="http://schemas.microsoft.com/office/drawing/2014/chart" uri="{C3380CC4-5D6E-409C-BE32-E72D297353CC}">
              <c16:uniqueId val="{00000003-C0E7-4B45-BDD0-3313254EC0F9}"/>
            </c:ext>
          </c:extLst>
        </c:ser>
        <c:ser>
          <c:idx val="4"/>
          <c:order val="4"/>
          <c:tx>
            <c:strRef>
              <c:f>Figure1a_1b_1c!$A$52</c:f>
              <c:strCache>
                <c:ptCount val="1"/>
                <c:pt idx="0">
                  <c:v>Severance payment </c:v>
                </c:pt>
              </c:strCache>
            </c:strRef>
          </c:tx>
          <c:spPr>
            <a:solidFill>
              <a:schemeClr val="accent3"/>
            </a:solidFill>
          </c:spPr>
          <c:invertIfNegative val="0"/>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Figure1a_1b_1c!$B$52:$D$52</c15:sqref>
                  </c15:fullRef>
                </c:ext>
              </c:extLst>
              <c:f>Figure1a_1b_1c!$B$52:$C$52</c:f>
              <c:numCache>
                <c:formatCode>0%</c:formatCode>
                <c:ptCount val="2"/>
                <c:pt idx="0">
                  <c:v>7.1992238502882597E-2</c:v>
                </c:pt>
                <c:pt idx="1">
                  <c:v>8.7843670858311462E-2</c:v>
                </c:pt>
              </c:numCache>
            </c:numRef>
          </c:val>
          <c:extLst>
            <c:ext xmlns:c16="http://schemas.microsoft.com/office/drawing/2014/chart" uri="{C3380CC4-5D6E-409C-BE32-E72D297353CC}">
              <c16:uniqueId val="{00000004-C0E7-4B45-BDD0-3313254EC0F9}"/>
            </c:ext>
          </c:extLst>
        </c:ser>
        <c:ser>
          <c:idx val="5"/>
          <c:order val="5"/>
          <c:tx>
            <c:strRef>
              <c:f>Figure1a_1b_1c!$A$53</c:f>
              <c:strCache>
                <c:ptCount val="1"/>
                <c:pt idx="0">
                  <c:v>Firing notice</c:v>
                </c:pt>
              </c:strCache>
            </c:strRef>
          </c:tx>
          <c:spPr>
            <a:solidFill>
              <a:schemeClr val="accent6">
                <a:lumMod val="20000"/>
                <a:lumOff val="80000"/>
              </a:schemeClr>
            </a:solidFill>
          </c:spPr>
          <c:invertIfNegative val="0"/>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Figure1a_1b_1c!$B$53:$D$53</c15:sqref>
                  </c15:fullRef>
                </c:ext>
              </c:extLst>
              <c:f>Figure1a_1b_1c!$B$53:$C$53</c:f>
              <c:numCache>
                <c:formatCode>0%</c:formatCode>
                <c:ptCount val="2"/>
                <c:pt idx="0">
                  <c:v>1.155468607677643E-2</c:v>
                </c:pt>
                <c:pt idx="1">
                  <c:v>1.6263668717240373E-2</c:v>
                </c:pt>
              </c:numCache>
            </c:numRef>
          </c:val>
          <c:extLst>
            <c:ext xmlns:c16="http://schemas.microsoft.com/office/drawing/2014/chart" uri="{C3380CC4-5D6E-409C-BE32-E72D297353CC}">
              <c16:uniqueId val="{00000005-C0E7-4B45-BDD0-3313254EC0F9}"/>
            </c:ext>
          </c:extLst>
        </c:ser>
        <c:dLbls>
          <c:showLegendKey val="0"/>
          <c:showVal val="0"/>
          <c:showCatName val="0"/>
          <c:showSerName val="0"/>
          <c:showPercent val="0"/>
          <c:showBubbleSize val="0"/>
        </c:dLbls>
        <c:gapWidth val="150"/>
        <c:overlap val="100"/>
        <c:axId val="231918208"/>
        <c:axId val="231924096"/>
        <c:extLst/>
      </c:barChart>
      <c:barChart>
        <c:barDir val="col"/>
        <c:grouping val="clustered"/>
        <c:varyColors val="0"/>
        <c:ser>
          <c:idx val="6"/>
          <c:order val="6"/>
          <c:tx>
            <c:strRef>
              <c:f>Figure1a_1b_1c!$A$33</c:f>
              <c:strCache>
                <c:ptCount val="1"/>
              </c:strCache>
              <c:extLst xmlns:c15="http://schemas.microsoft.com/office/drawing/2012/chart"/>
            </c:strRef>
          </c:tx>
          <c:spPr>
            <a:noFill/>
            <a:ln>
              <a:no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numRef>
              <c:extLst>
                <c:ext xmlns:c15="http://schemas.microsoft.com/office/drawing/2012/chart" uri="{02D57815-91ED-43cb-92C2-25804820EDAC}">
                  <c15:fullRef>
                    <c15:sqref>Figure1a_1b_1c!$B$47:$C$47</c15:sqref>
                  </c15:fullRef>
                </c:ext>
              </c:extLst>
              <c:f>Figure1a_1b_1c!$B$47:$C$47</c:f>
              <c:numCache>
                <c:formatCode>General</c:formatCode>
                <c:ptCount val="2"/>
                <c:pt idx="0">
                  <c:v>2013</c:v>
                </c:pt>
                <c:pt idx="1">
                  <c:v>2023</c:v>
                </c:pt>
              </c:numCache>
            </c:numRef>
          </c:cat>
          <c:val>
            <c:numRef>
              <c:extLst>
                <c:ext xmlns:c15="http://schemas.microsoft.com/office/drawing/2012/chart" uri="{02D57815-91ED-43cb-92C2-25804820EDAC}">
                  <c15:fullRef>
                    <c15:sqref>Figure1a_1b_1c!$B$55:$C$55</c15:sqref>
                  </c15:fullRef>
                </c:ext>
              </c:extLst>
              <c:f>Figure1a_1b_1c!$B$55:$C$55</c:f>
              <c:numCache>
                <c:formatCode>0%</c:formatCode>
                <c:ptCount val="2"/>
                <c:pt idx="0">
                  <c:v>0.67372292044568616</c:v>
                </c:pt>
                <c:pt idx="1">
                  <c:v>0.87876241461997817</c:v>
                </c:pt>
              </c:numCache>
            </c:numRef>
          </c:val>
          <c:extLst xmlns:c15="http://schemas.microsoft.com/office/drawing/2012/chart">
            <c:ext xmlns:c16="http://schemas.microsoft.com/office/drawing/2014/chart" uri="{C3380CC4-5D6E-409C-BE32-E72D297353CC}">
              <c16:uniqueId val="{00000007-C0E7-4B45-BDD0-3313254EC0F9}"/>
            </c:ext>
          </c:extLst>
        </c:ser>
        <c:dLbls>
          <c:showLegendKey val="0"/>
          <c:showVal val="0"/>
          <c:showCatName val="0"/>
          <c:showSerName val="0"/>
          <c:showPercent val="0"/>
          <c:showBubbleSize val="0"/>
        </c:dLbls>
        <c:gapWidth val="150"/>
        <c:axId val="1974573696"/>
        <c:axId val="1974570336"/>
        <c:extLst>
          <c:ext xmlns:c15="http://schemas.microsoft.com/office/drawing/2012/chart" uri="{02D57815-91ED-43cb-92C2-25804820EDAC}">
            <c15:filteredBarSeries>
              <c15:ser>
                <c:idx val="7"/>
                <c:order val="7"/>
                <c:tx>
                  <c:strRef>
                    <c:extLst>
                      <c:ext uri="{02D57815-91ED-43cb-92C2-25804820EDAC}">
                        <c15:formulaRef>
                          <c15:sqref>Figure1a_1b_1c!$A$55</c15:sqref>
                        </c15:formulaRef>
                      </c:ext>
                    </c:extLst>
                    <c:strCache>
                      <c:ptCount val="1"/>
                    </c:strCache>
                  </c:strRef>
                </c:tx>
                <c:invertIfNegative val="0"/>
                <c:cat>
                  <c:strRef>
                    <c:extLst>
                      <c:ext uri="{02D57815-91ED-43cb-92C2-25804820EDAC}">
                        <c15:fullRef>
                          <c15:sqref>Figure1a_1b_1c!$B$26:$D$26</c15:sqref>
                        </c15:fullRef>
                        <c15:formulaRef>
                          <c15:sqref>Figure1a_1b_1c!$B$26:$C$26</c15:sqref>
                        </c15:formulaRef>
                      </c:ext>
                    </c:extLst>
                    <c:strCache>
                      <c:ptCount val="2"/>
                      <c:pt idx="0">
                        <c:v>2013</c:v>
                      </c:pt>
                      <c:pt idx="1">
                        <c:v>2023</c:v>
                      </c:pt>
                    </c:strCache>
                  </c:strRef>
                </c:cat>
                <c:val>
                  <c:numRef>
                    <c:extLst>
                      <c:ext uri="{02D57815-91ED-43cb-92C2-25804820EDAC}">
                        <c15:fullRef>
                          <c15:sqref>Figure1a_1b_1c!$B$54:$D$54</c15:sqref>
                        </c15:fullRef>
                        <c15:formulaRef>
                          <c15:sqref>Figure1a_1b_1c!$B$54:$C$54</c15:sqref>
                        </c15:formulaRef>
                      </c:ext>
                    </c:extLst>
                    <c:numCache>
                      <c:formatCode>0.00%</c:formatCode>
                      <c:ptCount val="2"/>
                    </c:numCache>
                  </c:numRef>
                </c:val>
                <c:extLst>
                  <c:ext xmlns:c16="http://schemas.microsoft.com/office/drawing/2014/chart" uri="{C3380CC4-5D6E-409C-BE32-E72D297353CC}">
                    <c16:uniqueId val="{00000006-C0E7-4B45-BDD0-3313254EC0F9}"/>
                  </c:ext>
                </c:extLst>
              </c15:ser>
            </c15:filteredBarSeries>
          </c:ext>
        </c:extLst>
      </c:barChart>
      <c:catAx>
        <c:axId val="231918208"/>
        <c:scaling>
          <c:orientation val="minMax"/>
        </c:scaling>
        <c:delete val="0"/>
        <c:axPos val="b"/>
        <c:numFmt formatCode="General" sourceLinked="1"/>
        <c:majorTickMark val="out"/>
        <c:minorTickMark val="none"/>
        <c:tickLblPos val="nextTo"/>
        <c:crossAx val="231924096"/>
        <c:crosses val="autoZero"/>
        <c:auto val="1"/>
        <c:lblAlgn val="ctr"/>
        <c:lblOffset val="100"/>
        <c:noMultiLvlLbl val="0"/>
      </c:catAx>
      <c:valAx>
        <c:axId val="231924096"/>
        <c:scaling>
          <c:orientation val="minMax"/>
        </c:scaling>
        <c:delete val="0"/>
        <c:axPos val="l"/>
        <c:title>
          <c:tx>
            <c:rich>
              <a:bodyPr rot="-5400000" vert="horz"/>
              <a:lstStyle/>
              <a:p>
                <a:pPr>
                  <a:defRPr/>
                </a:pPr>
                <a:r>
                  <a:rPr lang="en-US"/>
                  <a:t>Cost of formalizing informal workers, as % of  the average</a:t>
                </a:r>
                <a:r>
                  <a:rPr lang="en-US" baseline="0"/>
                  <a:t> informal wage</a:t>
                </a:r>
                <a:endParaRPr lang="en-US"/>
              </a:p>
            </c:rich>
          </c:tx>
          <c:layout>
            <c:manualLayout>
              <c:xMode val="edge"/>
              <c:yMode val="edge"/>
              <c:x val="1.2903225806451613E-2"/>
              <c:y val="9.2441860465116266E-2"/>
            </c:manualLayout>
          </c:layout>
          <c:overlay val="0"/>
        </c:title>
        <c:numFmt formatCode="0%" sourceLinked="0"/>
        <c:majorTickMark val="out"/>
        <c:minorTickMark val="none"/>
        <c:tickLblPos val="nextTo"/>
        <c:crossAx val="231918208"/>
        <c:crosses val="autoZero"/>
        <c:crossBetween val="between"/>
      </c:valAx>
      <c:valAx>
        <c:axId val="1974570336"/>
        <c:scaling>
          <c:orientation val="minMax"/>
          <c:min val="0"/>
        </c:scaling>
        <c:delete val="0"/>
        <c:axPos val="r"/>
        <c:numFmt formatCode="0%" sourceLinked="1"/>
        <c:majorTickMark val="none"/>
        <c:minorTickMark val="none"/>
        <c:tickLblPos val="none"/>
        <c:spPr>
          <a:noFill/>
          <a:ln>
            <a:solidFill>
              <a:schemeClr val="bg1"/>
            </a:solidFill>
          </a:ln>
        </c:spPr>
        <c:txPr>
          <a:bodyPr/>
          <a:lstStyle/>
          <a:p>
            <a:pPr>
              <a:defRPr sz="100"/>
            </a:pPr>
            <a:endParaRPr lang="en-US"/>
          </a:p>
        </c:txPr>
        <c:crossAx val="1974573696"/>
        <c:crosses val="max"/>
        <c:crossBetween val="between"/>
      </c:valAx>
      <c:catAx>
        <c:axId val="1974573696"/>
        <c:scaling>
          <c:orientation val="minMax"/>
        </c:scaling>
        <c:delete val="1"/>
        <c:axPos val="b"/>
        <c:numFmt formatCode="General" sourceLinked="1"/>
        <c:majorTickMark val="out"/>
        <c:minorTickMark val="none"/>
        <c:tickLblPos val="nextTo"/>
        <c:crossAx val="1974570336"/>
        <c:crosses val="autoZero"/>
        <c:auto val="1"/>
        <c:lblAlgn val="ctr"/>
        <c:lblOffset val="100"/>
        <c:noMultiLvlLbl val="0"/>
      </c:catAx>
    </c:plotArea>
    <c:legend>
      <c:legendPos val="r"/>
      <c:layout>
        <c:manualLayout>
          <c:xMode val="edge"/>
          <c:yMode val="edge"/>
          <c:x val="0.68906892608779868"/>
          <c:y val="0.27030747329365212"/>
          <c:w val="0.31093114525382332"/>
          <c:h val="0.61547502950468957"/>
        </c:manualLayout>
      </c:layout>
      <c:overlay val="0"/>
    </c:legend>
    <c:plotVisOnly val="1"/>
    <c:dispBlanksAs val="gap"/>
    <c:showDLblsOverMax val="0"/>
  </c:chart>
  <c:spPr>
    <a:ln>
      <a:noFill/>
    </a:ln>
  </c:spPr>
  <c:txPr>
    <a:bodyPr/>
    <a:lstStyle/>
    <a:p>
      <a:pPr>
        <a:defRPr>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3113741371080051"/>
          <c:y val="5.2188732687966297E-2"/>
          <c:w val="0.85075102686189308"/>
          <c:h val="0.74058875017137848"/>
        </c:manualLayout>
      </c:layout>
      <c:barChart>
        <c:barDir val="col"/>
        <c:grouping val="clustered"/>
        <c:varyColors val="0"/>
        <c:ser>
          <c:idx val="0"/>
          <c:order val="0"/>
          <c:tx>
            <c:strRef>
              <c:f>'Figure 2'!$B$4</c:f>
              <c:strCache>
                <c:ptCount val="1"/>
                <c:pt idx="0">
                  <c:v>2013</c:v>
                </c:pt>
              </c:strCache>
            </c:strRef>
          </c:tx>
          <c:spPr>
            <a:solidFill>
              <a:schemeClr val="accent1"/>
            </a:solidFill>
            <a:ln>
              <a:noFill/>
            </a:ln>
            <a:effectLst/>
          </c:spPr>
          <c:invertIfNegative val="0"/>
          <c:cat>
            <c:strRef>
              <c:f>'Figure 2'!$A$5:$A$23</c:f>
              <c:strCache>
                <c:ptCount val="19"/>
                <c:pt idx="0">
                  <c:v>HND</c:v>
                </c:pt>
                <c:pt idx="1">
                  <c:v>PRY</c:v>
                </c:pt>
                <c:pt idx="2">
                  <c:v>GTM</c:v>
                </c:pt>
                <c:pt idx="3">
                  <c:v>BOL</c:v>
                </c:pt>
                <c:pt idx="4">
                  <c:v>ECU</c:v>
                </c:pt>
                <c:pt idx="5">
                  <c:v>CRI</c:v>
                </c:pt>
                <c:pt idx="6">
                  <c:v>PER</c:v>
                </c:pt>
                <c:pt idx="7">
                  <c:v>SLV</c:v>
                </c:pt>
                <c:pt idx="8">
                  <c:v>PAN</c:v>
                </c:pt>
                <c:pt idx="9">
                  <c:v>JAM</c:v>
                </c:pt>
                <c:pt idx="10">
                  <c:v>COL</c:v>
                </c:pt>
                <c:pt idx="11">
                  <c:v>VEN</c:v>
                </c:pt>
                <c:pt idx="12">
                  <c:v>ARG</c:v>
                </c:pt>
                <c:pt idx="13">
                  <c:v>BRA</c:v>
                </c:pt>
                <c:pt idx="14">
                  <c:v>CHL</c:v>
                </c:pt>
                <c:pt idx="15">
                  <c:v>URY</c:v>
                </c:pt>
                <c:pt idx="16">
                  <c:v>DOM</c:v>
                </c:pt>
                <c:pt idx="17">
                  <c:v>TTO</c:v>
                </c:pt>
                <c:pt idx="18">
                  <c:v>MEX</c:v>
                </c:pt>
              </c:strCache>
            </c:strRef>
          </c:cat>
          <c:val>
            <c:numRef>
              <c:f>'Figure 2'!$B$5:$B$23</c:f>
              <c:numCache>
                <c:formatCode>0%</c:formatCode>
                <c:ptCount val="19"/>
                <c:pt idx="0">
                  <c:v>0.67596416751640787</c:v>
                </c:pt>
                <c:pt idx="1">
                  <c:v>0.47318120586002876</c:v>
                </c:pt>
                <c:pt idx="2">
                  <c:v>0.43111501740565356</c:v>
                </c:pt>
                <c:pt idx="3">
                  <c:v>0.3326097924019949</c:v>
                </c:pt>
                <c:pt idx="4">
                  <c:v>0.2913081495303475</c:v>
                </c:pt>
                <c:pt idx="5">
                  <c:v>0.28651801085937362</c:v>
                </c:pt>
                <c:pt idx="6">
                  <c:v>0.26411503835122818</c:v>
                </c:pt>
                <c:pt idx="7">
                  <c:v>0.23788580981115715</c:v>
                </c:pt>
                <c:pt idx="8">
                  <c:v>0.2249650878874413</c:v>
                </c:pt>
                <c:pt idx="9">
                  <c:v>0.21637842937200005</c:v>
                </c:pt>
                <c:pt idx="10">
                  <c:v>0.21508241100555492</c:v>
                </c:pt>
                <c:pt idx="11">
                  <c:v>0.18819818749349776</c:v>
                </c:pt>
                <c:pt idx="12">
                  <c:v>0.17312014846446763</c:v>
                </c:pt>
                <c:pt idx="13">
                  <c:v>0.15517232954099469</c:v>
                </c:pt>
                <c:pt idx="14">
                  <c:v>0.14874173741316807</c:v>
                </c:pt>
                <c:pt idx="15">
                  <c:v>0.13173998974395107</c:v>
                </c:pt>
                <c:pt idx="16">
                  <c:v>0.12699283786302737</c:v>
                </c:pt>
                <c:pt idx="17">
                  <c:v>9.7757846915806731E-2</c:v>
                </c:pt>
                <c:pt idx="18">
                  <c:v>7.6071345235242713E-2</c:v>
                </c:pt>
              </c:numCache>
            </c:numRef>
          </c:val>
          <c:extLst>
            <c:ext xmlns:c16="http://schemas.microsoft.com/office/drawing/2014/chart" uri="{C3380CC4-5D6E-409C-BE32-E72D297353CC}">
              <c16:uniqueId val="{00000000-5F2E-4C92-8D03-51C60083943D}"/>
            </c:ext>
          </c:extLst>
        </c:ser>
        <c:ser>
          <c:idx val="1"/>
          <c:order val="1"/>
          <c:tx>
            <c:strRef>
              <c:f>'Figure 2'!$C$4</c:f>
              <c:strCache>
                <c:ptCount val="1"/>
                <c:pt idx="0">
                  <c:v>2023</c:v>
                </c:pt>
              </c:strCache>
            </c:strRef>
          </c:tx>
          <c:spPr>
            <a:solidFill>
              <a:schemeClr val="accent2"/>
            </a:solidFill>
            <a:ln>
              <a:noFill/>
            </a:ln>
            <a:effectLst/>
          </c:spPr>
          <c:invertIfNegative val="0"/>
          <c:cat>
            <c:strRef>
              <c:f>'Figure 2'!$A$5:$A$23</c:f>
              <c:strCache>
                <c:ptCount val="19"/>
                <c:pt idx="0">
                  <c:v>HND</c:v>
                </c:pt>
                <c:pt idx="1">
                  <c:v>PRY</c:v>
                </c:pt>
                <c:pt idx="2">
                  <c:v>GTM</c:v>
                </c:pt>
                <c:pt idx="3">
                  <c:v>BOL</c:v>
                </c:pt>
                <c:pt idx="4">
                  <c:v>ECU</c:v>
                </c:pt>
                <c:pt idx="5">
                  <c:v>CRI</c:v>
                </c:pt>
                <c:pt idx="6">
                  <c:v>PER</c:v>
                </c:pt>
                <c:pt idx="7">
                  <c:v>SLV</c:v>
                </c:pt>
                <c:pt idx="8">
                  <c:v>PAN</c:v>
                </c:pt>
                <c:pt idx="9">
                  <c:v>JAM</c:v>
                </c:pt>
                <c:pt idx="10">
                  <c:v>COL</c:v>
                </c:pt>
                <c:pt idx="11">
                  <c:v>VEN</c:v>
                </c:pt>
                <c:pt idx="12">
                  <c:v>ARG</c:v>
                </c:pt>
                <c:pt idx="13">
                  <c:v>BRA</c:v>
                </c:pt>
                <c:pt idx="14">
                  <c:v>CHL</c:v>
                </c:pt>
                <c:pt idx="15">
                  <c:v>URY</c:v>
                </c:pt>
                <c:pt idx="16">
                  <c:v>DOM</c:v>
                </c:pt>
                <c:pt idx="17">
                  <c:v>TTO</c:v>
                </c:pt>
                <c:pt idx="18">
                  <c:v>MEX</c:v>
                </c:pt>
              </c:strCache>
            </c:strRef>
          </c:cat>
          <c:val>
            <c:numRef>
              <c:f>'Figure 2'!$C$5:$C$23</c:f>
              <c:numCache>
                <c:formatCode>0%</c:formatCode>
                <c:ptCount val="19"/>
                <c:pt idx="0">
                  <c:v>0.7514074923714763</c:v>
                </c:pt>
                <c:pt idx="1">
                  <c:v>0.35294303772197783</c:v>
                </c:pt>
                <c:pt idx="2">
                  <c:v>0.35819143483257881</c:v>
                </c:pt>
                <c:pt idx="3">
                  <c:v>0.60912005316749462</c:v>
                </c:pt>
                <c:pt idx="4">
                  <c:v>0.38760764283361826</c:v>
                </c:pt>
                <c:pt idx="5">
                  <c:v>0.23664740855778121</c:v>
                </c:pt>
                <c:pt idx="6">
                  <c:v>0.22901326073318545</c:v>
                </c:pt>
                <c:pt idx="7">
                  <c:v>0.32696399688780686</c:v>
                </c:pt>
                <c:pt idx="8">
                  <c:v>0.18973565157016781</c:v>
                </c:pt>
                <c:pt idx="9">
                  <c:v>0.34927186820475431</c:v>
                </c:pt>
                <c:pt idx="10">
                  <c:v>0.23271004888417116</c:v>
                </c:pt>
                <c:pt idx="11">
                  <c:v>6.1986797623778738E-3</c:v>
                </c:pt>
                <c:pt idx="12">
                  <c:v>0.17756910344678647</c:v>
                </c:pt>
                <c:pt idx="13">
                  <c:v>0.15394615942433684</c:v>
                </c:pt>
                <c:pt idx="14">
                  <c:v>0.19568298367505335</c:v>
                </c:pt>
                <c:pt idx="15">
                  <c:v>0.14731482041465788</c:v>
                </c:pt>
                <c:pt idx="16">
                  <c:v>0.17661738487060613</c:v>
                </c:pt>
                <c:pt idx="17">
                  <c:v>0.13687481379564073</c:v>
                </c:pt>
                <c:pt idx="18">
                  <c:v>0.14296248294433631</c:v>
                </c:pt>
              </c:numCache>
            </c:numRef>
          </c:val>
          <c:extLst>
            <c:ext xmlns:c16="http://schemas.microsoft.com/office/drawing/2014/chart" uri="{C3380CC4-5D6E-409C-BE32-E72D297353CC}">
              <c16:uniqueId val="{00000001-5F2E-4C92-8D03-51C60083943D}"/>
            </c:ext>
          </c:extLst>
        </c:ser>
        <c:ser>
          <c:idx val="2"/>
          <c:order val="2"/>
          <c:tx>
            <c:strRef>
              <c:f>'Figure 2'!$D$4</c:f>
              <c:strCache>
                <c:ptCount val="1"/>
                <c:pt idx="0">
                  <c:v>2025 (projected)</c:v>
                </c:pt>
              </c:strCache>
            </c:strRef>
          </c:tx>
          <c:spPr>
            <a:solidFill>
              <a:srgbClr val="E97132">
                <a:alpha val="50196"/>
              </a:srgbClr>
            </a:solidFill>
            <a:ln>
              <a:solidFill>
                <a:schemeClr val="accent2"/>
              </a:solidFill>
            </a:ln>
            <a:effectLst/>
          </c:spPr>
          <c:invertIfNegative val="0"/>
          <c:cat>
            <c:strRef>
              <c:f>'Figure 2'!$A$5:$A$23</c:f>
              <c:strCache>
                <c:ptCount val="19"/>
                <c:pt idx="0">
                  <c:v>HND</c:v>
                </c:pt>
                <c:pt idx="1">
                  <c:v>PRY</c:v>
                </c:pt>
                <c:pt idx="2">
                  <c:v>GTM</c:v>
                </c:pt>
                <c:pt idx="3">
                  <c:v>BOL</c:v>
                </c:pt>
                <c:pt idx="4">
                  <c:v>ECU</c:v>
                </c:pt>
                <c:pt idx="5">
                  <c:v>CRI</c:v>
                </c:pt>
                <c:pt idx="6">
                  <c:v>PER</c:v>
                </c:pt>
                <c:pt idx="7">
                  <c:v>SLV</c:v>
                </c:pt>
                <c:pt idx="8">
                  <c:v>PAN</c:v>
                </c:pt>
                <c:pt idx="9">
                  <c:v>JAM</c:v>
                </c:pt>
                <c:pt idx="10">
                  <c:v>COL</c:v>
                </c:pt>
                <c:pt idx="11">
                  <c:v>VEN</c:v>
                </c:pt>
                <c:pt idx="12">
                  <c:v>ARG</c:v>
                </c:pt>
                <c:pt idx="13">
                  <c:v>BRA</c:v>
                </c:pt>
                <c:pt idx="14">
                  <c:v>CHL</c:v>
                </c:pt>
                <c:pt idx="15">
                  <c:v>URY</c:v>
                </c:pt>
                <c:pt idx="16">
                  <c:v>DOM</c:v>
                </c:pt>
                <c:pt idx="17">
                  <c:v>TTO</c:v>
                </c:pt>
                <c:pt idx="18">
                  <c:v>MEX</c:v>
                </c:pt>
              </c:strCache>
            </c:strRef>
          </c:cat>
          <c:val>
            <c:numRef>
              <c:f>'Figure 2'!$D$5:$D$23</c:f>
              <c:numCache>
                <c:formatCode>0%</c:formatCode>
                <c:ptCount val="19"/>
                <c:pt idx="0">
                  <c:v>0.79559695446012157</c:v>
                </c:pt>
                <c:pt idx="1">
                  <c:v>0.36249304285204764</c:v>
                </c:pt>
                <c:pt idx="2">
                  <c:v>0.33934482184678116</c:v>
                </c:pt>
                <c:pt idx="3">
                  <c:v>0.65952889453992392</c:v>
                </c:pt>
                <c:pt idx="4">
                  <c:v>0.3990160088028501</c:v>
                </c:pt>
                <c:pt idx="5">
                  <c:v>0.23853123661312109</c:v>
                </c:pt>
                <c:pt idx="6">
                  <c:v>0.23627178982566321</c:v>
                </c:pt>
                <c:pt idx="7">
                  <c:v>0.36850822214440498</c:v>
                </c:pt>
                <c:pt idx="8">
                  <c:v>0.19540515295546967</c:v>
                </c:pt>
                <c:pt idx="9">
                  <c:v>0.41868439201574137</c:v>
                </c:pt>
                <c:pt idx="10">
                  <c:v>0.26866958839796823</c:v>
                </c:pt>
                <c:pt idx="11">
                  <c:v>6.1986797623778738E-3</c:v>
                </c:pt>
                <c:pt idx="12">
                  <c:v>0.14672339936476791</c:v>
                </c:pt>
                <c:pt idx="13">
                  <c:v>0.16563150338532012</c:v>
                </c:pt>
                <c:pt idx="14">
                  <c:v>0.2055041822830394</c:v>
                </c:pt>
                <c:pt idx="15">
                  <c:v>0.15402084951629272</c:v>
                </c:pt>
                <c:pt idx="16">
                  <c:v>0.19019474646326937</c:v>
                </c:pt>
                <c:pt idx="17">
                  <c:v>0.1541622635018241</c:v>
                </c:pt>
                <c:pt idx="18">
                  <c:v>0.18083926013157414</c:v>
                </c:pt>
              </c:numCache>
            </c:numRef>
          </c:val>
          <c:extLst>
            <c:ext xmlns:c16="http://schemas.microsoft.com/office/drawing/2014/chart" uri="{C3380CC4-5D6E-409C-BE32-E72D297353CC}">
              <c16:uniqueId val="{00000002-5F2E-4C92-8D03-51C60083943D}"/>
            </c:ext>
          </c:extLst>
        </c:ser>
        <c:dLbls>
          <c:showLegendKey val="0"/>
          <c:showVal val="0"/>
          <c:showCatName val="0"/>
          <c:showSerName val="0"/>
          <c:showPercent val="0"/>
          <c:showBubbleSize val="0"/>
        </c:dLbls>
        <c:gapWidth val="219"/>
        <c:axId val="322940672"/>
        <c:axId val="322945952"/>
      </c:barChart>
      <c:catAx>
        <c:axId val="322940672"/>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322945952"/>
        <c:crosses val="autoZero"/>
        <c:auto val="1"/>
        <c:lblAlgn val="ctr"/>
        <c:lblOffset val="100"/>
        <c:noMultiLvlLbl val="0"/>
      </c:catAx>
      <c:valAx>
        <c:axId val="322945952"/>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r>
                  <a:rPr lang="es-DO" b="1"/>
                  <a:t>MW / GDP per worker</a:t>
                </a:r>
                <a:r>
                  <a:rPr lang="es-DO" b="1" baseline="0"/>
                  <a:t> (percentage points)</a:t>
                </a:r>
                <a:endParaRPr lang="es-DO" b="1"/>
              </a:p>
            </c:rich>
          </c:tx>
          <c:overlay val="0"/>
          <c:spPr>
            <a:noFill/>
            <a:ln>
              <a:noFill/>
            </a:ln>
            <a:effectLst/>
          </c:spPr>
          <c:txPr>
            <a:bodyPr rot="-5400000" spcFirstLastPara="1" vertOverflow="ellipsis" vert="horz" wrap="square" anchor="ctr" anchorCtr="1"/>
            <a:lstStyle/>
            <a:p>
              <a:pPr>
                <a:defRPr sz="1000" b="1"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title>
        <c:numFmt formatCode="#,##0.0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s-DO"/>
          </a:p>
        </c:txPr>
        <c:crossAx val="32294067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Times New Roman" panose="02020603050405020304" pitchFamily="18" charset="0"/>
              <a:ea typeface="+mn-ea"/>
              <a:cs typeface="Times New Roman" panose="02020603050405020304" pitchFamily="18"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Times New Roman" panose="02020603050405020304" pitchFamily="18" charset="0"/>
          <a:cs typeface="Times New Roman" panose="02020603050405020304" pitchFamily="18" charset="0"/>
        </a:defRPr>
      </a:pPr>
      <a:endParaRPr lang="es-DO"/>
    </a:p>
  </c:txPr>
  <c:printSettings>
    <c:headerFooter/>
    <c:pageMargins b="0.75" l="0.7" r="0.7" t="0.75" header="0.3" footer="0.3"/>
    <c:pageSetup/>
  </c:printSettings>
</c:chartSpace>
</file>

<file path=xl/charts/chartEx1.xml><?xml version="1.0" encoding="utf-8"?>
<cx:chartSpace xmlns:a="http://schemas.openxmlformats.org/drawingml/2006/main" xmlns:r="http://schemas.openxmlformats.org/officeDocument/2006/relationships" xmlns:cx="http://schemas.microsoft.com/office/drawing/2014/chartex">
  <cx:chartData>
    <cx:data id="0">
      <cx:strDim type="cat">
        <cx:f>_xlchart.v5.1</cx:f>
        <cx:nf>_xlchart.v5.0</cx:nf>
      </cx:strDim>
      <cx:numDim type="colorVal">
        <cx:f>_xlchart.v5.3</cx:f>
        <cx:nf>_xlchart.v5.2</cx:nf>
      </cx:numDim>
    </cx:data>
  </cx:chartData>
  <cx:chart>
    <cx:plotArea>
      <cx:plotAreaRegion>
        <cx:plotSurface>
          <cx:spPr>
            <a:ln>
              <a:noFill/>
            </a:ln>
          </cx:spPr>
        </cx:plotSurface>
        <cx:series layoutId="regionMap" uniqueId="{63969CFC-4988-4750-956E-49296BCDAE63}">
          <cx:tx>
            <cx:txData>
              <cx:f/>
              <cx:v>NWC (% formal wage)</cx:v>
            </cx:txData>
          </cx:tx>
          <cx:dataLabels>
            <cx:txPr>
              <a:bodyPr spcFirstLastPara="1" vertOverflow="ellipsis" horzOverflow="overflow" wrap="square" lIns="0" tIns="0" rIns="0" bIns="0" anchor="ctr" anchorCtr="1"/>
              <a:lstStyle/>
              <a:p>
                <a:pPr algn="ctr" rtl="0">
                  <a:defRPr sz="800">
                    <a:solidFill>
                      <a:schemeClr val="bg1"/>
                    </a:solidFill>
                  </a:defRPr>
                </a:pPr>
                <a:endParaRPr lang="en-US" sz="800" b="0" i="0" u="none" strike="noStrike" baseline="0">
                  <a:solidFill>
                    <a:schemeClr val="bg1"/>
                  </a:solidFill>
                  <a:latin typeface="Aptos" panose="02110004020202020204"/>
                </a:endParaRPr>
              </a:p>
            </cx:txPr>
            <cx:visibility seriesName="0" categoryName="0" value="1"/>
          </cx:dataLabels>
          <cx:dataId val="0"/>
          <cx:layoutPr>
            <cx:geography viewedRegionType="dataOnly" cultureLanguage="en-US" cultureRegion="US" attribution="Powered by Bing">
              <cx:geoCache provider="{E9337A44-BEBE-4D9F-B70C-5C5E7DAFC167}">
                <cx:binary>zHxrc524svZfSc3nF4+E0G3XnlO1uay1fI3j2Ll9oRzHAQRIAgQIfv1pJ3GOveIdZ9eet2ZWKkkF
lpB4utX99NNy/nnj/3HT3F73L3zb6OEfN/6P30rn7D9+/324KW/b6+GgrW56M5jP7uDGtL+bz5+r
m9vfP/XXc6WL30OEo99vyuve3frf/uef8LTi1pyYm2tXGf1qvO2Xi9thbNzwk3tP3npxY0bt7oYX
8KQ/ftsZ/Wnsr4ffXtxqV7nlcrG3f/z26Eu/vfh9/1E/TPuigZW58ROMxdGBCENCWRj+9qIxuvh2
PRDsgEouESLw++7D7yc9u25h4K8s5ctCrj996m+H4cW3vx+OfLTwhzeqwSRf3zwxd6vcnX15rd8f
I/s//9y7AC+6d+UB+PuoPHdrH/u4v16r5h6E/x75AKMD8uWD9qCn5CD8Cjn78tfd/a/2/gr98yt5
Gvj7cXuw31/eBz2++BuAbppqqq7v3//PQJ0fIMoEkxTJr5/Hfs+iAylxGLJ90J9fyb9B/X7gPuz3
13/A/eVfj/tVPxbj9fIn4k7CA8EppQSTx4BTdoAggFKCoq/2EPezfvX2X1jK08B/H7gH/Pfr+8Bf
vf/rgU9NW+nq5lq/uLi148emurlH47/3fSwPkOQRCinE8oexnkMkQqFAYIKvAQffT/rVBP/Zop62
xlPP2DPMU1/Zt1H6N9gc2/HaASlo/sSwhOkBRCSJGIsem0aCaShHHEn85O74pbU8bZEHQ/cM8eDO
Pv7by79+j5xf99fFnxudQnJAMKOSYP59BzzcIVQcYCZJRAV7vDV+ZS1Pw/9/I/fQ/78b++Cf/w0C
1AlQR/3iX+1tD1HqHot/F5v+/7GxN7f6dh1v/8w9KA4QwoJjfE8M9qIkYwd39yCBfSMOe4nql5b0
tC88GLrnDA/u7HvDm+yv34r/6os7Zqqf9YTHzP1nFUlA7hgYi6S4N8S+HeA+46Gg+Bs9BkLxkB7/
0pqetsODoXt2eHBn3w7/+hvw5PNrfd3+iUYQBxRLDkThm6tL8PWH8VCgAyQEpRERX+MlfWyD59fz
tAHux+2hf395H/rzf/31WyApq+b2/u3/XSD8T9wfH3CGCeHhPfiPoecYUpXgHJO9VPTsQp6G/Nuw
PcS/Xd0HPDn5GwBuGtN+/DOLwgh4MRR9kOD3oA4PJLg5JtE3L99H/BdW8m9A/z5yH/fvN36A/m/A
fI8gyPxC2v91b8fiICRfwjj9Fmn2LMAPCIN8K6JvSRno8cNY/wsLetoA3wfu4f/9+j78R6d/veef
3vrqxtwj8N/HGmC9khBgvRzC98PwjlF4APoIu/t1P93XUvD5JTyN9/24PbjvL++jffrur0f7sodK
/NP1pxfX+tOLS/PxuvgToQfxj0eMScTpkwUHw5BgoRrn4Z4B/sNVPW2NJx+yZ5onv7Nvp8u/QTmY
3YzXn0x/76f//bYIIMMSyRnje8U4lxCNwGgy/KrPInw/6dfN8Qsredoe3wfu2eD79X3cs+Sv3x/n
t/14//5/AujsAERZCDh3Xv/lsw8+PUBQf9MQyvQvn71U8Nxynkb+66g92L9e3Mf8PPvrMU/M4K5f
XPypOVge3PV5QowA/q+fx8lARAdYUhzK+04QJIuHOfjX1vQ0/A/H7hnh4a19UyR/g5Ira168vm6m
Pzf0YHLAScgxZRBaHmZkIWB7cELCaC8f/OIynob/0eA9/B/d2zfA6zd/xl749/LQd4EgvXbX2Zde
54N+3c/vfnlVaMDuDf3ms09Gqq/ufPgJ+qES+j7fO6h3j3jk6/eF6N6A2+vB/fFbwPkBBvMJFhEu
hQgFGHG+/XJLEIhekiNKESUclA2IXtr0rvzjN3nAIk4h6kkwrggZBr1jMOPdLXgeVOFCyojcNayY
iL63l89NsxRGf4fi279f6LE9N5V2wx+/hTC9/fq1u1ejlEnMObn7g0mg3RRe1d5cX0ALG76N/5+G
cn+IpI+yzpXlRtIIvw75Mu/WlXVpKHx4FrSTO5zWJSRJrkN5IS1jpxQ16oQEqE7DcYgS5dCUIR7R
rXNFN8Std0EqxwptWQnPKRgVCedeHz4A+onVE5Ac9lcvcMijKOTAWWH9j1ePmwASQy5J1gRMnLdl
Xh1L2YYqaYulSp2m740aULwsKqhiXuvyaFFrFxOLKY1NVNGtEqXeTKjarApA8NFYx51r66NB2zme
2fhhKM0FJKDuHYdOSQy6l/yQNxylWBE1p6FXMun84rcdKafjUqIlzVfn0lYOLHO6NGdoaqudMcGw
UTyYNvUowk3njTru29bvfg7Ij3iEBByJoQiEglDs40F71JqxqUkm+tZfNrYaxngdu+I4l2UfLxWp
33VoDX089tPHn0+Nf/QkBuobC8GngCZBkfzYFrrRbSHGAWfjDH+sSsor16xLakTlN9bmm4b3TcrH
to/LaXoT+Lo+WrCFZtf3vfeES8DG2PMIcGfBmSDQOgxBM3m8ClNaV09euGyeCI6DnpoYzc3ngIs3
Udiuh4BDFf98Ssh1+1MKGkkUAQ1hiN7t1YdbaLJlPrqOu0zMiCUhE+/arr8YhH5uoh+tywWcyuCC
UQqKs5CPJ9J2KjRdmcsi1SxNvNLVbHND3UZ3YZR63tfx0IvwSE2KHv/8HTF64iUlBAM4FwLvSdDe
3DlYtrB2dFmdO7NtbWczwXSdiqHgWYP6S6vzPPbNkA54faNz1TyD8lMvL+H9iSQAwg8oD0HB6nzq
XWZo/g7l5tp37J0iDYq72SWzwxut2eXP3xoC8L5lJdAggRmJOFRley5dBfOM9Fi5zM4DPayqYkhY
LezVz2f50X8ElhDMMejXEiS8u/sPQvDoo2HQXPYZr6syXWSkIWC5IdZ1VH3l/F/FlSd2xxNmhLlY
BJnlTk2HWPF4Ls7mue4G2oMZo+Ox41cdprdBqVVSIWTjVfVZh5Zmt+ImDd3w9udv+mUrPM42cLIo
ktAyizjkQroH6BCtgoOH9Zkj4ae+NifI9x84ch9IMe5w3m6MLfK48ixVJX+NAvlhVnJJ6BpauEq3
XSGrZBR1ldT8a2Ps30LzhBUeLW3Pwd3QllNewNI4lUehlucych/BNLtnIPgxTAIEHI43hATCE8TL
xxZgQSu8Ctc+U5F/zd2wFYa8aUjfx2IcsyFQmxKVp2ImZRzWxRLPXohnttKPbg1LgACNwbGjO2r5
eAmVck6Z0YMTiM5kPLIynS3pnnnTu9z7g62hZJYI47vaeC83I6OadkYTzKL4VbHwS9e4Nxqybe+H
7Oeg/hj0BeR+KBMh90CDYj/oq6iRqKNjn5HV9ru14O8qswxxOJbRdqKOxpUIl2dAfOr1yB2zg2Mq
LAJ17DGIsseYeTX0WWTHy0LKOmZl/9FF/Ggqyaefv99T2zYknHHMKcwU8b1t2wVsDfOl77NmUU3a
Bp1PqDBtUizGJ6VV89a6aopnJ96ZYk5QZ8NnrPlEegeMxd2hnAjKcUH29sc45wHqXNdnPYtOJaT4
46qb1Mbla+qX8XYBs5xgrKrUV2YLvPWimvrgGcyfXAT0lyD+wxlESEJ72b2WhenCUvcZ9eYdIehi
weHpgt2lxfYNULtzyF1r3NHPUSlj4s31M3a4i0/7Ph1FAoIUcCwBXv3Y6FOr2rEYij6bhmnJ1BSc
yBqZbZ2rMnNUb4ZoyKa6qjesk0HspcuDuCS0TIMwyJwjUawXnNQRV3HeBfUOznigtDcapT9f6I/O
KaE9Qe6EEVgkJnvOiYTm5UoRhsQVXVUjEUdKii0XyxyvUzA/k1V+DJ2QSthdGQH6JcfRHirDHLLR
qQZnkg7Tp7quXlNiyOcpeI7ehj/iD5scJkOM0xD0h72YolSOa19HKMNdeBg09t1K6ihZ9HDuC+CV
VT43cdEvetO1+sgXoUzhgM28s22TjqhuY82JiVXpRapr/sExMe3cHBWx1W24cxTIBC7LV/0E9oma
VsQ09H1q3ZJOZIwSjvxN4fTRf2YrOF0SQgEGpvrC3Pej8TzqktmyW7MRCqiM0la88oWhsVijPK1m
/Vxc3o/+X+eDDhZUnlBIorv7D+hG2To1IduvWQ/s/NgoRF8NRc6e8cD9kHw3S4SxEEiCFwJnfTxL
E1W4rVC7ZmG+Nulqy4+rrz64yJ4MLcqkW9tnJtx3DZiQQB0IgghGoMjyPRbu7VzC8YB6ycKCF+9s
V4dZOXbXYY9vcFP3cTtVVaxMpJ+ZF+/vtbuJgRPDWSGYH84D7b0pVcIpJ4TPmk73sYUsFBpymTte
x/U8kKNwspmi6kqsn0smXmtUvWRCn+TAgFbTvgtxqOJJluaZWLm/KWFZUChAjILTfRTaCntJ3uvC
DRr2Qia7QaS5L6JDmxcykXaxhz/3YHznMg/DIswloGdxVwBJDELHXripl2B0TVB5iIFFk/SrLpKC
2DTi4RoXUCVkKw9RylZ8Ted8swzLkEDlFySRiTbgHiJu5urjz9f0hDuALszvliOAZ+E9q4xdVMJc
tc/UwNxmAC6SkG6wGeXrdUiWd2osqqSomnLz83l/SNUcYUiSUAlSCMF3RcNjxwfNBuK5V3O2DPXn
hq11EUve1m0qva6yUKj1ZNajOWYNAeFB1T2Pu7Zzn36+jLszgnsmAaKARYQJNO3EDyYZm45MxRhM
WdTM5BO1+ft6ql7OKBy3OXe39Tyyywm4TREPWBYXvbLLrmnWtA1l+SoQ/WHdcHEyTrXZ+Z4XccSL
Qsc6MP1xF/l+EwWrecWDvnxp14Ae1tGKD6Ve58ygRr+nbUd3hqzog7NruM0jI7djOY6gO+hu0/F2
SAaP4naxbdoMU3tmZr3tOk2ScOnahM06PPSR+qhBXzvCIIWB2Ib9hWsNLHKMUqlCs9Fh+Kabib9Y
mlXHYq6nXcgGetYZquJqaszLdnDrtpQtz8oOqxTIaJOnxTz706buojMnFKgiDPXi2M+4vqq5UXRr
uSPrM5vxxxgBiTGSTHACm0RGe+Rp7ZSI6qafsrkd6SfRdPlViHO9a1f0hvbSP8OHn3BCMDywNSix
QGH8ISYFS7coOso5KzS5pEV0BTb8aLj9MA51HVdzASXVsOs4yYoluPm564U/Rh54WYEYhqNx/Oup
+YcJpq1WLUrWTJnlRf5mxDaM24rTtOUov6mmkFVp47sgCZvAX7A5n982AVGXZdPz44Ib9nlSEzii
8sGxawer46CpyJj0nalWoE0QzWq0+Au0yDCRuqsSx+FBiA5oa4nBZ9EwVtufv9OP0SSCjRvCiQPQ
1eBE7t6mbuiyyH6eYTf1hU647avzXlbipbAefIeV+aGYfJG5kDfhM64DRODOOx6HV8grcLQKwwok
HP3dC68lzl2R5yBD5KXS1aZWuo4xFe1haIQrY2uZfW+qemDxVHh+2NuKtjFrg/ZlTlv9yYuqelto
5qCWrKpDPVB/vuY0BwWpHqNjZc3yTrCSHIZ2+tyMHp+pUgzHYY2bMzFjqJy6XNMonkohd25s/bQJ
qsWc+46+1xifId7gXRia6NgK06fl3F6tsr0mWhew75w5JMMQvu15yz8sRtrEGtOcak/8YZP3fGdp
2J27JuQJMBZ5MS2RPZujcBBJ3o1tm9k2IoeBbPpdKVR4aRA3Jp0Ckq2Qb3eajvZ96RDeqpzppPEj
j4m23RRXkGbela2Zr0C3kVkd1WGf5YupEtupQiXSgL6QWYIAiLbtzUk1NMNLHyzw79xM5jhX8zrF
fJjW66Aeg2vg2fhymAm9pr4buySQNWRtPIRtphy2730jVbp2s39Vq7HZCJKvh8gF1csmF8srPOUm
mWyQx8EQctDJlcJpGXJ+XYYjnuOATEgWsaArzax2hqRDp7uzvgA1eVN3Ok/KRflTagOT0hIV3UbZ
sqmSPAhCtl1yB1iwebhsnetVPBfIvl+nxm6GrjVVjEkgz3CF7ekw+jyu4ZzDB0G68piWpds0puCp
LFgYiymv4olxp7Le1LWKLci674HL0DAG5XSOS07VrllLnmlRjNlCTHe01ErtwqqrP6FiGs+XRbBk
qWUbr3guz5rWq6MlCqstV9UMPYRVJQIpkgyoBVdbiMpKi0/LHAVjHJi6TN0kmYnJIIIj3JT01rvF
DkAkUFHGK1S8RSYcyFzbii4iSljYd1s35R05XHooijeGTdCrCHFUA3cnTaHiUohuh6SXmarLICnU
VG1rlpND0XbVNhLVeIYWVh2VqhC7ph/WCxSEZZ9Uk5yquJib5WjlS/GKMyAtK7XypCZDDhp39Rqr
Gp901Oqtsz1600uijytmaWbmJd8MPcJthio9Hvm+7tJOM/mmVnLa+F7wD9XIut2qI98l0VqXia+X
9m016hXSq15O82DySRgGTsSoleHRTPMuqVae4UWM6epZAJsMVxcq9PYoMly+WaZJZn1O/UUfAL+I
VyO6035p8o2ZmsROCwdEHD5zuuiSFfSw05wtme+G+cjUmJ8Z04vEFwKnTLpqO1Tt6OLeGsHiiNDg
yC1zd0aZ6l/DNnk/8p6kTNgmDaCm2Lo+5IfS1fIIiSrYrdRV6UoDflnVjme+yOU7j5W/8GW43tgG
jDkVs9hYCJoXNejLpyOyLtVNLc6WtmGnnOfTaT+u/GMIWeBG6gBMl7fqnaV1uP1i03moWdb4ITrL
K2+gjnOLOcZWln7HXV2nQ9tD6bdUkzvNoxm6VRWJ8CWGDsHFooXbYRbKpKpQdyxssbwM6jaTZPDn
Yxv6C+NJdZx7ZTYTCPubkOdLFoQiyJpZssQjKo47qIaP6lZdz8zLMXa5ChIUOLJrGH3F2gGSke1l
FlZMnVdQop7ros6HGLRGNMXhGqwvnVnJ6ey4KmKNDZBFVVNpYobrqo3pSE5ZRachZs18pYMuY2Zd
X1ezwmdcgf/CFD3oppONmaoRSfu+JyT5kgWd09DumsYph4KkCs2c5ZBr3zccxupB2Pfh2KvjgZTs
0+y1Tlw3m2PCbbVtxSyzVre4iqu+RkUyAxDvDIpgjdhP+oyacde7fDrqmuHQlqJ4OUnRb7Sl3VEE
cuJZVTfiVaD0mOpl7C5GIdYPaz9Ub9kSLa+0LF/r2QS3bOURxJ6KJqCh4TOyoDZp1KQTtazjOc+H
Eh8GBR6XU6srFY92UDj2Wln+0irV4906aXEBYoo9Wts63LBFwGDo0/GriU++yjySc5jqsZj8Tuu+
eFU1kZcb7uSYAsIzhRIRa5yCSqt8KogN4rlb2LQdWcE3Ze0L6AZCe9cndTeth3bFdpNbrV/Zmk1d
Ijpmkl71V41Hc1L2PXtp5tzcKhz4t00pA5h6mObNhH3+lgRR2cVlYMrNPEzmnQJ1nCdsCpjJSk+X
zSD7uozn0sljx9GndTQ8Gye3cTVdYzJ1XZ3UOT0dlFdvJdLNtsq5YnETCpFAlpnPQRyfPvA6qK9r
1FaXxvpi02pC60T6OXSb0IdDBVE8WN8H0aS7NKqdsAk8vt3RYoV4g5rDWZLmFfRHzedVkzrBlGsc
A17zFfNkObfBBKpIMftER9S0cagsOcKl6jbQmB6PJwY9mdpu15bPmYfy5HqWoTubKPFXeS7tuvE4
KM9yE5FbhKqPlk/8ZeFo/ymwDfDEsZnolZ8hpkB3dvHnFntgNbUV/GpdQ+geGorOrFX1oVRjCMKj
85dQB/F4sHVzDCm1eT+uSCbT1Jex00MLwaxNelO8RvV0DPXOkBAf4EQOxXHTq1eMTjqWUydPAg+b
dSoQOQTVUZCM5VDgbLELoM1tZ+Cg1OuLBTXhFuHZpSV0ID94tbbVGz6s75cqKtEGkrQuoMS5IxfR
BAYaDOzOspRHiw+PCuDhu9b3HZQcUPNs+5WeN3Og85hTBwVMGXaQ5chAIARHpIfUzjX0EQAT4c/n
OS9t/IUFybEot1Np6aGZhnqNfdV2O+yrIwFrPAW6MpxDIG1i7viblt7xmL6Rx4ywJkZqejXjotpA
6lbH3q3HaGyL1LFOXCpg07RFw5aPQKmDZsKbqWx24+xaCKCBiaHMG+Ix5G913mZzCb2pMeAYEnL4
OQef2lGq19iilmbC8qwNRraxZVvFItcilmZ+x9QY7JrBw5JnCxPSunwDCNUf267Uca0R39SCF2ed
7IBdC3lY08lnog2Hly4S7HC8E436rvRvGWuro6EpIAL1+fIGocYdGw5bxbQmm5vKxnhGJh0Hr+PC
G55wL+pDRMi2G9WUkGE2mTW7yvoljQp1CZu5SepiPautFolEts6GhZw7NiPY+Th6JXLsQUv0yBz6
pRo3rir1y3q2y3m42qHd9L0tzxYMEZRCw/BVr0qzXRlGZ+uiXkJuG/0dMsBgF+AbbQ90dGZyyCrO
2kRCoHtF/Qi91KalJ2qououZFPJE4PYmn/Ry3DQgYKVsZOLE391AvVNFEqGqibEpcFYGURSX1SCy
wdf9DmqgMeZT54/K2VPQw4rxCp5zPMHuOpqg23an2mN3XbTXC6/oBrl6Tg147dFYL8DISF5uu6iJ
gCfn6iQcKYOIZcGGRd5lVd6eearxWQA/VBor4BjBGOpdPuR+Uw5Sx3koIxg+3xAW6MzTcjkrc7Km
FMjgIZprchXkpjtpdLFcTBWuDomr0Xkx5t12ChEUOWasA5ZiNPs2hYaph/CJlxO+hu2266Plis3W
xUoadREpBsc6ujYaEj6FRsXIaHpKCl2TuGx51MQmAK9foXCLueTdMfRIqj6Wy0J43FcRbJ5xxWpJ
sEb1RpZTmRVkKOpklpKmKiDrLVPMzmnLZA3PKfIJeHrn2PmSlwRcR/Tmg+JN8XoKanvolPdmU+Sz
KFKQLKZXg4U6N1Fonc86l89nkwn9pgsDW8fFkkOYMv3aXo6NCk4a+DlDSPcrAwJgcACaEWiYcL4m
HaPVxjn89PoJaiN/MVhFr/3Ufg5UR6MNKFkEjI76NKwQDxpQQewAp1IW22xnODl5AlJUcFSsRG1w
rdVF1bAxxh2W78uW6bftFLgYesLV1tzlfFxqoC9NBaCu/QKB13Ej0ikEJhhBFjwMBlu8REw7oNhr
tRtMqEHJpTbzTdCd+VYmeqIyXhzyMQgxYqsCUSUT9IIWty5Zu3R2g2Ug8mRwdZ7NFeG7qSxcxpbG
3izgXikqON3kIuAbCqwRevtuUSPUn0twTtti2EKNYE++HKZxUY+zem2XKca5QdfGG5ayXuCjXDkL
nbFSJBZ07hgKHLEZVm1jVcFJpa7h6TBTIHXElylS+XyN6qLfNCEYx8zsqJPLGbT28JvVBp+4VsWb
aSbVx8khtFnHor0ZgxaOd6Da1Enk9MXcjMXRQE15sgQTxPaIorS0C4lpNIdFPGuJX8uoqHxiVxov
wd2SBgbKy9ScCNdjG1PS62SUU570wdSdTCLczgQ4Hfx3JMGus3WX6ZCPRwjU662nMj/CK2m2ReBs
inWO0kJY2Kw9dJzCQs/HIwSr2Nse6pdgkKcg0K9hUq49nBMB0XVHnfRTDIyBQz/E5A7ya1e4y3BZ
WRkzg+c5rtuyy+q52fYgiZxKBAptT+gRZrPbrqQHeluQEVAkJjqc/djHBVlYbCoyvY3Cej60NujC
JB8a8F/d0wwUNn0ctBLyXR+mU3m50qg8ChA2KPYlEMa8EdC+sZBP40n0wO40gUJAXRZzlR/mGBWp
BkkCFIjldTFU7GiZij6thCyWOw15PMwJnjaatFXSBhrOWCEISRJ+ZGiIEVptAqCZLSgDJpHA3TOl
5jpHseC5XUCwhxylBsxP+tqdjR7KRUg7ySTJdFNApz4BBv1ehoM/WxoGYhQc2DsvolwnoIxEsWEN
S6Y8P5EcDpwxN8ybNVcyI4E5XNceUnYUvPO9OhxYeatx2yRzdFfEzSZMnVpZ5lc2xMAW5LZ39jAa
xzKZ8269nDQMJqVaE+cxOixwlSkEzSuoVZJhqqfUzEUHMsiywo6VKrMlDzYGrRvQ9wvoOd5lBFXZ
befr+UQoUPzCyNAkF7lKmxz+F5me6BTxus5QwPgpJjVNaGVPiK6rrK7AFWiJl0wsCFonlT/VyhUQ
AZuLvBYuplUrwcUc8F2/DRm6AiNcu0K9AaDeLLTezVG/XTw7nse2O+0gI0fZ1Be2S6tcDDmcmCMS
KMq6SBqPfNGJiAJ/Tho1HOEQSNC6qphDpJzjLqKBiCvSLOdi7f2rqOq8je2kg4uI1l3cFSo8E1DR
31aS0QRh/XaFHqWJo3qYk6EA8UQOgc+WyBVJXuXjVnkZ3cB+krG6C/sLOMsxoyR0sQWxKCmgttRa
Oji3x87zhnVxjyfydsLkUqxhlMxta88oHOqL4ZTX26oNq5TLpYbzXng91v3/svdd25Hj2JZfxLsI
er7MA+jDSgq51AtXKlMC6Al68uvvprK6WgqpFFPzPNVVLRcRIGEODrY5FLlXYzTDpFKIk9gqTmb2
0CITUkcnJwzn+US1n5R2uctbhqMkTu3YRVMALXP6G+BE5gg7uVMmqYcYkw+OmXe/+zj1Ee0w5TQc
rgFvKle6Mihektrynpuada1avXVIOKlcUvdpCG1ccWASiTKckg8r6s1pOfY59oc8uY/nucL2nemH
jnfKPq9ZfpBFA72kYL48qo8WI8xRS+QOMVH0vTE1BRbXaISGnmqPJpmmkPStM4AoPwxIDaDu66Zn
e5TqmyqdwBoYOLrEC1k2wLjBHxgq0DJ9Mmvf6EUbaopSHCSRxvuO5/azWTVEgbCysmWKDgCalkNQ
0DhMlBJ2Ci4byV0HkMcAjDPFyi99MbFB5cSo2XpAVg+DrCEhZoy5tdzznyYwka3Amrg2MQZbNopy
W8rqbLnWYrYvtjFzNMdT0BJz14VlOrOjadbjQcee/HtKU+lUN2r2GtfFvJtyVv9oCzW76Tp5INSU
gWiZAoT9POok6GKzB+HfKm4GsMZTGcfkqZjuqo2wsBSV5pEp7XxLyqQJJjsb7tpFq64xup3sdH3C
wzhG4sNSOd2ZDcs9UPX1tqzSOPdw3pkoUh9jG5sJw/m805xen8bGUXm1uAqa3nfllIBBa/ooFVMO
3DGFdKvVLH9ujBSywKE72JmhUjbM/KqPpeJUNEMTNomOrMbKGOhSkSoMnADOR9NNQsop9oVNALRn
pNF/siUBUAFFpe0NxYRh6pEypFulQ3hRLDN/thvsU4s51imddN2+FQbXHaEWtbPkhXZfzip7kJDa
mNVse1YmKoUCnJNcS4iqpvOEbaJYJNupO1O9T1oVMJo5sRNi/A0QPUfWcCQG5Y/U5JQBfUSipvvC
EMGkNikEx1aE4lUGtayGmoTLDiGYJr2dP3UFwIe2mkyQENKrmkFVJvMaCHeh0mXpNQ+wdshBNjhT
UpauZDGAvhbWnMi6+8QSEZZu/6vpAdY0+di6FTd6R4YUuK4EEMFYAjDAE32T4dapOev6riFSFXDT
rrxlyjs3H7Iu4kCxXR2b7IscY4vu9ELxtUXXX+aJ2I7eT6rbI9EzBo7EZLSHbVJW9W4VgEbA6yVH
YoruNstQtVQbisLhdpk7HO/bqAISC3QdkD5AsO2plw2ZAr4a9jVDoFDkmNxmfW97cq8a3jzoJUeW
y3Awaq08RnYmSxSiVQOTabKuBWCt3duBe+bleMd4SXaqygZXa9OOynPFQyvNdWy7o7VNWmOjaFbO
qar4s9UBsxLQtgdKpfQnopEiGLR58AFW5xKFADoN1CG3Q23sJ09Ru/pH2lTmzzJNsseGdO09cDUj
o2Mys9RNFV5ti2Fqf8dgCbYlWK5okgATz8h4dmIx6iubZWlQzuxqtsrUVcuZ33/P9SgrmfORblkl
ZLgFw4QNFTqjjwzuCDIq47IiPKKlmiO1Avsdse/KDJh0Xh/LmNQnHVd1B87lBdsTkhalkE1I9dRc
/2ms6fTILCMwBY76uZzfkTGtNm21MJolJQe+ptsXrvkLBl5HnIeQRDVA+ILw/njNGhCmeFQzqDer
VLubk8l2+KRyHALqzMk1CLXaNeIoffWbq1hILUiDbVq02r62ypYuCkSfSI6aC8qAz7yZbkKJTVTL
xnGQkDPeU5VLwRaTCU8B5N1CaQI+6jrGAZOWgmuuFmcxFa2UXxIkrYzY2RBC4AKPxMpCorLXGftv
6gtmdJcIb6lIvrGrWNDZmIbUjbl5W6fqT8jT72boiR2rSQccEZCo6yAMaCes8ipf6hyqRf0noIds
DyLSOoyJVkWmmFV3kcC2FYtSQT4rryRVQ0AmTGRyQXa8NhDfUiDaJjK1GmFAZsqvuBGHGB4NSmri
lXy0g2KBbE8HPb+zl7L4Jc1wDZh5pmwMu8iwLywVjt2GcQs4hkfysAw/mowsbhMXfSClrepCT5Qj
myl+WLAeMDqkxPi1YO1QLL1qqy1sfvl+UXxS3pmw2cEhotnQNhiflbv2XEExOkIuWkv67I7NHNiw
Zx+AxGdBXhlAg4Rh8tvekhKEm+x3QgzZUVN9zC7woZ+EDRBWKIqtQOQDCse0zoZ2wF/qpJcrr5tV
49qImQWuQh2v3u73L3fR1Z+58sco86uq5yZh/K9SjH//+H9uqwL/vpUP/O8v10qO//1p/58SkN++
KnipVjNoe/6i9Wr+/ixczF9XtzqMPvzwyez0D3amPxUl/+GP/5dep1Wm+7ff4pPX6bzC45s9an3L
X24nWJpQGcEm4D7wxXizNP3H7QSj7OprBuqlgsmGTvdvtxMx/wf4AUTpGoGCay2387fbiaDcArSm
q6UFowiPz79yO33SaunKanTCPF6vDyLSMx5fs9Q+55lh+NM8zp4611TTS33byem1KrUazY3J7WNs
pbqVIEQ9xKMwNgsrlGiYpMYjMXOxYFUf3MjNu378a759MGKdh0pdhbIWeiFLg1hrlVJ+jOCJCRll
pw0sWEYCmibGwd6Rigxyg1pVswAOBDZBm94WkVktcr6rJxsyAENPECFiaT4tyVx7Qu3bW4kPrU7b
qkWAlUgV1mRcrpSuI7uxZjy5Squlq+EUibXBgQJNeQY7JXduX8Xxi4KSY5Cm86aIKYIz2QFavLQp
fHIB4FYRQyBlwAjgkGytApJ3CsSWN2rBGTJNjrPn7VT23ejH8cRB+BMzNJI+OSVEWiJLyqSgkfrk
RwHae6AtMJ2eFqWZ7KVOSY9JjBTcim3rN6RgxOlZ7X0/KGS9kvf7CK4UimskLRgYfFHPRHTcEgpY
+YQHkAJMV2lhFnfYvL2GY1rohjoeh2a27iYOQdTSDNpxsWsrShezcrOqY70T98oUdXGVbI1lHv0L
V3eeqKDUDoEUGwUDZMREWT7rR6OaDHADqY7zV9udqk5MYGNlC8hEXoRFkg338pwdNaiNNi28ADu9
HcmfYi7/6JqAF/G8izQY4wEDYbeF3A2ao4+DWbaVrRkNU32zNaRV18GYumGFBdGjlj2yVKvdGad3
p81TaEN0mAUtucqoye6WHmfOrMFpLROL4rXmKO8kvQ9kMY6OOiwVbdlQ3Yyw4sGsJ82hUeVQVpe6
cqUm+hhMGoGWI32a24aA45HT+0qHLQpccXbfIuQ7hTkE+YgzeyONt9zg9V6MRUa1WYGuwyB9cotT
OZeowZShDAZkpanOCHexE+d+LCl6BX5uKF0j7vldIYs8kBt5lyjZYtFx0IC1IEEtqTqzIaoaO5MA
6yLLSgF9PvRxItE5jTsVl6FrOLAOte3bA7SvJL01zWxyWwkOEZpJ2q/RKPIni2QiTAT0Fy3pDFc1
mAzsYZlMrGWRj+A19LaiNeQ1L5KUE0cQQDYgNGt37BqQSPXqcRxskdzLaTfTmBlwcU6FeLKNRoOL
M5+3rLbmAElg7NVxk0QcKvpQ0kT7E6CMk6IK5Q5MbeeLeSjABSiQSqttSisdeWHRVoephIyxhexn
V3ZDGqzY1w3R08KtB6n2wJvygM+k3Jmawl/sLs8gdxRDRKT6pOodfAvN8FgqauMDeRsDuZ+XRzOv
aq+oDPuYCxuQ3jgk0Hi0tv3Ugay2rPFqmWVQrUOvq7fVmDHHsobbZJwgOuDWbN+mo2S9srxO+XaS
bOOgqsUEeo/gqK5AfzQgO4edKkPfz20yHZjC29yRGqU4GXM9uHNJjACKzSSYpu40F3XlZ6aIcUxi
guqGlneU2f0t56ntspzMvQOOeaJ5UUmenWAQJwWEriATieKxTV5IO+sgkMoc+g/rx7yAlMir8cdK
BsNmBUSqmFp+hbPb08RxTjMqdPKSyaMHoiEOoC9GMth5Ip7saAJYegRE8Qytu+JMdq07kBdKTjUo
TpWywdMlrnu50SHLTcvWTTCRinZStsMiXXORXuex3l5lOIFqjdFHebaoDlZj7Gt93P3Ocv1KJ/ES
jIIfipqNPsRE1ou0mL+koQNqP0LuSWJL99MEOWlvJxgxJWkcpeoSGvOYwJ/UKttpiPmrCrYACppM
tsEGceXHuAAsrEhm+IDmhzBZ8qRzqqWB4Eljc9SMwISl2n7BVg0xhM46B3NyPNZztkDdlnS3c97Y
FF4P7UqoulfOC7wFaT64daMXyKzJrO500UDQr5eJ7GHXmJ6KcrKf1UJoUTpw41GCWvupLuG4gKEu
2cVFK6sOrLHFSBNm81CHyKdS7OUAlroIcnh8jpYof831/MDadqaId/qurQkLFVOPfamutPtGXdoT
5/FmifNlUxVFfJ1N5rLrilF1KtsIyTIkThrPIJ2AaaVhZqcACqAQT2xaV7x/zbBGnxTZAKQZ50px
zNnEQpxiTD/vANGqcxrN1Zi7hC1p0DWqHVPw/fVDX6ZqlBYjlluubfp87l9lHbRSpcETpC9NuXhV
DG8QRFJZemW3reSYhvIIUe+uiUcz4i3CGARpgsITIDbcKAavyNRsO7dSdrAWZjwkkCOUDtRr5baK
Lc23tORHa6dO1kj8RqotcdAYA7o05D2nxVhuiCk01wRvdDuWiw7raU1uWqWrXFlpW98wOFIoeYpt
G6IRXrs6S46M96pfmclDpRkkcYk0tLVbDP1ynWptQTs2SArVStIEcGkbASjdZiOrbeLKiQVtX2MX
Dhyq0PlILDdo2uXXImkLF3piHhVEpI8QxiR3Mqjk15ot495WiudssZMtPH0A12NJv53SPHdLZisR
TuWvtiFOfW4DWLL7x+Uto+KsLn1eALZmc1pGWWmYtFJrcy9M0KplM8TH1Ciui6W7T7XKovAFnLBN
8Y2qTsQbmx6yRtv2ZaWqN0Yz7lKjPQIgUr1xVg91YsOU3AKIz5Kmicy66N1JEyTMIOvaamzZxIN8
XfZ5D8sakKUKjMtEm6aTrgc9s2hmzDEQm2Ry5SbhfpzGz+Ucmy5vY2x3wshDNjMGyqJ+aASrfhIh
6rtESXMv0fqKgtNoXGg+9SAxlYEuuZZuS0ObHFXjamjAXoUFqineZA88glzFvNY6i7t8EbmPKvkz
cA4cY3Or0Y59ASbNERrmN3a+IQTtkm0rZHx3s12eUtCvvydF2jddctenZHLIHF+JAVaIJsvT11kr
+n2pGcU+BbgZWmCUHRMUKY6yU6K/lG2Sv5qsB286COY2dZfSspgnOgAAvILlvm69TJKKylWEzBZq
SnVqRu0QTxlNAfknDhAJpacWmwZrN7Cqb3yph+pp2yRgDlbpolFSMcyyBiPsIAHIHaZKLigUA7l6
mhOz4QxuoryMg0UI7o5SUipAm7uG0RxgUB70tVr8KrE55XvY4EZzaxQqwExilUv7u1ChSXITXciy
I2MCVWFp140W1FPRZae6NIsdifMe8ckGLTkYetcdAIBWRsiAhsy0gKGSRbI8CcjORrUZr/sS5CmF
xQL3Vputul1sQvZEG9lr38wwxdqcjyelQn51wDTvcYBp6qCdeLnTbXBXZjGhP5R5Rg/NfayOSMDS
YQekUSncRZnbB43k5K5v6izQhiE/QAiBoDvrkmuC6wFFClFbY1aqV6aW2cLBv7QmFmzNMw8S3B4D
JzNwyZmROCpsl16/zJBCDy2ba6dRzSmISTHVjiQPAD0bpVqgeprhpINE0RwLp4Me9s7MtFy6KrRe
Q9ECg131HE66YR4LOOttebv0sroH/kV2+VjFP8ykwVEFkuusdiH3qmaP8wSxyW7Sds+mGvR/3NXx
RirkeJMppoADRWvLqIZM9qQOmtgofd/oVJEHE+oJooSN1s/P6AHkaX0Z18hBU+OmElW84cmA3Gwp
RmRPEwHiXg7Pdaskm36RSOM0cZJcKUqsPlS1rD4h14Y6uRyWZ0k1Fy82WWkjga3MF7XsONQoSaud
zGI8NbHd4txV3oNKqtzYTiD+XGaQdODPlfSQSfpDu4DHXqAmoEhFuSPrClDUrL0ZxKCC3Z+73TKa
i9MnYoTgSYZiF7UqypsYUTYN4TO2ahxiSVWGdQx+mQiWQ9iQD41T6jGEdx28EpuCQ7joaWY/FLs6
XwB3xjGHODLriQRdbtcq18li85Qu0AP+Hm2tpzLSy98Nk8RWtgbI/IhSQHeu5I+AqJ3KaGF+XMzE
SXSjvpUqQ6JJzsSmBnpDNai8j9KQJhHyVhNav3pcaLrM0MiQZhoCA9i2TNNa4x2g+rkE06CUP8dx
bJ8tu50fuZYbkWaKdtdmzfw7T9MfUza0m4osCgR2VV05SdvwJyOpcABemoy58tIpP8GpFNGsCLbv
DAx2Eg93TDT6ndo2iz/2bN+WU/1IYMUKywnZgmvUffVT6rgR4xydy3cl7CKFAyIX9QYS8CsLLQ0+
pYDB8/R3URdXci6lB6zfYl9PSpo6PS4fmlTgGq5EChX9x3TkNob1WmS24RZjtxnqISiyTN7Ik8xT
z24mdZ8hRfa4LrqjINC/oyf03NUAVjAal5Be0wnyzd+JYZtgLDW3akELF2ol2TSzyvHJzgvZla3u
Wo0Z3lJm1gCZQxk/ZJpWpY4E3Wuga1g05tQXx7mqwxI2LdQ0wZbKTUDWMG7HEIIPUNsmdrGzRIPs
05JcoTLikFVmoNXSSz700zFr0wj7LqJcXHavCVBQsKjmAJ9Ab2id6TZSB4XTBDl72GktS70c/Dtx
zDkD6UW6BfJRrW736PNX+OLAA9uzDv1SKzulKnmNpFXUWjlzyFQjlHrprm25uB67JHezzHpgQiyO
1gokkyrKg7cM6hzUDXD0oY5v4zc+LCP7qTDLO0tZRAGwJ5sfWYJVSXNbi2kv7MI38nx6RkRZAsjp
3H4eZYrzItrLSe2k9ahT28AZte0tDrZp6oAhI/9yVWYBONKyFJNf1ZF4QSJn2xwYErIdJ0nN9D4f
eeroAiknku8BspWCh0jpsi1cJKu0ZRpvDV2L8qkDeyTy02wQTPa8mL24XpVNIErKuxpYscsncxhg
XG11CD41ST11U5Y8wEykQMOhQVlGp0ZptlybEeQFork9E/0wpZrisHyCREhR2Q/sOBzOqUEJmnqC
hicZZFerDPOn3Df3dW6YB1TYSJ/hVWu3xQjzkC4yjpS1jVienjTJyn7EfBB6gNo/LLIbNf3VIVd+
gJ129BNjZPdIbKVtZfdkVxfD+LNf2ua4zKJ1ZTXBhosry3gEp7qqeW2pIn1YKuWXPLIBJN9cW37R
GObgyNgMIi03yQ51SBSw66TaJqmSvrzBJ/8f4r396glAL28Fs1a8djWD/zPC+58nv3x8/V/wroKK
Y5ppgBnDGWV1lYLP+QveNVE3FL5sRcMTgohh2uuf/ipmpf+PAvPUWv0KsCZMMgagzb+KWUkqipsB
WSMwq6JQhKYA9vwPfv0BpEftri9A1DO4zkAZFRTGguYeRUQgLrbP4DpVYiXY7AaGJcANqrPggU5N
0PelVkEDp6fdBQDuc3Ma3KWruVQBx4U6VB+hr1oy4z7rNOxbGY79v6ccJE1OSyA/2olpdrNccNad
UR+4PWjHQHngDgET62s/vsdNYSPBhpeLiQpJLm+QMBq3Atht8G68v+hEwO74nHeopwm/tox6WkAX
McwGOa8zhF8RiXByvY2O/jF0fZ9Sf7v3fdf19w5+3rv4f9d1aIjv3P3Wj2iE1+z3+HHjuvhb6G7w
N2+Db/FqP4qOboi/7vHmCC91nAif5gcUH4mPX1/iV3h/dOsfowifRvFx1Fv/7Ee+84SX4BKos/4G
3+MHj1IndEK0i9fiE6+CIz5+67r4qCf8JvKo5+ETH909jaJbGnkO3uN5nuM5jrO+zMP78Xnrhzk7
fLPHneCKbtbmg9DZ3Hub9aXeJqKec3BcfI+7DoMKN+/g6nwv3DmOH+399UJxbQHeeeP8xKeGeOnm
cArD09pN6Kj13e5+X9C12ZODX38/ZMqFEbPPQNgibVpNTsn13j8+Rf4tbspzfjrhxjldaOmcQTmf
G+dLrGubXOkwN3z3+vH5yOiRej8OjkwvtKOeYduf2lkZ3vccAbza3FzbwRA9Rjc3GGcH/Y0hCbd7
d+s4lwpcrbHhm0l/zvpDEC3SBQ3u3adbzBaM0/djhDh3oYV1EN/fklLD0JSgheutv10ntL9/+x++
Hp98rI0j5ur+ae8/7Y+CYuHsn54wlnQXYGJFN0EUBIEXBDt6wAzbONsQ0/nHbvc2HXfUOYQYb6w8
LAvXud46FOvT21w72y1m3yYML9zOpbs5Ix80eRhQ9YRcu4/uLdYNeuzSrNbP4uunObBewrsOWxDJ
S6gQ0V1PR+ZhWWK5H9cFj267wT8RDfDduqoZxR1uXsPaGemrG4bh60ivT5emyPpMpG/nyFkALjpL
TYt1Uh6j26PvvIZRQv3AXzt97yPGuaf9GiYxMBgIjyIGOuuP7tG/dW+jm737WCG2BfRx++zjA3Ar
x4AGt1cDus9FFLmJAsw7b4N5XlPv8DOlmxOG2nUV6l5jQjzZ9M47IJL4Lg1d7xpxaLNfA8z3Y6ur
F+7zjGPPKmlSYRa9RsDe00fE3IHiun8EPr35E5lxewiiW8fd+rgID3H3+ytQ35Qh3y3HM+UI7Jbj
PK5d/Yjwvkcv7Ne4tj+5R9fZRhGidfiE1YJgjYiPXSLwPIHw6vvoc2w94boLuI8YHP/JjY5HBGzM
m+MNo/QBs8jHmGCX8DZYhY+I2hv6FsuiIDpGNy8Roy8364c+3x6fEnq70GdGIwQ7xKHjDX58ecFs
RMwPncMJMRZfr8OTdwpfHYT88ERvsYtMlDIaYKk+7A6Hh8Mm9O6iTfj7dI2dwrnGduB43smlP3fY
iMLrrXvCEqXeZrNDzN6E6HoXvfrWzbjzV3Q3Nle0iL0l3GNf3m+d0Dtgqb+98P6EX69B4eRurx8f
MRGd3xdG5Pv1/qn0kcXiSoJ3EBfmb/Ef5m6wd7HlYelTx9382eScC/MA7PK3U1GRz1K6bDAB7aBZ
tInu2B+x/rHU1lbX3VtQrCL6vO71CJdYFxHFCxEd/Jt1V8ZAY+Dx3Q3eENEDEgIf363vjaLggK/h
CZ3mbpzrt8QG3eqvuyZW1AErN3pLF8LNBgtyner+OgeP/hpOOQ0xhdD9iNa+i3i8XYfRDR/3yHTc
8OjiPd8PwLo7/HdBGPD/o/AR5AtgzlHcBlVd8Pd3wXBYFpvJwDCppUjgrboa2mBV67zvW/k4yn+1
oq5FY5D2KcpbAaZ3rVRxW8eWCt18XELFHveSTptyyp/YtEC7ndnSn6dy/iN//PmuIAGAKgSFxVBW
DAeEj3eVkwXQ/AT5Zt/Ymg/MGy4iWM/+lWZovSvUC9NN00TJOwhPzus4kt5K0kaOG5pqXHmQE1FE
XT0tFybr575bq5LpEA9aaym687QZ0m+Zd6jjSFGhCigEt6eqh9NeBxpbQT/VUiJGfvv9eH3cIt/u
DGIbHWWcLJyjUFTwY//ZpSpw1J4B2ohS2ciS0F2gGOle7i3jwu190RROfjjn2KhWjCPC2aYA6axc
FT0qKVWgskE0w6UOIVbttGmR/6uSWG93hfKUYBpMdONamfjjXem1UVpSCVRjSAAw9Un6Jj3vdlql
2scR8tELycwXs/B9e+fl9WaYsFE0AO1BjLDUYUHiWkJ1NyO50M5XXQglCjR0UL/g9HzWhXFhLXNS
6YLauYC2P02XdHY7YL5PENteqvP1xXQ0dNhQUehRRXmm9Sl17wOGLRrDatNZQJSgANcaGuXADSN2
dM2aXWNC5YR/PRVRxhlVCqFuhFbQOFvKA2hlSC4BwRJU6KE6SvR4CdB5yhIIX/99U6hxrK70BBzI
b0Wt30UpIul6Jk2QR8yNnLudkhuHNl0UahesubDAPqZ8f6bi+6bOFtiwoNhLS3BXKLZ75NxkgZXN
4h6PYtJ2sGOI+8bqH7+/u69m4/smP3VkIk1jRtCRHIZ4DeUc/KTt2IXl/GUrRIM4Fgd96IfO5mJr
17xZJNQ/AifZX2VVDWjYKtU/Txz6N/H9TeqFxQzjG6oCfZyEqDKjCQ7rJa3aIlkrMhp+MlTGBcji
q6m+VnwGKIXi6BAifWylscEFJbAFoN4zRGeOZefZJjeK+LWoW35rI151/w8redUVa8hYUP5TO2sx
lXjeJGAqaAe8LAAW/kPXtGdFKOaFDfmrYTJRWRy1vBByoTX4eGtQ0HE26ggZPJZMmI9WOUdOugsL
6kzeu05zgDq2BqklxIfYSM4iLodRs8911K8TsPdRgLMjKkSBkKjrmgUo1qDS2tCDOM6yAFKeUQJ5
WqK0OJw3F6LI5/vFg840Q1YUHQX1kPR8vF87KXCwHLDLkLLLjeuy1XgbcbUvLhbiXZfRx4QKLRnI
dVDWFPW0z1OPqWUWJ1MFN2bCsw2c/YMPthwqo6HZA82fNk1bV6CrK0JVtO9MAK8djEFHOjvqZzhe
v1/2nyONjc0VKxIVp1Gy77yI7YhaNhYKvgg4xVH9FxV87MKgCmQhqjtCRo4CyM1g3LR9V0wXRv9z
n6Pl9REFlmWrn9MjVPafip5gp5jUyoKSLs2cRe3LCyP75f29a+Vsis3Qvy1MIGjjWDe4PcsVZxSx
FBSovznbKNQ/Cvf7Hv3yvjDA6DhY/vAshY9zyTLHUkVGiXr/s9WgXNOkwbPWlRd673PwQe+BiZAt
UM9Axc/22bJS4qw1O0EzZoMutmbhqeDFoG/L0+cuAbn4/V191Y+YsrCmoC3UtjiLCHFW4Zn0qJmF
ki9wd7iDsKStEqNMi2UV7V4ZZrtzJ4Ys8MJ9Xmr37D6Nnk0wbWkC4rey2aZjVaH2S7/sUdWh2fYo
ROeAfSYXwt9Xnbtmm7K6JvCoMfRxCKcaFZpy1AyEc4boj53UT/3qJUkD2KpRrxyG9e7h++5dP/Fj
WLBXQgIPW0RRZ5AZZ5G9V9lY6qv6b4hbSD/h4XHVAh4RqZz+fdqJVBoZzGrZkVHT/2xFoGbiko2G
Bh8cvJmenC29P6EI7b9OptendiAhQSKorKTNxy4s57aqNFQEoBJMjgHq5RYUFbmvZZHpNG/kC7Pz
izX3obV1Fr1LzUaGEoyTgWiF6hQxcdQEkhAnVhr4/78fpzU/ORsniLJNeZ0dePjCeYFPrGMU7+Qo
jpAPcrvhllQEVVnIkOXpFkx/xnA7jRLUSQVgpPHfLwV7LXcKVgseMUM9u0mId60FghiBmiidfcqF
rhxRhaZ3akUXUAIbcC/joRD6hTv+YmauKm/sEIqJci3KWV6IM4nRqWREKkrintaqndOapByWcFD1
33fuF2sdz9p9y67hlsD2+HEUrRq18zRWI6Hi1bCFa7ePCrXTN4lmo05ybKLqYC7wbJHvW/1iSAFx
AHdAIgLF/hvL8W7uQFWvoNgdWlV7Q4HQKkksd0yqdqNXan+YoF6gJSQgjkAZjwtNf5q266a7FsMn
GsxzqCH/8Yb1eETNQIGIwlLUHlLkUvWBxQx/HgD5j9nwpxFEK0AfULsGxfeRqZ7FliaGbXVcMGeX
pINFve3TxcURNw/V2iwvKPO/uiNEF6SfMNRYsOR8vCM8O0KDyxdGj8yGroWKXlqeIK/MzQtT5ct7
ggcAQwZkAOasj+0kS1rjuSc9qlig+LLb1rO2lfO+iMTUtxdiy1dNobwuvAbrk2bAKH9sCorwEhqK
Ak0JhmcMDbPk1sv8g1fyfCG9/6rzkAthCRBdtsl59WpRWDyZlLqmDarsQIeCXJePqInx/Xz/opV1
m8HWiM6DeeIM28STUzjk+qhWlOvLRGWj5VRUhXVhgL5qBVMbcwBtWMo5Y4dVROBujis6ZrONx9PY
0vPQ2yhU9f3NfDE4sHzhXrDbgD9+4xTeLV5TQRUniWVwVIk+RtGyrnUyCOhQh9G+wMN8eUPvWlr/
/q6lsppFjLpKNXQ5wz1Ey9AkKnF9Ya6tu+KH7cVGwoHTJGIfYi7o/Y+NkG5C3UxYuikxKnkn0kmc
CnWsIpvp2kJR9mIKvu8/onzVIoG1EbU5/pe081iuW9m27BdlBLzpAtiGTiIpkiLVQcjCJ1zCfn0N
nHoNcZPFHXrVODduhI5ObgBpVq411xzgp06vYGhs83JqGdFKfF5gSyMKvnxFGPujUQapHW+6tDHZ
LZntH6TWGn/EIjCekc2eNpbi/uOf895L5kNifKGTm0VO8fr5U43CG3YLdVC46Td3EGLXps54JjR5
bxDXphWMtjcyp9bJiea005r1DYimOeuMLFym3FFRr0EYO7MG3vuaLjp6NnifvcPfJu9fUya2kISb
dIEEMpdzmKemAxVK7HV7PEolljOjvfdYHioJ39t4CCzx16MNeNbN1Yi/gavs+KoYlxaZGyLAf/9C
HskODKU5s8BRvB7FLXHfXBJ2wxyXy+t6SCvctszs3z8Rr40LFLvh1rN38uYKWYuCBrgtRnXxckX8
GeqZnf5rmgjtj0b2gW2De433X+n8r+/jAaVQYpv7RWZWNyi9jajBNu7Mfvs2y7ENswGGAKngwq1v
H+6vYSpnxT+wojc7pz3rWiyeuUd3d1lPuFY52ojbsX3fCC1mrrvxFbluGrKb5szZ8ia24kfo8Lso
EZBp8U6DgLXVBl/RsRSszmjoOzWnvby1Zixlru1hopNknvwyu+jQyp5L0b6zDLgJbPgShPiEWCcf
E+9JWxsq7EWXKsfcEWsVWrmb7Nq0ErxF+pj//ec5ysFjkH/e6Ln66YmNW+CMxTm7iIU2O0DG2e3d
aj23Eraf/XqvRmEJyoJWUjpL/dOrAPnmBH9zPquTYpRSem59scjVpeHDT89MobdvkKE8kxCRu4eh
nV6m2CsdrdsMWuvCzkS01GWLOS+6kUe/N+1fNOdN8Zl1vkU1p0/HytuyjGxf2Lm/nrRp0dpz0qLx
BVIiIstv7ad2mNYf7eDSKKRL4wcpkPkKh6H6WHVG/+3jT/h2ukIK4fbCLYcokl3t9fCVpMNinGge
0couiVCJ/sKn/ZstSU61vqRlwjoXUb7dPrcRubBSSSPDap6s0n7K8szQ2zqQwuDC2g7DkaUiz3zJ
N5cN0BBbCzILwdjOnpPt08gVCrha1UGXi24NofVlz+26IKjumpi+s2JcMwTVKfkityz7c2fEO3MW
CBKh7Gbbwc568lW7tQFHSWkbc/u43ds48ajQp6nuoe4R1p5Zhu9sfJRJuCa7KIi33e/kYU1DFNak
NBa+09+yLxYPeuwX0Wh1pY7JS2p/KWjJnoKZJkaMYjElcmlT6tvHtLPoUPl4Rr3z5qnFos+EDUP7
9+mNwSh71WGTzmbfpizXcVA/JodYXmqzH5RLXNz03hOdCuk/H2W8BEroZM3QatK8+XomY6Fd2i2a
/sBerLIO8dQ314M/6ll/5nW/9225dKE/xUYG25Dtz/8+ZqTMY1SndZD0Q/w4Lrnp7hbdj/GftAb3
8PHbfG8w7Ci5rJPg4Z/TSxFuWqlQeNOsZNUvMe4dPk3SFdHo1NPDx0O9s/lhw8AwFBNdCn3m6+fS
Y8teXMlzubkb/8qVvjx6ih7rQpblkWJm+vXj8d55NPLzKI7xHoGzdurWgNAd/3GMR3AldL1I0IgR
dl1CNZ2/8++fzKPczJHIo23U3dePljm0wPZQ8TAHRZwfWPMwxJT8pHmhG5I84McP9s6eis0DD8Yu
Bx3v1K0nn6VTJoOgwbaq8jCuU7qsRUvRj9af3villm7UDi1nzZmb03vjbh4cjPifkORkruCzoJdw
5hh3kmRv5iGzPhmb63Yns/Rxqq362htTcSa4e+czIk4gBHAJvvg/J8uB3iyrUiJhq1NkCGL6dAM8
LWuAwFiMfvxi35mhsF8RDUBWNDfuzevPuJrT4I5TVQdxv65hOazGgbZ07zh02B5OMhFnkizvPRpX
6q10Qq6Yy+Lr8doJb6PZw/UWsw3nwhCrEVWJXd+vXnbO02ibgSdhgEcURZ3BRUrPAfl6KMtpDYVr
rAw0qEWfrI7UUW7Z5/BF747CuQtdjUogPYSvR9Gqpqgcm92kzcuWPnTNu0pFOv1zHgwwmEM2wiOB
axvudhX+a4PsU8putN8zSoktYIgKvVyOVk5NLVpsT2vPbJHvzQqyU9s9hqDC2hDcfw+HBajTDVir
MQHVl1Gtd1VNtxxmnlXgtnl7Zit5bzTye5t8ihQx97rXozWyzx2c5GXQLW1yifGfue+LxL3Q5rm5
Wqd1OPN073wydmSy0PhvMOYpcKpwjWaaaQgIprFpqMliXTZGSa3H56KIdyY7Q2xJMfKz1n/ePn+/
Rjoq9VRlrON5HN0qqtANRG4B3jnIsrj78s8rmZdIWZIqu+9Tmn79FmNayaRKPBk4fmrLiJ/T/pSd
ZWNLI0jikvW30n/fHTmxyZQSk1AZPj22YWVUOLkYMgAPEoeFSCLL2Nw4BlvsrLjDU3fWp+jjx3zv
nRJUQyE0rC3PtE2mv1ZCqnLRVALir9uXl3SQFruyMvGJs+jW/f8baTsb/hrJwRvTQxEkAyDO2XjB
Vq1KnBWKkWY17DGGMw/2zlEDeIq7/BabcKacPFilOhwCe9xR1LxiGkwj8e3qxH7U2n27E7O/XLpt
Fn/9+BnfHRT21H/yI25LJ4N2lT/pmYcneY+BepAhA3msFucxdWS315zWxMc8tc6M+c71jI2fqBpt
KpIFa/tNf73X3lvrPsfAGV+iVg+wTrz0m7n8ikN4/rOuzOobpvpdZAutuzCwND+z2byNpbeKEFso
ETU9V6eLX4P6MptlJnHRnfU7nNiXoEy75LuAnXSzeiLe9RCzbkTTnzn53u4623RlpRBHk1A4PY6k
svxMkZ/E7x3REOWMZIeNrXH38Qd9u5dy68QeB8UrZx/h2euXO7rQt7PN146AOv2WrFi0R6rua7m3
4rn+pgY7+f7xiG9f6HbPJaXmgk6lJHuy76SqEqnWEUFUKqNxs82kfesPG8Wvo6Syt02JmalMcEWN
mzg/p1h4b/T/onjdttwtzj55XlFrGa6TXLYb4E4Rvgb+EGBWnk6hD9dADzIZr1PUzFqDx3Ir9N8f
P/3b7cjkDKFHj5KEaZApfT2+QzWCMJlNwpgLnDcL83vRWNPBwEZ4/88jkSIlM7Qx5bcE++uRuDtg
vlJySsrYd2UkV29aAr+gnr93RntJz2xHb1epyTwCobZJ3dgYTl5sjw9LPgPEpK++bH9xgETFlBeR
jsXZDlJOfUhwp39pJrc5QKSynj5+2LeLhdFJpSND1nC3807iHTU4TjEAeQ9QjeXwiRwM5nJp/POS
3EbxKPJT6UFeelLxY4V4KLRhlZDa9i/zxfo0erO4+F88imdsqx6lp3+qqenR+QkUabzIaW1uEaTH
CwVoDWuCj8d5Z+WT3MYMEIYnssHTchK1UxuTmQF+h2bZkd/S5ujrVXKB1m++9Dwl/jkkRWymbcUO
ly7SN2qwPjGWut0+kRC5uStHr/xkk/faVcls3X78aO/NRVSXwBm3hCWa9NdTv8ozjfvWwpnvTv2F
lreQhXWrioxlKi+avtMuW2rtdzZMzhd64JozS+GdPYYwjldK1gkx/Kku2C6LEdkHwTdMWOx2WjKK
t9j5uuQxZ7d7MAxhj7ALsvbBypKlO/Pwb49oIizaVyn2kAF3TtVStVgbwyb9Euhrrb3wMTInkDAD
cEtIk7JH5lgU94mY7f/FhsPAaAv4yGw7p7l/lWV9m4xcAha97UPBL7wYvTV91t2hOBO7nix3Vh5W
8ygKuQCwhxPZvf7A8ZjKyrfgAWhTb0e6V/YHvcaC9+NpdJrU+59h8Bski8iiP72r0fBdaZlpZlFO
jUL55RCNySp2GOEJzFh77RP1RHlZmOI2nqGztFQ77+JB/eN0fvMzTjY3q9EmRXCbRTgaVbiAu92B
wHDCvakyo8LHmcoxsRSpSPjZCBl3H7+FkxPrv9ER96FWwUEUfezJxo5zW43XwpBFHpibS7sFZ6cl
w7i5G5wrM7z3Wf8ealvXf0V6zmri4wRGGs9uP9sps/QiY+7rM5/1ZOP774EwCeaTEs1x8dn+/K9R
xJgWdprlaRRnnTtdaihgccFfmqK7wB7M1764jYr/MZrbBkVFT5WP/vKtF//kLZqL1XZ2jf0TmCn8
UWYBh48Z/G97+n+jkM8zaIGgF8c9DZUHGkViQYIJFPLiVVeDXprFUZmVaxxp1e/p/3EbdvyPJ8jJ
hvN/ByXUoH7B2FxGXr/POnbjNFusLKpmYC8UgJshW0N37Se9C7Bvwykbj6txOiRDS7X948HfTBnq
+cx9dBEI7dlrT47kblSuJWJphbi5JEcNWBVs4zY+M8rJjo5XGoLhzRKZDwhf+FTqM5QZzSsbbyLB
RH0MsdusP+cttEvhzGLXL5zWlcTVzDTW5Mx2/mb5bf6tFJ/RwhmUU6yTrc7Pay0u8soMda1O9VvD
bsb2KVPKEBbunW6vzlSj3huPdcGZTyyHVP1kDaarVRqxaAz4otYINnz1IiwfSrz01y76+Nu9MxS5
e8x5MFVH5n9aLmjo5uoK5DQhpifpLm7lGs2cy2xpGOJ8PNRJRLB9QFQQlNj5x7U5nF7P0bxwcJAc
Jp6q1+qrNJbNQcRrFRrCTe7VSI0/noYch87ZvJ5M+3/Mrv+fsrQ3W842PKURgjqUO8zU18MbwveJ
gVMjZJJ6B4FZUoClK4lpTZjEB7V29/Hjvl0VJhEWr5XJQ7x46grfJDM+MzHbmlEW1rEo5bhrs1Sd
ealvn+rVKP/Z/P+1kRa+6Yu2MOOQir4bYshfQwdGdaen/t04mvaZfea94cjObsJsmih4vtcv0Zbk
TjPPSSI2MU3m+8bqliyF1lCauPl5EtdZuVtUmVn7f3+bOGqTBiD0J/F9uiRINaLfN0RoerXzkhaU
Mev+H+VAfCScTjgayOhQAWLFv366sl7KFG9hK1x4nBcf0FpEFaM5k4F7OzFoftgcwtG3u8TiJ+8w
x1IgmXIoytCkiRa8rN4J5GsX//rCGGXLEVESJTF1mprqa0x/G0/kUWMZRGa0u+4zrT83H95uHw5b
Ildc2jOpuDrbn/81/UjVx4vZenkkxqWGMKBxvE16fpxjivUfP9CbI25TNBFTYb4MEJIs1Ouhunrr
sM2yImppE/sJ1Lt6sG0A0W1u4zLs1RDgSKKeme/vPR9KCLh0pGcZ/+T5upUXnLS8xTxLW0rGyNh7
Q7oBeM3pzEp+byhWFOcL9xXyIifTwi7TMaPtiwrOaqrPTVpXmOB6+ouFwPCfF9PWuYcGiYz6ltY7
mefa2mKjPnhFhCldffD78k9nOuekB2+/F/OBcgSa/+3YPN1ve1PHNYiuViaguzwOIH2hSljpNT2v
/Q2YGly0VwHI5uNZ8nZxvR71ZJ+InQWEbxpnEay09Tg2mTrU/WgcPx7lbSxCUZMMGscm7efUN1/P
RRs8ZtEKLiXCG7LbqhjWYHFnGVZWY1wBio2rIJti84i7X/z946Hfe0AOMW62BjEQIuvXQ89r3wgx
z9yHHGz8ncEorgulncskvTsKSW2q+2R7aSF7PYqdDyieYhvqlzGOe7OpCzRk+rm87tspz52GjdDc
XLOoxRmvR6ldrZI6kKpIG1aYZTVYR2O/5lgeH9sKL/8zW+I2rf8qLvIYDEczCuZZ3KK4Tb4ebkyk
hZeeBR9lba1Dgh/7nbRx2cu7LVflDwDNPv5W7ywBsn5IcLa8OeHxybdKAUiJ0Z3yyHOJNmATULNy
Re0duaio/Yim/Hp0+77afTzsO6+V/RjRDaM6nJknH0+JLfjCrzVKOHz2tszXixjeOvbyXObPNcy/
81IJ/h1Kciw8YCgnL9WX2uL6SZtHvVJJTesZoV+I+sBzwgz6a3osrBrI9z8/IUkV0lgccFiEneJR
LBefzH4YqkhSDIV2acUPeAibx9Wsx58fD/XOSthYLFyrGG8rgb+eNGpwqQKkYxWhoXfDUR/tsFz9
X/+bQchEk+egDez0OqzpTYKeDwYxAuhpl0pNi+Tkr2dO0DfzgvQJxxh1P3I2m9D19aPMXN4oLuZ1
RF95e1eSdo+0vps2O3vn68cP9GaDZL7bW0GMKJFWntPEt+zgkMuyaqO8xtI+RpkVX2S4n1ZAxuJO
gzKctJOXhtbUtMW3fBp888wUoYT65tNxf0IqSYC8KUFopH/9vFznCho+AYsutlbQAy7Aaxnl7Viu
G/7WgahbrYGTVWsJztXr+hx2tFdpDkBwSndggP1M0yv9y1qZS/o9K9BiQAItvUY8pVCrG/U1Xopc
5kcXi2/xS1a5iL1QZJBK8gAwhSygt02JFpthusgRa141Uu7F89zPO/NhnBtfAF/A03j79/GfNl9a
N63UH11pzfR1NVbH/NRVblf9agtLDaExLJm+y0WdtXmQ6yoHYNDk2aUGIh1yvJuPyzNmyIoCOTj4
Lnf3hpVJ3Pz1YpxwKEd/1N1o5eaUkJtp6T2R3jGsK4c+Su2X39P39FhwIcTDtaYlCud+3kzlRiOO
r4Pkx9dzfNl0eaVCKrdy+qIvwqFVslZ5HEcVRfICo1vld4+zBbnuc1fbAoqq78ckCHmW2n5pMRUF
k2ziwO7ax65dofbuwCyQiwmBiPmWe+zSXuBAXCG1AiHujYYb0ZmSZW5Y+TiZBsvSQIOtwS0v9zVk
Y/mrxOzYyA4Kl8Cvbc91dozKrm7EJ/SydfxJZf6K2HnQ+4yLytjzUx2UJc/6kGg0tJqrlOuXxmnQ
tPoJthE7fHFbFQ6uXeZ3/eZBU0XCFIP/1Y4Xt//WDF2ZDiFJJjl86eucpGswyrzsUq6ysa8fUzCb
872Di2rBLSJZh5Z6Za4JC0yC0Q3rV2cGp/yY2d7Yij3uAdNYXpTDOKR3bjo0eKDSMuNZd9Pk1iWG
x2UyLXm4VWWJsTMQX/XXbgMNce+Sja+e1sWc4jnIRoBgd15vJuVPixPbSODEwvzro3XqcsOj4q/Z
w5faSTX7t7GuVlKQlO5biIJpMrp5Gmbe2AGPX4a27lSUgDPHbFaxkCFQxEuFZn1oHG89LIkt5Ytn
F1oOaAT2+8LZUg7u9I29cjS0QA1gp2/bwUMGeQDPu/RmYORAchMA5MocOozfVyP+3XfSsJnKsdPT
tiCWRdeePWvBUTVIrRnYTJjkol1emtRf9cvJaKz10ZLdkHzBYVbJBzpb5zICFiwmKIrm6gaepmIZ
jXW2aDcVdk40+5OMX59KgXpERfXgMHg3te71suSO9aRyb1j3XlyzA4XI7iBxRn1c6wlM4qWk8gog
yVqWF2lVLNR9pWFsbOIArq1IRGQuZKddmYA2Gj9cY/w4p4NMhe2WYBQ90oAw5wpqAVeDoIvTD/Wx
GtZfdgo/wsNht0cFBNx80Wprj0RIenTLgQRa9ACctpxeUFiKHEo2TG55bRiJQKWKxw+y5GCpvaT4
brfd3GShm2irdg/6BeMEunaW2MeFWSGRGQI2WHv4WeVLnqaBMBK/G8JND9H3l65etpb6VNTahj7p
VJk2w6GbaQuGesqlwHWixnRiOChm7lQDvkXw4FMA4GRp0EjrvoLdi3+NHRqWAPcdZsPkNcbFalZs
X49xaS/DcA+mvC18nHB9d9Ifu7jm7kN059lmvtUkhXszq3WerzxEQ72xg2hgTcHkL4O+6/sFS6DI
F1Pe3eLEv7THFi+PLEdRqGpMwH3bmPxfXoXd9bhX+eL8UU2GS72uFb32zc2Mvn6osERvUf0hVkJ4
SBNp/QubYC0OjJFoIZzmbByvNAfXwoeFC/LwpKm6Kw9lmTjGVe/hRQXi2dZ+uKrC3Cgbluaii1fA
43asYxAxtYkOWmdKbpzYSD/7dB7sjdIvPlNXa6j3VK7f2w9eZlfFjnRTNxsBRe86/ew040TjbmNC
F3g2THLfP3mmzHxWTt6TFqAZyT/wsyg56GkxLCE6hNI8ILfWyqt+kbEdORNheljkvtE+m4PhCeCY
IB0a+EKFX94bRVa21zonMFACK5uXa/a75nm1dGiSmLW38U93zbzqLi+E596pVlv9Z7RAbb3va8DZ
Uao343IgVl0UxAKJaHTXiir+XUOe6W6RrWbVfsYs2v/BlK2Zc7GO3OWucwwpf/kx4HqaCjvew65e
x878nVkj2elA1J3BrGaOaPOdbVaUpwQW784XCCjtepmK3KKt35rjsngCfKc0ebSm3undvWZ3yawf
Zy4K8Ryuk5d3f0YPL+vfY2G1cgpSpVuDCHslLOOH0c3zYNI9L2dnjejQGIHi4IKUJPPmYZ3Z9GrU
6aZK7VKznfvQWWQrf7tDpWllUHttT6dsmhjK/95audY8uZlVwYx1aiY6dBCOFccIi3oxbZQp+lAp
yUbqzd0Bek9J/zl1j/YmE/ZkBghlsAvyanA3AdKDfnip0IV2AT1UGWbWuV7oYYEOBI2lXoOrh1kE
pjbQiszynuaEwulTPInqVyKb3CNbCXiVbHCjP+nwxb3QZC6aodsmXfWzH1bvHoEXJ7Zfael858hp
Piasr/i6SM1Uhuw+7bOnU/gNenMsIP/K9r5c6vyXk9mqOjb1bN410+Tc0XQKtmY7Fl4SD996+hzh
okpoOsMXIgWPlHRq+9UBi+t8OmBmEit4tfHG2qj9zobSC00W5GxfPdW6y8daVnHRdYumR+RGUy1I
G9wOQoR4WBHYbVnm+9yx42tuN0uF73u5fs8E5zd22kZrgf/uJyTYSlW7DjDU3vEW3dpbmkwOXD5w
DGmWotEQtcXQLJpK1lo4IhqHxEC8cph4jhfgpTOW3DFnTGgXIx8lW+AqhSCUDBUu3TQUF302wjm1
Rg/tGE5xPu722TyNUbaIfr5MsLxYgjyX7rGoOjVjVzN5eqTh3A5RaRsqHGqjQPOhDzFULh0wQGTO
EBUQ2SXpPdud8RU3ezlCqvD7RyuHEmYDivuTUtm50zusT3gjQmj7NKupI2lup7Ee6hyCi+/1BKuY
xjTOdRNXc3FX16vsDwYM2+ZirunR2Q8m+IbHgi7zNrLaDSOd2/1EGahmajq9X1m7eAFPBsIrbz5v
34FM+FLUY6jiGAgTMUrtwhQgFkGXuFQcIrlbgWaQg/Hdn+zqKjHrdY5QNmc8gzYr85CJFXKHsWb5
t5pPk8F+L8XepOvb5tdKJEW23Uhkf1VhhFx2qn1uASALScMSgydY+gPazfXkqYPuHB+tJJ6MwCVS
QYKRez5Iex0obVE6Xrp3jRw/G78fHLXfXPQp6ftrAXti7eslTEeUvYGwdUzqqVBr9m4dquZ+cvvK
/gJpMNfDyRG5CqrZbfqgSNt5vrHdpKHNOjH9JJTJ5OpRzfdsPrWrZhzrJK/si9os55i/JCyiS3fQ
18CkMwhstKvYzPo1s8q9hBv92UBaVf/Q62IJhMeeGbTOPICcSVr+s2bh+sVu9IGPXDhuZicoxaV7
5Ze5ax28kj18wLRfFr/hWM3TbwfTleeqbDhP8jTLzEgCDev2ak00nkXvN6Q8bR5gz5F7XMZzZz8Z
9tJ7lzKmDyBMzTG5h0wrtaBBeb9hrAgux2kiyBvXxjcip7agtW+YSywX0zm7XVrD+NZbfnqdlXVl
BUozE8Vm6OdZKMH2lMG06tZjB0r3m6iLGBbWaGX6vTEo7ApsJA7Vc9GB7QB616tBfmJZLoAX5MzJ
58SZJm5T4tqHdRDYumi1kV3Vuj34YY3r9xr0RQ3JIklSzzzyqexxvw7pBLaN+OF+pN0k38VzpuIg
oUadHrNJAI8pkOoUwUgbk7uPVUw6eBVxlULJmPVnaxKbIIpuznxPErLfgQdCDQqIEeqNMWp4ENlJ
Uh0E8XTzNc3NKWg8t8jCPhnYu6hsuBC4Jlokq2NHv+stuTejjKgfjfpF6yqdDjHBnYX15WRiPGBu
PudHaUGmuSJW4dZW8FnyI0kG/jtaPth91M8WrfA0sKRfKetXvw19TX6lTT39wvol/T4lRXktbbR5
e5Nb+u2aD8WDjEUJEIkJ9TyYUusPWmHKh64QGntmpa+gCQElEhRosS8im4DCPDj6rBcXZln1D9TZ
7WQNue9ze1uVNO87euyWHR1ITZTGubPRkjm1QmS8eGPFpeVlBIOSC+pYms4tVXmMKVaamfw9Gn0N
1JDbufNjLn2vuIAQQTisRs3dreXIORT0mTTVrsGrLgvgJaQveULnfIBoTasecvgTfTRWbWwe2Irr
G0QUMS2+5urQdjP4TmCtOT4BCCn8P1pnzH80Jfw/vWVzsx3zuF3CQRtsipZez3mGwK7MuIdUxi62
uZ6je9nMIme9ar9P00SnS5KaFewufzV/UizhDqR8vSBEFt2jF7v1j0ouwrw06U4/6JrjZSHp7K7F
h4Ms8J7OlQJGhg1ZIkrTVn8a63hkuYC6/ubIZvrkrFb83VeLuBtMY7jzhT+BMiXiQT6pbLqK3Yqi
0y7L83Y/WVWfQUecvThIh2y5mdpy1valNc0/XOxIAanBxvuZm3gk4PIiTSeKZ8M9lFoHyMIukvV7
r1kjrfIgrefjWPTmj2myBpeenqX+3rB5rDt38PIbIze0P8ZQTZ9GQR58b7a9830EcvGQ2jhk0NJY
9pcAiAiRbIopY7Cg8RmPJSLcJWqnrPozt5r4Ifs5N9jfluVLVissWUB8l+nnPGstyqbVKH/rZd8t
4bT4RbFbhAV5DGnwcCUgIXVcEJb2T+JY8bfFbJK7gSP81ilT9ZIq26uCkbf2021VdzVXrU6sL/nm
Af4rsx6WhSAOLMt0a9uFaVRwxVtKOARpOnzyO67hQT4XilsVxFT+qmdnt7pRzXLfaJlNRl7HzWg/
9ss4BHmb2e6ByqX+4qjCdvAm6cVnq7NZ7gZtly6JKu7w0UxbexdY7uxyK0VJ4FFtEou/m8yZFo5i
nuvLlZqvtZ8MLvY7o1WUPZWl1MHNedeBryrlhPVgwIoaepdJFo+W9TluvfQJ5UX5MBkDeSAufkMf
mI3fakGMA4MTVI433xdlYv8ea7+8gbLYJ5dzKoCI+B5BzL6bK0+F0O6pqMC9TyDSuKXaz7PvP3Cm
11k02pm8yunwVhddXTrf6tEUN3MuVnuve2n6Fc7NOly6Seffp34MZ4zXS49Bb852HC5p2+48fXaL
Y6tbMg8Tq7F+eS0Ytp2ScQluu1ufrGloVNjZvSOxO1rEFCx8mUNFKXLaQ25an+MEVvc1u4Vd7X2j
MHaV5akpbJFMEM42CZe7mIfn7Sz+8syl23ywCzP5UnQ0+gaZam0jSAQxQGQUi/anzPLqina/bQsn
e+XsuzFr3JAuGnXrqmXEuBdvB17AOjnhSlvWZzzdzDlMmxUUy+gJp90lhO12KEpLu7DHicf0aYLA
B7KaXJBYPO1PKnzxo9ZY8MGQ03+jTABFtBzyOVRp6X/1prH+RSawvO2GpvqR26t5UfOYXUiVnOvv
TJUItww0/+jgJj++MGVfeow7LMwoEatpF2vmaAS6Fbe8WfYM8iCG3d+XmHtw2TdQRbB7uu3tyC11
gjvV5fpVswj727j09o3r5N33Miusr6ZLCS3oIXb+KHpcp4K5JP8Z9sBFK7a9HBpZN/TedyrMBMlD
6ifXq93OXbDwEm8AeWjgCpN5uG6GhCBF0wc9Aq1X1rR1tcIJFu4dLwJp1ouXORa/22hoCUG4UR+s
Jo/Bqo3dzBWItlIu/2tWt4e4EtNN7G1QEIdSrAra1HCTsE9rb9gRNcE7svo1f0amH98agzONQcX9
aA2rZIvaWmsEHOfgRxiMDRC5MDFp2L/0uqX7boyL9eCsPsj6XqzyrpbK+2onpr5c+EVSPEDMq38q
JNY32EfUC3iezJ+DGheMZ20mkRoYnMA0/2etfl+OkiMgTrHNZIt13LtZau7XwWy4yqEitp7SceTo
mOqFrh+nK+byEmC2eVX2XJKJfc0aGpLUxXPm1djScWeIuZB6FkZOPVHLdbVK1Qfw2NoxYIk7P4SY
ymSXthPGRzk34rBMiuKzNLlPkAeipnwAWZxfdytGCYdY+PqF1xfu76Sy5CX6daKYciTE0JU3P5BZ
dtsIGXI8hbMnoBV6doOAviQhhlUmffM3GcWmn1OpfGevVG3sbWckopcqX7PQ6Lr+RWsn/9ZB3IfW
XmJJEhR2VXahj/fjFaXM2obEVGRfkqpQTdgoCR0460diLw/TKDNQZlJ9GXzhQnedGnMNlaXP15aX
LD5HocruPVx43aACfOTuTW/Q93zjZiVyo9W5MnrxgriIdnea3o0+ssH8Xpd0x03HgirRgyumLr3E
NZLDEbgaqCT2InH0Uw1WmpY0LpQt26NL3U7YZCySZZexXq6fewVRd7fOKZBPucC50zt7MQNfLP3n
DODwGEg3oYxZDp08Zi6Fot2K8vDZjpv1e+vPWhvxDYvrYVaGHvlTz+Qui7j6qkTR/PCr0kpChwjl
J0WG5SZ3J5VG3JnlJzUvorzVsGJQyb3fkASO5tpUUHniIetedHOpCDuywRo+WbGROJEnvXaB0ym0
HlqZYhUIT/EVNEJ1boa9WZiHTQBAizPIv5+OnXVy13b9Or1M8aB/8SgcHpdRS1k46zg818CrflZD
XaZ7T5fyCeN06+tQi7wLJ1NUL1rGqRto3LgfV5H7mC45fr3XO4dZ6jvDVO5EP/jebh7iJjt25Lr7
wID0vF4npU/MAtmw+eJYPelFfTZwBjBJYJdR1hRw+7Aqreed5+UwrpEgVV+KGeMErNNXCRPv/3B2
Zst1It0SfqKKoJi5hT1otAbLsuQbQvLADMVc8PTno89Na1shRf/REX3TbbOBomqtzFyZXaqfBzun
DDU9WXv7quTH7Jqp5dLabz2SstZFX1M8t/SyS7m0UQWil+2Zzq8qMDXVvohlcv3kJzl9QAqL0bZ3
fi58f2/6KE6ieW6XOVozpwaZ8kbiqMWiidIGnetU1MBp/zEXz8D2l/eQmWdOMKsfbTzichp7Y2tF
YMy0NYtnjSA9wiXFtLdNUWLRaVmgQxjrgRJ3iiS8el2d2zGfi6vJEHO908NMK5SsyPaiVHeYyKfd
oOaDaVJjoIBJkAETk9eR0clw333ejabB/z41X6SVU7ct+WpUhxXU147cOnPvqhLVQKiXUYG4FZVH
Aq2ySJ1U7viLgXhNyqWxGGrn8prJkSWoFsBKBcnttGCMEwKUFMZxQrU77xyNO2fkVIHfsXRM+7qM
4/4eUqWit1+aWm7bd/mSaXtkm8a/jT+eUU2HIpbTg7nawY2q9KCPyPXz275OpLkjHm26GwLMG/Hz
3nIdCZY0oatkOlIJGL0pxWEMgIweqzRP0HgQ2iyjpqmz9bqwC1o1h2OwCv1hdPRerQLjTlGuc3mZ
db4865QaplDB/xM/bfGztCj9FKzCbhI244wPKkMrk4QauReNqOskxzGx/HWHMbGCyoxzUph9TMfj
yB1j/WLX5WAcU7rUczBV64bgTfdPahHnyL6VDES0s4C80CnL1TgUa1Ksuy42p4fZEZUIpcyWHm8M
gtkgYTKvilSlEHwveGNpH9GFtc7AvOhhiy8z/mlOBE87t1T7s38NSdR9i5HIGRD+QCF42c4rqJ8c
IAKyuV1FtMQ9+lGZcTaV0i5fRUpsdLTYQfEQw9CTEu6JYIkE/cFtoHMqJ6aLujQ0jH4FZ17K4jy2
TOZ6Bw0tEzo4M9Q7j8q1i0Y4voo3uTY0ANp2usghVPFr0En6asnQ5T2UjwTCaOVIITSORTgUPpzU
4g3qdswoeXf4cRfnVZFSY0yJmNrdNKfTqxkTAEu9N6urvKhKeW4OsXjoyOu8Q/u7kk89xAEIq1GT
01zB9l2vjQMAlhIE+e0fkiEMpkD9NsdO34g6Hh5F3LQlOZBt/tuxCo5TNen1dV5Ed2Mtdfq7bbDw
oDmwYuKya9JWSdg2H6fSxq93An0680wy9eKRLY9bZY3Bi67jbtR198OrBcD8uk44bpFmWDKSjJUL
fm35lqCY2TcwaP09repK9mniLE+IpMWPGmaCgyxIdR+WoxT5NW6l8EnJ0E5f1eKnC3r/ldgDZXrd
787As4Vq3f0tMHEkGHJ0/C+mOecgvZ3uvwldUVmnw2hcl/m202gCtUk8DqA550FOl5AjTN8iZPZE
GGe9dK+1s9ou1ExV3mm5UO9yyfrG1MLF1nDivPO9ic2q81zjvvXrvL3sY8/UEEzV5OwSrwSmxELb
N8/G1sYqy8FhxdkNsl7+8IS2zYpSs4gUcOqjnFPA0gJ/vDl0bGCPBGsS54xDkLxzAr8hws21au6K
zWngENTmcsW2Z9W0H5T3oeuL5k8sKtuOap22tMKT1dznOiD5Hb486w+BXWP6YupM3nWUIEbkovK5
7Sn/O7YDP4V8YnxkZDJeGx1FdqJxf48rNYUFex3jSVPmLec2E4G/fSfPbbKCR7uKWCTL0zTm4iGR
eZdBBXfdS13EoLUTQXJFOOpJ3bpYk/7sOHluQJrlLX69jXnbooWPgeyqguiNjSHWOQnc32OQP+OY
W8t4Wxmyry5jd1jXkNTKxD0wjAj/l4vN8HjzGt5XfU8tbxF0nqHm6QUB8pOVvtYF2CxDlB0NreiK
AppIFemtyTTsuO+GqdsncQ/Fr5Hy8XwXk6KiKw33rpBF0fKoE2qFBjXoq1FATO/rnq04WnLNivUb
w/szWMZyT+rl1F8q3+XIWZi5IWB0cvQLOLhnRz0i5KOL7W16ntnI47djDj9MpRqL8q9JwO2woTHj
CFh3fcr1JJ+XovRlOJmFuGTovfntejPAMybPmK3mUMDfx9KbiBA1Kjh8J/Ha86oX/M1VN7WUtLZX
OlFb+M4feA8HtgMVwUYWV8xc1XZPm4VpvPET7ARYvGZTm6IC+tC8WrrK+FYKuzX3grzCLJozWH5w
5Bgy3kvBf3d4yTX3xWwtrxol1zM3REILzUZZ7z2mQ9zIbqd+OM54p18A+Bhz2LCEvlIt1eUusWJh
RI2/Cuu4yMF6Npw6e0Slmv4YwWafsfKU6RGeunpsc2K4u7VJdUjRY4D5w829qqa1r3XgtzOp81Mg
fyIcV2toxjkmACRR2MW5UZTz95roLufCTOu42w2oQVjIDHb+4XvULehhC0+cTeWy5cO7frt3C5Gq
fd9l9mWP2wR0k67t37FVgQTIxo93aTe788HLVtSE2egYgo6hEX1ynTh5xT3DDIhIs16XQzOOBItW
vLuLWjYGXDIDmb8LNQ93ql4pakXcx060AFdbe6d2dB4po7RIl47LLg4xJnKehalhhOrEN4dDTgN7
7xWCLNjAEWI5z7rUfEAOizOAIVNqA6/Bw6UZJOhMstUBYRLH6qasLVWyuc/1V9FBj3FKk/YRrlJ5
d0bvTslhFkP1w1NUR1FWA1aHpUgczjOzVA9Dq51fzFyAz9TF2HhhNzCPYz/ZOBnKa2tZzPWq6OxM
hFYRgzZNiePdoNVVxc7nHF536eC3bEokgTNeN+EOcUgIbymPcdl6+aXJ9gHynLaD3JNTmT3kRbIA
9zjknO8bdEk2cJ4JrKwGd43MZUQ9LIu1eGSuy63CCj8LsojJj9i5ZAcPIUckHMfISfObkF/f3sH4
yAt3ruICD8vAvXALX2gA/Vl/TXmUj2pdGTLWeZA1kSjY+6IpNVPshuumVQcgoeS2Tzd/jnJ25aMw
0pH04onPrx5jBChLpXRPVL3f21EiFFIMO/bN8z7n+3tBJ8AGaXs1RJdpsdkWlFl8nLXZqVBmQAyY
myCOxDeRHHVmZ9qBXKBKWsdywPeN08CL97amiQhtHFMP9TSI/MpZ5tgNfW3oLEwmnImisgZQPfMX
1/mtnDb9XrOlpDwEbzxvJCXRzkcDZd+vRTleLbbRZFdUZ+7VrAyvPjpTPWWR41SIaqgcQGuknGS3
qyZTAMCsCYsndZzmeVpGbqS1suSuoun6rukJGPERDQYHhHvH3wo/UQvTlKuHDIijI99D9XaXSlGm
HCow9SIq1dKNjM9a3Rc5zs1PUQonu9Sm65wxfT3+dKfS2RtmOrZfgO7hvAaGIhc2pdb9E0xV9muB
W/1dgr4+2spFOhErHH0iq0io3oaW0nyXTcq+GZB7oBCDg8VHaVo0lMNkF9FCvDyUWjp3L15OPHc4
pqDlnCSD10V5kfW8itlj6Q++Iu27Tnv7MUB69JKWUj8areePYWXW+qXGIFru8nQSd9QTKwqVlh/v
+dU32x67x0I3RhCyV8ucGSh0JyjH7I6iZUlUhuWRW6/0bms/hBkGMEANuMcDcymv80M5avvFkYP9
zTK88c4WNKhh70/9T9NIauoRmiC1i6E1zytukJIuHq3LjJLUjcps6klvT/GsxuzTwph2Uogs+PQr
deQsTF89e3YGrKWX1cLnqc3cnY0SJtvFPEAZIcv1+FZj1kGUmVaGbBnPMPhzhWCLIHQJ2SJ5wXbY
ESl1VfvAnTByhXrEYKr8VeiJ8PicavmGdHDb2i9ToqC1oHerLe7Z1gedQ2u32q3aaPEK4tvR8Rj5
fo05YODGff1DFUbxQkPAHHdWifXBlIvB1Ipo5wc7WfJ7c5kkoJGcYeE4PhoVodeAmS79obmZhrj9
Utmm9a2r6fTvgJ0sO2pRXv1YmKx7Tpql+tq7BSU2CvAcTVgWW4+pszRM4C+Z9UVAc6dnTZ20L+nU
bApEepAinLFxG46jURcinMaA80IsYw6dBJn44LqIWvIUm8twbuvh98TAxQ+XFjSh3rD4Pi2KBKoJ
OK5g37hzNkRtvybf5CAREykYnS1RI4WucJqZ55xVWE+H42jKO23N+q4imEwBXdr5C4o6mpBlmH5p
lMVVmPbbKu57O2vOVlXUTw2EMAs6KHUWCYABI4Q7SIMQ0AkoanWL9DodVO1FnW12nMMzf+jQpvaY
Eu2RAo6XhljKM7uKEQ71iR7ukj5GYpFvQvvQtud0QY82iid68/LGcoC6efK5uFHdkNwyToN5bixr
+9yUAxhwt0mU+OAccuNl0Yz+zgNUewRUVM9GMpvO3jNKcNmpy+QXNJO1GzFXAnBFv+bCSufSWyL2
WcQblF713TISD7MT5L8TQzNAJe/4BJjySFDsPYnUUnpnpYtxNgvod/bwRL/4yokfHKoYnpMrxldp
rbD8DMRnRMxIZ6FRJ2P9UcaZE19gyTrf1C2OMQc+BTY2pHmclY1DDjIM7NQmVO5WB95UKZejYmm6
K2Gzt4TekAzFbijtdg2Fu8Q3zFtM95PpD6+TPdjdmcQz5LIuoeKp3JoYWtJ2XsDxZrY/r0vOGosJ
e7DYrDkac4uyR9tCXXKrPdIGz0zTaGHk6nfG+uEK+LcfeqNy/yg7Ld296Kb6Zdse6NLgPPDxppI4
92JdYWsIX/rc+rNk3iG1kpoTSvjAM2AUX8qO4QLkMW78ZfVK0vxWgDi0COnaTLsgbhJFSWRnF6tT
g2CrGJ06AAbqj0MrluJLETQcnhW58ibLp7MuCgfOCc8boynpodzi3hh0/pNEe+9Hih4cQWZqGd/7
taUpckpcd2ydorZJTIMZw2Q0Yspyd7K+swrzK6T4P3Xcl21k1Ypqz8uoz73VN3GErEvjLDcVeia9
QnKyYedtus99SvZwEnSiYQ5dh9gomM1zRDmpv8fpjlwmtxbWS40Yjt3K4hjO68k4S/uWTwLgP7jt
TWXdKhDoehfP1vzcmpyaLD57fjVroobCvMjdy6lH+xXWQZM9zgt0GZjU7Fwzgz2zwhFXpvsRYV+H
N5Sy6ea9AhbD7aRxwYvr0GoUWjwUgU4Qsm0CxMYhbeg4tVPGhhvXzx1DpE+z1TdfaiPT1lleKuNQ
Cz3YRzbXtoi8oRlSG9UEkCBRQOAJ5XRR1PCfcmMS0dT5ocdE6XSmA6eCb6gyt2cHMgF7CUlh0AGf
fOjtySr4nngJcYeOaXBciI/Jvy7mjDSz3gIev2aoDPSg1oXrkSvToc8FlgCt4NxIh/2kvNI6kBIE
pJ2PVvfU5Ob8e645g3DkgnHe5cPSfvUCKcorhL7ZZc5uUUXevHVVcMz8COQyWRJ61F5P+JCKS6YW
obG9dc5f7NSef8PxcdWu6ItgB25V+jedXQEIk2640g/gfwvrWvtO9505OOVcpk6TfUN0MAwUXJMa
kcxkAs2IZpSliDqFAussAVLrrxin7a8nhOZj5AN3rWekI6osvYFr1eYDCov1lcJrQg+vPTvuH4ek
YBRk32HB5Z0LqPwXXL7nJ51YejzCyfvNLqArRmMxCtwh6a8BtxNvFc8BlmjYdvlu8CUdiyBFDZb6
FNdN87WHxkdYZWTGq0AeUe/WrHDiPeKQAGkUrWm1s3s0QjDd2wdgjwtmhWbtT23kc6a4VNgeSjOY
vuBhaFr/bh2t2YCsXLlNJpTbI0rb+Xqd+hX4bWVn2EGMjPcJoukRfkgWLZimXzxm2CNYu7FpOlx/
UAFSZBbVAlbcO2w5nSxo+n2EIRLJ2DAM6FJEWkAxCJYN/C02joVavfisBVvOMCmiwI0aw4QyhIKr
3QO2YwpvJqzU/APIfcHZZJlQczYycjzjupV2ue4mE9LKEslXisd52qc4qF5gJiNBWIxaCJrjnuU7
awNXhTavljgsFrZ3eEQAn3NcwWmmEZx4aLvWXL44hVkwP1xjo4nb6lToXWVN9q90rdkDRUYSTSis
Cow2yNEAhyOb9X1XtuU3hImW2tPV68cpSav0XFB4w21kyrrzEhOHLS0VK3Jw60HCGkp5PVPcvLT5
5H/FLjhAfERSUbwvg5WRztUyhy+dn5k/0sb0nF2ea+N8dZJG3XRB093NS+0YaDd8FOzNVtpXsVV0
kW2MqMKoyAWT17Xbf6/Tkj43xxaUTR4RZ7wDGbfv2A7gkJgxQ5Jr1aUQiN/EeMs2tU6RlRdoHFWO
o9Hc/nMO2EMwhY3RDNdsjfDE6IjiJyYxyrMFZ1W9Q/AAPYjMp31emI/rdy2Ct/aCzBTjT6Jr3zoa
AowvAiaQHCWGS3okm4vw93K2aD8xHh9+VYnZzxTURfKIx+50t6TdxAmj3OSlHZblT+IhszsUXVC8
BhzS3d7lw4KJaHO/xYIm99CFLpScESsesttOBd8NUwwUfrTexU8w+vqlUV42hxJr+EdYXDCauR+W
66aZgxe8X1DzwBg7LSzAmiNZtoT/q8yr9TWjt+KuZImmbay8yY7yLHeGjc5zpsjIvPJHhrcroT1y
ZdzeBqmD9cy2mY5+ChCL1s1aIT4xDF5+Am130c+LOYSGZ84O34EtUlRGedLtfRUgu+ZsIU7JT+w1
iSBk2y+kjhnLzjNc48pJasIGMjmXzZH6sfjeNuzKFHFIj0ZTsfUjeKx+IjfNb5lrHdAZZmYl9ijC
49uB/SmNKPMlbVrWjF9NtOLfFNzNg+PCI9icjldVU1r3eWnZ9V2bzyNWO0E2LWemP+mvfdr32KCu
nYUNkCqH+Lg0Vn4/KqsHeZoXhlYWYwVtpHbBNHU1/cLf0yUJd5/ZDe2i7lu325kDX80+GTLN/hjM
XX1e29ocGcedbT8AW3XYHxxr4D+njPP8VNmqRITXWoOjQS6X/NVvEE4csciY4uuJHgdBFyn19xrd
3G+b1oBXLTczlzoBa4/tFDnZggIGecNglK9zp+OHmEr/F6ZQG8y66NlmI6AG3DOKYz0zD4LSo2I8
6LnNNAd5N8jg2JZzAcvKhFB1ptF33tOrKEKNc7NHPu8wHDTLtZVRXzKJGBamWZYoTABJdnHMmAx1
pOfdgk1TbTpMBVzmHfK7XUa8pA95MHI8Ia6xHs2lzV61j7I3KkuPKpfpv66NWsOPb+vcRmdE5U+R
C+2aFofGqtyvojIR8oyYhtz2Qg5r1PrxOIeMv6FmUp7RPBRetvzwR1d+dSG0jL2MV0Ps0iCAnCAX
KsmioqsoTUth1XfSH/x7khubZ0P0DoKlpknMiP0Q+JBkuPqKkTRRM9fcWS/4ySP4RI5bnXcMXk17
ie/7EPF7jIeYmeeLdZ0bNCIAqL/6IkueTdA0FLWtrjKYWJZYaFqVWFAKTpvuEoEb4gAk8N/jeknt
HYqkFRre89URhT1/0kJb13Duwb5RHCPJD0cLn7R90g3elyF3hGarLqUD9pfnT50qsocgLoJbaEMQ
lzmOV7EBXLoJfVcw2qIzm3J/YWd7oWig1TBRWYZDw7BDyGBV/OqmQBWHPmhze7eghQjQeQ3Lhb26
FV4XxnbC5EZbZnt7SoFlSxQd1l5Wvnez9Z0Om8q4nvdNn3RRPE5ge/g3mVf9tNrfkoJdLMTgMiN9
iLbk4HeKcgbz5u7PzMDfVdZWg7mbOgO+PPOZKuBJsyAjZ2iTMpzWRTwxgMg71guW6H62ygdLe1i1
tOguTaAxSjQSdBqTwZuiDu6GIl6dkGY9pWiIpeSDMEzxbc6s9VucTaNEEL7hzJjBjS923ltttM7g
MNFKAkW8+QouEG5gRrfVohKBfJa2OlwsT14zLtZ98YMEwbEnKyr7xPYGgqICNWt2euh5s1+geldd
zPEBoaidnJWyD+5EneKiEQQw9pfWNMNmQIf3u5htv2fEgrP+3MztQIT9QI7yUHeCXnSAdt/TrNY5
Y4h509yZi0QWgGasZ4gmNuC7mJEb961OF7XrDC3tyF8ZgY60MY4vkzWLeT+PncwPQRoUfFNp4FJp
IUBdkc8lSb6TQILZL50AzOzHVcgpqhoG4CnMlgLJRdCa2QX+Y0F1PU+Zf+tkRdnurGktGdNq0Njd
MPIDqT0yp8DDaK3qlyxq2R+WdI31btFAVockpTDeSZ5it1vZxKktclgqHmyphAQVMuP7rPWoJVqi
LwRCz4kiZOFb/V3WmjD1jLmP+2ZYcHjZYgCuCUQYntDM2pCQTe9etw68c2Sti0Ja7KscL0Y7lihv
2blCAZHyRcYSyYsGSUWJNyPL3pXMD/1qYrV8a0qZ39io0o1NMAh2DBrr0Yg26o8fTzR/4LpghaCH
VFy5A2EzeKXxg4pvHiJalJoSdOr8G6msVh5j219/JGI2rhkxnYxLhsmsX7MjrQ2cKZFnkiWUnAMM
pyv8qFHfMFxgSTT81phCsxNwECEC4ovydG7cpYQeFFFjG7ywyTCch7HvoJXb0YXeLYw+OF9EMszH
mff9deUE12c2aMZ5DnpyN1gTGBIeZ+MVgghOyQb1yReqA46L0uibKVx7QIyjn7UdAJbJNMFXMMmS
EqSZTPRSdeHfuVWDGJbjJrlpS5TE4cRT/o5CfbrZGj2kOEbJPJgQTX/LnGT8s1AgyNFkaToMW/sl
MhEiVZ6DdOFjTlS6eOizSuCKKsdYd48bnv2zBGzDGdZU6UNq1wOdrxG0z/gMuSUgW13+TGTboYKI
CyAlprlLhSa9Vg+yQQHAJov+wnbwPA6znkDyHV/x8iNY3HWijrfQgsxAtQ4qHMpGdNJ2eW9nzDJE
sFDuq+N33h1nUG8dmjiB52bpdntjSDpK/E5ZKtp25+Vg5oA7+1wPwNiOvyKMTP3qZtOgLrtUt/qa
yqXu3bMERnvZp7b0W6zlWnHdT5yaZ0XTWOc+mIgZ+hjM08I3WsmbnmHAX11srDdu5pdDOCOsGM+G
FfztltmzGG9T4TU8m9R2mj0pXoN3tQ5uqR7pC8SjCABGoYGUgT7fzalyh1nJ57JebYMakPboZ5Dk
kwhpv9AoxpKhqaNqUY1/90gMDaBcgtphk7CAxtDZJoDwCICy5Rvq0om8jYDRpYOlmOUJm3Ehh/bj
ievNS+Df5gaEB2D9iV2DgckZKOTJcHcpFydoEf5ACNvmDzE2cTgW7Xj0ilnfClFi9irihFc3jLuy
GOXx48ufDnxvlyenlXF8HxtbWLC3s9bMsHYDspUqZPSKdqhEyjyeGagELaY71Q0cRRCujp1cdrpE
FvzxxU9TxQiX4+qmYcA6Wu7mn/L26uSEuQ7UXR0WMUfuvpMxH1JFJOC+oKvIkDWBoiVMZsOfZ3RU
zIjuixq1CUUMgHfrDk+f/KLT2fPTX3RisYLgOW67iteRNDb7MBTmLk8CM6JUemwphdl44MI7ptH2
5TA7+Hv5y7GuQQDMOUEavgA5oCcJPnlSpxYA//wsAgw311tp/eUs1mp26NGmJa6rBLiV2bkEYUcJ
Gln0jdvsPn4Kp94Q29U2hw9vczdFE3Nik6JmuybiHSUIcmD/1c48C3kc41KUhdrRr4T8mp+Y6Ly3
DLHck66zrUHpnFhfIJDsm6KHh2cc0Lx1kZlQ5kq0uIOhz1HPBUdVM7vdWO5/i3/Y4g1dlMbutgK5
vjxZgX7DBCL6F+g+jPAYuQL+zdS3yuYsOAcJgtr++NH+faNvr3eyvhZXMJiiFIOHtTFvpqrL9cJ1
L9FjWGjF22HX+m17Hzhlcvj4yn+vbK6M+YyDqbFHHtX2y/5l+dQvTiMzm5VNQpJxkaBt5eBVzX/0
avnneRISyLJhIgMQ5+1VuHRmBS1ftDXL4cLZpG9+JS8g5eevHnrrT9bN398F7ttsH7DHEIK8zbeX
8+0gDirBSu0GTrMBaDgCcfzOcI08+/jx/f1N2PhseCSRQ/fg77s93n89Pka5uk5nnA1xa7bnVDDM
YjE+nEUIPJlK7oBzP4lcf/eKFkZMTMAzmnDqXijpsNtq5JtXqZh/xgtAVzDkG5LYpcUtbo3+Jz4j
760QohN8BiF87J9O3cVnEiFsmFt2426kXwlW1aud8vqp/h+WIhFEeMJL2+atnTzLDDE5FQXPcm29
Fq3zEKA50u0nV3nv+WFXLhFPkYKCJv7tG5s9dLpFylUGFAIuo4XBepanZrfXYKww+GBhHy+R9xZj
YASoByjL2M1OvjC36Zxk8bclIqfgbq4xBol0knhiP5YUNZ/sJKcmRduXFliewVO0cY04jSlpgrGk
BmbyuJNJ9ZJB6KEPLZCurOrK7+stjlgM0+PHt/jO9sXBgAmZZK8k5dl8+0zX2F8tB5FoiKcAE53S
i4/9At5qVfmhLWMfFMKyj7aF4PGT233nbWICC9uMJxObi31SqExm1qR+y5fex6P/bDJ4nXMWy+mM
sLLxkDAfvf/4Vt/5GraCjGgWS3IknW4t/RwMaOxKuCzkoTsHZ8vDKKzPEsnfeYueiaObK3Epwvr5
5Lawq0nyevvmYrOQGtV70edHq++lcZDD1kvInpGoVI558Mn9vXtlDgJG2AgLxC/97auM0f3roSIj
oSkm44lpqwJ8p4izm4VkjFe2drSuM5Oc8Scb6TtfCZczKC7wukbetv2uf22kHRPvHgOmPNdC6Yu+
NqY9RrDiLgBA+WRDe+cWcf+zyC/hS9mSwt9eqi0Nc52diltk9G8nOpRl2umYu83gj+4UKuWnQgaf
2RW/c4PBZg1PfJADgGKcvFLmpbFgnvhGMt7dzuhQIzHZEh8TgyGF/7xGAyQfASEbpN7ggfn2BnNm
zoGTuMEYP6BdMCBjmlvnM7u3v7+ELXDBIGPVwfDNPXUENCafEI+WGBiBf8BNMRfI+dJ8+qQSe+cq
mzUe/7B54qB/snuOjKtUtRPARXtIRJWsHcQ6qfvJqn/nKsQZYi2PhaJpYH729olpI5001TsaCzQj
1U2Ht06zazoxpJ8s8/cuREGJmb3BGcdKeHshCCU7qYFPw3XGmDSrzC5Cr/iJ4fDfm+I/iaLYZZEO
T/Vzcjcm9cqsazBObre4YO/Mln3WI/9QmqH/PQPWann+r0sOL16yGlGoO1uyysm2kaHqBj6gYLYs
RceW+uqgFq13H1/lnRvzfLZF2+Bsc2nz3j69GfvWpCtaOvGghTEsU++KLJn+4HtjGimdfJbN8/71
6ADIMaW8OzXFn0xj9DxgHRQIoof+I00UcjVOGLTJjby5G3Vn/fz4Ft9ZINwiKWYcMlj+/9V5Y4/P
0AoPcknrjMHdBnKhGdb/vt6x5AEXc6xt1w1OPL6D3mXEnZmDcCyN+NbXzDv1ebF8El75d1kAEuVw
kngclUzEn3y7sZviNrW5Z1ok2yHUxpSFoZn5K4r94BjMPiO4RaJh8PqhOn78GN95c1Rb2AU6RBVK
oJS3K2XKjKxtySsJG9dOnpgAcp6YzLP7Q9ng2hG6BYqiw8eX/PtYIZeCR7kRORyep2d2Opt1MBOi
HcZWvR4dRFk/SgEheSVMuvPbmAFeGTZtCpz78YXfWTI+rp4+H6DP93dqNUvsJfUrdoPhlA7iS+7Y
VdgrNf/nMpbbC7C9NJm3wvH75PxqlGaU30f3FZR+fWSsMcbjTdQen0JZVs4nC/S9pcPRDBi4PVE0
c2/f32iRiIVMlbbU19kRay+kdWUmMKWPvfwaO8Ll2gGzO1rU1g///XF6PEbCRnyWj7MtrX9VIl4G
dJ24DuJ/tEy3EsunfYOl4ict6nsL1DNpiSkhHTrVk5IZyydlYTiPMNktvLBHr/DD0ph6Ir9tzxgT
6c8+vqu/yw/2ZTppfG7petiq397ViptKw4Qg0z1V6iCNtBMoSRd2FqkXRlmfLMl3745Of6tA+Ld/
0u/jToU0FJcGXFxi5ghIB4Y06ZtAl2dF5Rj9/cr0z2do2DsX3YJS6H14opzjJ6fDaiJVViuzNgup
bfBUjHEtaOEbvG2Sqtr95+eJNAG7UnpVjgbrZIOp5oJJW6x1GIsaGDCKslW35RPzX16rmRJfZvOz
zu6fbJS3mPAWm0J35fNcKSFOXqGugjRxoSfCgG+v2mfTYFzPGhexIBvqs9iHPpJZ2x9T1JHkAAoo
qjBZPEjBCp+8T9bvO5tOgPkJ+7rlssGf1pjpjDqThKgGfU2X7AnTRcaX4Bb/8VN+/57/dZltWf/r
Y8zdoZyMmASceF21G3bjZrBFXKTtRJUVDDesZnFuzHBsfolrrSqhozEv90nmyY1PsqreW1+88f8P
V2B7OPlkGwzlYs/mlhP045GNYvW31bUFsjAjuZh6+rSPb/69RwwAzoHC8bkFu729d9tdyafAmjH0
HKvFe40pIm+p5k/u6p2NgbINOgSDfIt3ud31v54w6mC71CPNAjZ67XOcJ3CJrZm8EL79WT3w7g3R
eG0u5eh7jZMHiEMyIgFJ1dERJL6LO1SBkDXpJ1XHu1dhsISNB/yDTfztDTHbFCuT6FSigpPMP2BV
ZI872i2moD9+P+89OSJ8OF8B3wEgTmr5jgrfZ7CVC4nBOAjU6Tuvmbw7xdTw1//lUpg/B1t1TQ74
23uqet0PgeAlKT2oGz8eUlhOHykviqI5//Y/XIzEK2A46mx52opjaZPiEE3VO0HCHMZxIPwSlfhu
Gsrq8PGl3ntX1Gmcglgyc8yf3Bc6JtvtK+Aby3KqO+ws/C+uP/mf7FXb33K6cWKU7G0QESfEqR9z
XU7ukq2su7pHOxmO6EXP2RznxxSU6qBGJn4+vq33VgaAHzJFFEvwWCfHnzUwOF650Gd4atVRvjIi
1+UEhVHcp5+8rL/vDcjEZlFw8AFnnN7bbMug7NFVbxPV3TGN27vG7y6Qy7lnRpdNn9zYO1fz8V4m
QoHcl01y9nYdzqMlSByHYndm4V4kVSAeiHdifEeO6y02ff/H2Zktx41kW/ZXyvIddTHD0XarHgJA
TGRwHiS+wEiRwjzP+PpeYNbtFoMyRqst80VGMjwc8PGcffbyTxw6P48PousK8BzOESrVrkdzOZJN
RPtSQWE7efbvpTJPxN3U4ebr1/XbViAdMo2JZ5D3/NgrSerNccahCVUbLqx6H9QXyDhPcZV+8+yW
sxDJFm4IBJ6Xn/+y0BKyp0JKoK3P+6m/UhR/kU1Q+bvXs8F8VCs//fnH3WIIEmlScawny3PULc1M
6ygIuRfgMsaJPVNfo9z6Q0410QUuBTrLEgs6m8fxuVKVMJzI5547XqHhpNvgH0OEWc8d5BgUqcm8
sxOz+fPbYl03QHByseSIeZwUrPqSKpzeRtOXVt25Ncf+Qe4Gbfjj1Z2yCtmCXm6xuqviaHUXGZof
RCAJ7hht4WVJ9jYvcrPajE+hsD51yNQUruGWzD1ZhWB+NKlw+62lTqYYUamm6HtWSKWXtOEfx+hp
hfspx4kFmECHPg4/xKAovi0sh+tk0KpVkgvscIZpSLRD35VI9+LGRkhHrTyTH7fL6mSu7Hf9XJYN
ruWsIGQdP36DlOvOUvSLgqlO0ctEtRae65GR/en+z3aycLbYmNmZWRo/NiNjEd/pSyyP0jDh2trw
liM03n49t5az9octhbDnggxZ8uH28v/HRuoob+q2MZ866oTLQro2o20mW+tCUVdQbzjgUPgFs+HE
mPwUYlhapeCI2K6+mAYdvUP0hDj2jubT2O3tUJxnvacWvpOasTvP377u4HFTBJBlMhCAcgi7UgV9
tHhEeEvMyEOpDDbH4ALHE9/phqw/k/Bc90TmIyhjN3W/bvR4hLw3Sp6fvKbKEeM4vhfjPGQMxRiu
8PBIrqkRSL1ZTOJEK8e789+tCM68mrbA9Y7mG4noAEtguhZS6jQgLJGWeCxOSg615adEE79pbAGG
UItG1htMxtGqXxcFqDJjUSSGPm0NpbhhQ2PHHFv/Dwc+/frQ1NHAN0zft+aKpqhPHChkyPwNBit/
emRbWiH8Ax+D4BorydG62HVKiPoeh0YWGWMzkDkm4TZb6z8dCWRoqYRgnSLkRJDk4/yi6mCODZMC
RT8qS26xTYjLYvqnKy/pnw+tHM1iLiT4AoxcHjEF9Vd4Z32XE+X71z35PAAIR2DPKrB2IahkHb2V
MZVaNZixUwNcZL4qI54OKUW6i7eEdQqX9D50f12WOGDQGCECUiYkmY4pdQM+CfrUk8oik46TDGdG
iYJtqzmvpay6QIBbrFuz67YYwKrOGMXqDqfc9MTa+GkWc0eGe6Kg4BJLHedRj7MKl/UstL7ZEVUA
FVaLzmgmp05Tv20ElQfPlLSNKR83gvULVsLB92SqMtvTKs3Y5/Dq7M0fvb1FFaNzESKPQkMwUI7W
ii5NRzs0x2EFEC9EvVyKe7xTKCPV4/DEHe+oR383xSkXXCt5bJCGH4e85ltRknO4XZkZBeANHXS7
VFL+bJF4b4X8z3tnwGAeqxHmosBKKg+ptglBcdRURZ9r8nwqa3cs4fu7GVIMC4CP66px9NzwzulJ
oklI6Xuj3sZjNZ3jJNddGF1gbEIuzFR3jQbFmNRwDQkgFYqlu2Bn4N3i8EpPTfSjSfj+dUzyAcsU
5ED8KR4pchUbPewiimlMV42epGcjlgbriPq2E1Dud23YL3PwvS2kcioDhwQ+Z+OP71HXM+yfJ95j
GNd3HQU+2Gdpm9lPttgWb42ifuqi4alTQOjo/m1udN9G0tATp76qTXZ405+KUyxr5dEXYiMXbOi2
ipTuWDFEmQWVuQKbfFmpbe0twwM22ecNqc4r/DPzZJ1Ec6be4AsX/ZgjHKlPKJZ+8/AXlK2MXAnR
BAZ8Hx+IX89qhwVov0Ieho+vWRQuGuLSrcI4db+err+ZQx+aWr7KL3esSpnUcFqGXdia0i5hQJxz
GO3+fKbSis0cRc227IUfW6kpbfXzlDnUzUG4Vu1RWpcqflP/H33hWqWQByQTYR6NIxvSQor9GuOo
iOMnKqObC6mXzJuvW/nd4EDuwZQgPkIC92jVQXURlH1GZXUSKfEGbGtoURWiBF6gB+25XOLsoHZl
udf6uL//86bZo1CWIfj4PFEor86VIaO8UCM4dxgVY3iGjSDtKPc2rjKc5bBPM80r1v5T+sDPwwTx
PPctJEscplkSPr5AaSC/I9UxHh5Crw5xkhfb0G5OpVw+P1pBGpBXJwuZC95xvD6Uq96Uy2xaUZp3
I5vGc6+LO3829z0uLvi2tltLr/9M28LiQ0RSxTGAMKuKTPdoW6QGaeDanU9Un2JY8M0uMQfflooW
mQ42s2WIb2MTkITBpjN++Pp1LiPl4zIjFPYtRA2kX9DVHDWNgoaCsoSmhYkoWxv92CvKsPLgHVHw
0NanIg+/eby0p5MKQZeMgPVo5E7K7OuBiicORsiJM+aFubWzTnLHMim3FHzeYfhXbvEkPsUB/Lye
LXlBtErISxk9xxHzEOYgBdL4LGJsJDmJXEhuojf2usRn68R69tumuLdTDIqnIbv2x4GKndBgZRJe
OXlKft4J8ThILqOyxyetXQw/vn6Dn6YF6D1EFabOqF1y9kebtjRSQi0MCjGMEQsPqcbmqkzgp33d
yqdxsgjWaYIFFLEil8uPfbJ9dGczVlT45WWi8aYhjHM3NUPjlRIxgSVaGZ/CDX96jEdNHj1GLaUO
UAA2cKj4LF1FT95iS2ndrEr7E5379Ajf1fhIHThgkb82j7aGcJ5CGWckLEWnqtthWZI5lAjlJ4bF
51YIbZCNJ9fJroqF+8dHiLloH1sVxcp20hheFfYzxk3mfOLsu3zKrxOa4wsTi6nFIFcFhqQfW6FA
SwH9hOKl8335ZrR72ElBt5s0q1/BIRpv+uJUhuhTkzwx7i6LensRbx9f+1LF0katoZ4iamrFHbEx
Nxy7aKUrBYOlS1u0i23d1Hpfj8jl9X/oKHczTmqL/JBG0Vx+7Gg6Dl0vJ/Cg2nW06pzBKzbaQXXD
E80cJzNZMz62c7TtcGDszCqlndJ9eshdEByr1/3V89edeb+SfNUb7WNvRrMJKQCkFXWDsGAF0sNT
LnB7ccGgOIZH9m11Vq/2uOivpsev2z6+f37q4TJwfzl/cYNO9Xoha0lb3RkctPCrH9bB2v/p1nr8
JJcJ/0s7Y5pjC5HTjn7tbyqq6x/QNe/9Ey/seIc5buVoh6EqP06lpTfzGkSIg3+gkzvlibn86ap0
3MoyJ37pixbVih4v7+tQeS+Jc/dmbJ4fbk8BNN8Zv18Ni6NlFz1zOikRzVQe8lMHG4LVA56bl7Nj
3WPjuTsxEpax/FVzR0uuDbiS5YPmBucF79fVj3y1/+ncPpxo5jcLxq9T9/h+njV5Y+EIuvQKIyyH
eJEDOsgRruk+b7437j2WQade2Inl4rgOqhVaaYdLm73L3Y4JFnmP8+rH/UW4umrcZ64FKzw3T2ws
p97fscZew6tDTZf3Nzkv81reAMbymnV4Ee38VbrpVice7LLXf/H+1KNVJNEppaTKcOlk6GT8p68w
/nTwaDvxOJep+lVDR0uGLkEkCklerpQch+/epyKiqLt9n1in+nRqrBwtGsKKG5EvE00Y3zp/G2GZ
XKowz/IER5JTOef3UNtX/TpaPGIhqQa+Y38/wPQSXINrrUHBOfeRG7k/qb1nIZZXP0/18v34+VXD
R+vJEGQgBSoa1m7VffNQXFR77cW/IuKI+3b5PN3l++hSuzLuToyYU4/3aIEJ2jEyi2XEaIwZDBgY
n/2WU57jryyn9HIvcIUjnFPS7U/xlqP1Uz1aaSY1T9JmmRjkINfRVnHvMmdevfmrksdbrNXVyX38
dwsAOUHE/EvRHHU2H1fsJhFZLi9DFhaxpzA/NNfm5KA79lnmQPK7bq4wtt7UG/3c3p14yr9bV39t
++gpYyszpeRIOKu4g2c+pOtwPawnN1k3O3V7Kmz2u1dKSoG8Bbo68uJHF4IYv+p4qstmVWMCLysU
4eJSpU9vXV678Xz9ddeOFwKO/YQ+iXdoGmJ/dAsfn6rZRqofpvrsSFqrrbFJwlxZqSNQa9N8Ys1Z
1pRfpwhNofAk108pkrCwx/rYVCpUc1R7AFo+xepnhZ3n6IK19MQaevz0llZ0kljcBpai2ePQig6s
GiwkrkctxbmXeE9a+7pPG0ee1OwyLrPsnoom5eqPnyJBHK5VHNrJg5rL+PnlNFHgl1A3JchGuJOl
hz0ra6reZte41qenxuLxTY4OcocjdoMg36AK62geAOWpZ9uSJsfK+9x2sMBo7vGAw0qpNgotuUuV
vsX3NbOwryW43UgrLBKzqzSe/AejzdsCH4G+73dVZqrXCEoqUEN1VIpVKYNP+vq5fDp8k3YlPWYq
RJuQhpG++vhgdFgaeWtZsCyVvgc9IqXBxGqIdW3ojg24V9ygjX6M14BO++ea5OOPoLED4SokCOd1
XGrmqUL34/Pl8pU0xgcZLhxfwRl9/EoSXk0RsPjRgbSQ4DesqSuYFNl3Yv94EgxlL/ZTqbLtRv14
4mj7ebJpvDQUaoSECdJrR7sThq7SMFEl4tSteKrQb9y3eBBdYrx5Sij6m5aWihqTTDxRBeQ8HzsZ
NAv5zlZnXPViEzUFNU9uMcWYhpKqevv6JX+e10QxCXvhHkDNhnyclQ8secwKHK0cC0ccr61HOE9V
cCKD8umSw2ujuFJDlUkOmS1g6fEvUywgP6HFc9c7vhT6qxGw6CrOAm3FgMr2UTcXnpX6qafKsX4g
oZ++GdmknFjBPk89vgPSm6VqCaXZcbBtmvshKCpml8DS2fSCwpdu9URGFmi3WOLscDHG0eWPn+6y
jlHog9pHIVj/sd+ZEWZakfrU2zcFRjiTnqyzzNK2f94K+uYlX4DsgILZj60EQ096aop73F7AemKI
hNkwTO0/fn66rNERhcAa6cr3d/zLO0wmLbFatCFONJT5IdUbxY0kTGgGTETdrBv99Z/2apFtIKok
CcLI0Y/GjDrJTQqSFpv4OQr2cSHNOx80y4lLwucFRagGpZt0iqzbJ90hxb9k9SbROGBic1eWscFJ
8WrfysKQEG0YAwaxY9PvfKn5jyrrv36M/yt4K67+3j2bf/83//5R4Pm0KMeO/vnvQ/Sj5t3/bP97
+bP/82sf/+jfl/1b3Xb12z8Oz2Xzj3WXvz63UZEf/82Hj6Cl/3wT97l9/vAPL2+jdrru3urp5q3p
0va9Ob7z8pv/rz/8x9v7p9xN5du//vpRdHm7fFrA1/rrPz/avf7rr0We+l+/fvx/fnbxnPFnqwLT
7Ihozd+f9T9/8PbctP/6C2vsf5I+xlFNYfuxZRQuf/1jeHv/kWn/k1o2ZtZ7xRK2E0ysvKjbkD/j
RzhfIFV5LzagWp2vwOx6/5mq/lNQjsMiQLxdZSdR//qfL/fhff3f9/ePvMuuigh0GZ3hmMXU+uVY
pKuLqmOJgKGMQSx7PPXE0NfqQCLD6zuKwzwiigWkglitu/6QB5E63EkLxm9vpYOkrWBBA+KuC0Wf
Xoyp1V+CoPStp1aBoOuhJQOOopkmrskpJVha55QTrC6s1aT8pi0Adq/lskzwdmpjGy7HCDU+pFxk
yhX8lAQcSJLtA25ctWZU57Jc6ODcMs0Kh7tcKQ0cNHHQ3vr9ctLw+sSYRx1/rKpqvLavpuQhxTox
2elVUWdrvbaGnwMssydsFlVrDXmMYt/JMj0MTWLXt6OLUdbGuxoZvINtnQXcs7iUYCF6SdYN/Gr0
gGoCE3qqxtxmsS63gukFtbJ2No8SDOnAd0KrB4DdwrGf84RwW4SAuoQbs5lj6Yy4enmWJAYzM0ja
tWKWPv4l9pnRGHhjJzlEsdAC+a3p1800A9utywpA9RB4fdr2F3PC4RStseni2n3toxddAUsnmT6G
uzac6tsO2J4n+kDs0CGpDu5BwJSN9i3PlBHja+uShFe9q3ppX4riJ7CBa81IZhZW/Pbxr7hPux6i
NifiNUSO4lpJ1RcbUAuu3Knu6n5Z3ZdZVGO/k+VUPiYvUiCeKDDVVozLYmPK8w/NDKVLWetKT43i
aqXXIKUTgQJOLaL+NrG7bxOT4KYs6Wr9zkXOA0AA6pQ8RYyAbVSaJQwzE0hjLQDPBFlKTYc1dONd
pJCYeB3mKnlQezmiwH+wOvO2yqNpZ9q4n+4bTnTaq9+nAklDUWCJ0WisdupFHMFCXpdw0NtNLOGg
WcJiEZ6NzVa4Dzth3WKVnCsEnCfM1XF906tIGfBxU8TUHUSrh+aVNbW2KDzRUHssfpbk7abpPLC6
xlavQh1HMyq5h1ZWon1TU+XtwmTpqw311lro6cGMfa5cFtMZ6BdYCYFUK7dDaajP1mwJR2rnccui
XeG6qNvX8PnqbUR5sqMAuQeD0/qhY0at+Y1hqzmz1OEAjbISMgt1+NswqatD7cflTy3Q2lUeQKJw
gHea+yEPJoxD3z2Ii9KnevWBnDV+dFac+E7S56oTBEN0oYzaVWAV+ONC7nZaAalnZWcmzouLtT8v
AEJof5axXoi9qqRTaW2aShrnbTNZpQNsWjobFAy2hd2OuIUboNjgjXh2iKwjfDdObt5NlJuyjuGk
5qNPxRQsbfvFDisfEE2P6fIQ+hgw60Hgbzsff96pau7DujCepAE4hQAQQeUyjn1r8h7hlV6YwJsk
SfFsSbHX2IrLa72qcSWwg9IRvsDyOEMBFRbRt7k0ADK1ebVTBkNy63hx5gxBpth5lFxH8TwDins3
iA50LRaXTQTAukbQvCsDgM+JAS1TyPWwxo4Vw2osjs+KdtDcoWjFQSy200FAoUmCxa7HLZWHoQU2
jmvLr8y43YDyTTciGcQG64YQVyb8qs4o2xAbuajFRqhSwwZtyk7cYefQRKV9nsy2uChyXXMLO5a3
sh7FZ0M4SGeCUu/7yJBbYDTYiDdNnXoTJ70Gj7VbmXkCynuxzFpMtPXJFyvZfv9W9kNQs2Ktht6G
4cDroN2orbF24A0WTSlvi3HWXCwf+QTJHN7qEbgidVXPSbE4EA26tK9hr+yCMB/vBECsFWuvf9m2
WuMoONU5YV1GO4gj7brR8bJcTH3W+Lrb1MBiHmGVtgaAJsKkdZzUy8rqB09gduREpbEUbZvfYY7E
z+/tF7gwPg6WmW6Sht+Qq8C+eH+GRVCMdxzu250gzTwegtQIHwH4Ba/cL8Qh10LtFb6afA1EIH5u
rDR3m3qOn5PFaDzP/fllzHDHzqygw2YOiqJjcOf7nijSuGsD7LCtZuxvMTeVHiJy1kAjbbztUdjh
SpiL80EhC5qpYviJQ2RwSBoB5F2ZYRXXuV2KR80wQGnuSh+r5mR5xij0mOrvXuvaaJY4ryfUOADV
Jl6ghpSyll27J7XdQCCzjGQHQya5ayJD24/WNG7awbyEdnHbVsnNZObbMddmtxCDFxrDRk2bXW7h
l9tN207TXkohCkeOA90VQZPvqZR4x0lfovJmoAvlCjDBIyzKAvhJhVrZ5Nw+Z0qzmaVWcvW+YzBN
+PhFdYu7T9Aka70zSs8vhOaAYRQQNSLkIJGNU7gIwR1pRbORw7xzzD7SoB5aWFUGRrCt8UrF0d/M
cG1s2merUtAYdjX0qmF6QM4c8fzxolX9p672fxiVXbhKLt0q9VBdsJfYCIynfIu8IfPihWhJ6eLg
dnNoe/0s0q3dJub9WEBSVcO5+TZBp/Cs3pLOKHORNk0Rhl5eK+OG/NdOsauJhVsXP0e5Wc+TtZVx
OMymFD9mLZpvGtDXZ1I9bhpfc/vB1NxyUpJLCEzWoTTG0BVDC/TWisTZlOaE2hPEKHCRV1REwQQM
Yi7q/oTKstlXbfxYtfOmNCEVmJQabUgQwBxTkh+RHk0ry1SAxVIq+rNFGrUCtQHcukENBcgCHpcy
bedOqrzOsDJPtkdUm6YNkGMQa2yXdqg5VTyGzRSOZ2lwP8lGt8gHGAVpyDJoWNK+l3HGl+tux3yN
N9I4mV6nlLvWXtbqIiT6NOXP8RSNbIqtdj3oprbhluVTSg3FIMNM9kZpzMHRMO/EHD8Vt0VtqZsA
N2KKdX1sJKQ0Gt0A0rnbyIo1u6ml59veVOxrP4AdkQ4idqMFn0D2byEplGF0MTdZemmTAlqzVgOA
VSZJvq6FXz/Wk25WRBSjbieAQbocSEWMsR7biDmp7d6y/deoF9OFD7rlIIPnwF5cx9+2LLPrSK4K
Z64qgNls0p6fIUVmy8MV29c7bVNbCeMVK94LX86rdS0jwctKMGwsbcjOSL/OT7mdSxurM2oX15fG
medg2PV9Zu4nzAnWUKGksygTyc7IG+VMM2NrO7BevY5dUTIkAZjERd0zTIPkXLHrGRfXXNn1po6g
HKHo6ODLZWcuwY0ZLJOtTRheTyoQkgjZw4q4x+QGkcTlXDVD+5x64cC1SnIdJZGLQxEVRFaTJF0X
RKZgKcj1bT5E8Ig0ToymmAKnTKzpCYtLgg6pGgUATazghtvB4FpGP3v5OIRvsVEY3pB3MblRoB+U
sBgMikmBfpGVBtIjVBD+PExX5aDa16XfLEfocQ3uRrrAr9n/wQcnVzZENq+tWP97uZ3v+3HamL7e
rkzcM3fzYO+1YdJdM5mmt0DNzFeB1/RGgk1YUUYFPVbTt1Hsw6qBc7wZlRjjg8GEIBQWPhf7iD1J
xP5PO8siz0wtjDWi5FubDM2BqG9xreNY7Ax58QCJL/FK0MH7vE7CO5sjo0t0N9qZuDQ72FkXm3bq
TC+GDetR4fKTHf1mVrHQAL7AiiaLi97ubnwZDCasU6w6B7Dt27pmN/HtMLvWcedacaphVatG6zG1
27uYo/0+MJpXC9SUDJQbC2RJc/NFzZkOAD8Bkcxmy3KZ1+tejV/MIbbdLoifLegQ6wHc4krpqsua
OUahpq6vKC9gp4XBgnSYjTNAKoALBSBOGY9Tr2+tA6ZL6jl3kWyTY0HvgOANHwjgKbjeYLlwFhDF
c4oS1VhUqg5mmAuTqhjWsMoKt+ZuB2g9L9eRrD6LOKV/sZw/t8uI4BBPHDEMV1JY2Ftfj8rrMQf8
3AHzPKPODZRyrPpundr9vsONyInk6XbKhbnVK4j2EbVLq74ZUtdP9YvcMJ8Fcd4419W1bCWzN4GC
dTCMldZN5ZvBSk4TJv1c3kgWZ0oRiOWlvmmRwGqgMruroMASuk2qt6GROOjiq0m5TI7tNyDmWzW0
uuseJg/mNZGp7mdYAY5RiZjB1vkPTVVKpcsBy1wPnJbgoM/VLolqfYMFfu2Mqf2j7+B5JSZoUV3n
PTW16u96trptqkFSwWsWZ/9q7+uDvG2RxV32EA8kQMkbKcyCvWLri+FKDjwUORtcI2glpVSrTto1
82Yx9l2xbWu5xyU92AWGznDmBO4SdJNv/FCTHocW3+PeH6+nvHtW5jK9z4d6pbd6edNIWnwXULK3
6fVa+869qlmPQn6tKErcE4xiLbSqS3mULqn8vshArg2Ck1YOLs4pyzhH0JpNO6XQ6hUD9yUZo3OZ
5/roo/qFNlPxHqlngZFi7xMTSFTtw8loccgA0I2jcK+myQZ5lyrj4VHq54Pe5jeDLloQPTGULZ/a
RBgY8rq353aL3TFIuTywz3o/4HgmgWINu4Nl95CTMql/A6BYP2iRkmHlGNlrXRqMLetXwGZZ+g9E
3fKLNMKGfwYCdBgWqkvgC9kdsD528SDfST4P00SveDVYGiyTqTEucXNLSgeFcANfsB0ORpvAz1M0
4wAbN3Pwf24vYhZnJ5QAO2N5XV1E6pRt6nKU8cTnFu+E8vyaw2Nx4zHsr4kDS5txuYdyWDFXk94a
XLyr7gVezMjxTZ3cVDEnZDJZmDvo0l/CHr4fHpaRg6e4ukGz3Z0XTOwhwT/YmIfMMUSs7COj0hn/
E2edVv82AYd3gApTlMia/Qijrd4MlW/dwZuXr4O+1c9jGxNufxwkDuY2PtDBFJxFeXLdAxLGUcDU
1jDaHzHQM7dCLw2X6L/lpG3V74ZekLMOK+DtgRlVa3Ma/St6F3kV3B99xjFtBcjFuJ1j/XuNVQoa
6ySECFDq9lWe57NH/L15KcwMwmsMjpkTmp+ssOGQ3a7L0UwMJqYKA7pQA2f1s5wSR1d0SxVJNtrX
upb2t41QA3yA41h1gZBON2ERKB534QQCGhQ8K4i7c66orVdYgYVFqtK4XT0kd4WdFTeADdgGdNbZ
Q6Wl8zZL2/pMAyp80fmif53GhHU8q9StBYT3NiNxt0phLXojZrvfWs0coe10xNfrvLzE1rP6Lld6
SaQdAucqSOJxrVDZuGp1I3xowvg6lIuDzuU/COWn1Cibe0E4y0nAy6xLMqeb3ParzTwa91EFQzAx
puxbpabVeUJ57kpThuixglV03sUcAmDYPWP6WmJy40+brjbmc93I32S7V86CIZzP/QGlv6J341ZL
xpbTRGdRV8aUs+Og2eo5SmpjsXkp/eBHgbYNhIX/0ldNt0nr7FBz/WqwZrmsrTG/thY8nG+KdFFE
d+ctJ75rqfajjUVWAXQnjLynPDfScx5d5Fqp0DcUGtgEesPm2uIwftVx2dqKwpfPSoIODnFObMaN
qjNhvzBZlmdENh6jcIUvNOdIvaF6uXJoGu4cUn2KtW8V3wwhdukYcVqbgWieAxdq2Ng5pUQgniU0
xb5OpdyMlrjys1vY36MToKvkwYTVvuQ4tCYByVkZvlPLvcdQGYQaxR7gg/rQA5jbb+CGAL5qQfAl
cedfjOgYoY9NmZtDUX0qJr5U0wcxWW68oLdqWWU3M8dqLw8V6d5suZ6E9di6nWolm3yJEsggwdZS
zG47JfLOruR2y/cKd/ZIMIlYQ3rQ+7TeBHob/UznKH3OrVJZU3mSbmGhNpu+yqbvDcphRw7sOl2x
8Ok/TBWrzrKYxbMwisTDcL3bzkYrtiZGmuuJsM23VO6AYUY6nlJR1yqvdifnD60omxQvls6+UUoh
X1ZzLP/I7dYHQCvgyraW/tYRTnJJJQVuEYtxBVQ9X9sdERoVmDQBlLF8IATlv3R5XFxARW8xRLWK
86BsKwxm8+EHru6PWqADLg+iatu1DQcbA9biE7Zr+o06ygBGx3j8LqKyZQnRxUsfwZUrJbnfJmzc
mTOCbLlpDCm+7RufRRiMqTMAL7iT80naF6Myu00VRo5esgkVIbfmVYDwAbhfoUD+gjxzBh0qetGS
Ia2XbScwV72axVdtPVvwcRaqpNlEgsNDbV1oppRMZ8NsR+UmNDXwbRk0OhUUnl5ajQZlMWLTiaFp
d5Jd7YCjKtzVgsq+JHFo3RBtSw5glILnVK1AYyLMgxwFhAQKq+gfMyWQXX9i/6+JucF/NP0z20QN
nk6SSolGMOyLKCqxAQbjU0mS9NaVFPyrcnTVVEF/pWbWuC98YJN42kQbX6lYG5P5YCt2sOmJN57H
VuJfS7w2DqWTfaXCBCfAaQpn6tLyUPqyv2dtzS7CRNG8zKjGS6ZHu7KmoH21OQiVRfACA+xFMuRb
neDquZTnj63i30Lf4DzUy70rGzjmWQwTEaqvWUYqFlX4k9nFXpqCX6ihT50RXEzvWkVXOQWprpxY
9+aAkb/ABRBhQbBWYCSvBlJRECz8ytMm1TU4yK4kXEmckGzQKiDHncfBtDGqniW+HDhgTuUehmV7
W0uCYdPgaQNemuUO5EEf54MTotrdVxqg7bSdHoK8+1ZUNqwkjP+bvF8X3EZXuLT3B0ACETiCbMsE
h3usSP6hbIGYzAS5zyw5t7ajkgLsUQeOa5oI3MAOLUeN23hHyU27ncZm2kz1lLqyneyL2m8PXJNA
w1A4+dJb0KQxVxmZa+q1VlTDtrKltd4D8lIjLdiU9ay/UXNR35qoDbw50QnNYrPFSSGNHa1WzO0Q
jmIltYjpUZyrHncrm9B9lxyG3Cb2mrWUwlRGzi0Sfkwng4m1Ql2+iuNWOkSVhL0sqV/dY0uxL6lO
pCw16u8ykDOu0lg+sM8hWyixilMZWrquTD+87luiB/JgSW6jNYcZlACThfBt19XBDiu+4pATS1pb
9cA9SuOSXRc8e2pLnNpUpL323jOGw92YTzdoVRY33wQefe1z6quqGnAW0Es77L0KQwMnMsa936mj
21DtfzHExU4t4scS8nRfSq8oxyVXitTekycrupCD5lqe4HD1VjtBl/Ct7YzE3ZUDwekPm3dhNjW3
lfwbIZ7K6VFQc4kSISrwQIB5XM7tmbouyGWu5i7zJErwrvtSYwAMOMVSee80XCfwQJEq7OJ6aZXY
GsSjcRCXIZPb0dUy8nowsjuRWedg2NeNWnwbJhkrtJSC+qkSDlzJxyaOCo/rg79CQi3W4GybtZGY
FdmNWXZJThz0uLgbjZj9jep8WjbPc9y5VyhK0AaH4eBVmjV6czZG0B/LtZnqRPdCxE2FP6ortU60
O0tqvnc2YTqV3DGUZmtkx5TPfHhTTjyJwYUO2ZzpYrhvJjsiuFXI66yUv8VCC1hakn5rdvZdAbSX
Wj5tPKhhBMqYu+jG1kptXxrdjWWWZEfGtL9IiYxrRAEo/LOLMVob+bS21f6pD+1bAx/eVVzEG1b6
zk1a1WftLcWuGxP5juNjvInsHzP1l8TvMIhKZPuOc+RjEI2XXDRwqAKWdRuRep3I51wk1BGsO+od
D7qkvFq+RaCpdGVQfUDIy41dzfl2ALOy18S4YceEHtMxJCwlGjbTcg2wUwRSevnat9kOKN29X/m6
WyTyDSU4xT4Osvi8zrjZ2krsqnb+bIqQ+FbGvUeJelJbvt7sEs3geOGzfUi5yM/nON5zSwr2gyWX
G1VSfqRKeRck0TNkGWVPWbKyTYY43WYQal0wvMlZ0FI7qnFUO5fNBFRLIoYtnnK9B9DEvpw09fV/
k3cmS3IbWbp+oYYMk2PYBoCYI3LOJLmBkZkk5hlwOPD0/YWkWyWy7Ja6Vr1oM5kWSooZA+A45x+t
SpZPhW6qQ6N1CxWibftgeZ3ceHWK6TDFwsvy3j8kq3mrZ5g+Z4rHyHlO5jBLnznS50OJRf9m9l12
pDZyWzhN8qWlkIS2w5pLXB/ygLnrQGcv8vlYy8NByJ1VV4dyXj9Xk3Eekmm7YnredKQ0UM1x10xc
gFTGFlujzD8vVPDxeR+UZVPlfrs8Cx5zS6dHoK47OrKe1BCHKof6w0cd32cpf0hO1anvBprzhvYR
pu3RUv12MtNDK7ywMk0abLo4MqiqJzu9HU92PIb1lN5PPkXkCbd6qw5FYaX8dPooSkX4lmZ8Gyr9
ILgbJJfGbp7yC7KrA0rYJ8QZZSDt6qiG5CisInJta7P6hXmv8sbYwK9NGx+EMiSq9Yig1mef7JzX
tK8/CTQbKZm9nzul3YuCmDRjeLK7lN6o1TjMMJGUw9DXvi7tJ5Lsr2msNlo1hjyiQqpEXqglxILR
0mDuWFfLaIfIoDj+MPnxck3iZt+MWRxQjmhHWYVlP1vgukwtC+dEfaNH2j3iWiqOUqNAdhzjT1jf
rY3QmKCccgqdiS6ydkqGqFzU5wqvXKTW+GKytgip61HfxZwN3Eel78LgNv4dfZ90lnbuMfFS/9QN
RsaGZ9XuG4CY2LAWZsTBjvMdiX2nbmWOI70qjyq0jFQFWe0nu1/Ge+Xa+VHLs+yCkKwFSXBz0FTU
ZKXl7MBZskM6aM52NG+pKBCL7atNMdo3u2NgHxS4Cxd5XX7NHMG2zlxNQyC0gbVokT70baQY5bS2
+HAcugkrdBsQMvoUKn9NJPMXnG6lD/B5QE+ptN2IAqJ7Mj/yqPYtnt6MJnRChe6AvWECSU5AMzLp
PmWeXuylq2RkD9O7XRQgD5BUYBYbqpwPfIMB02ADqD7VITm1PYeGEEdzrh6NypFQGto2nZZXO66P
nVuMm0nX751pLSKT8sCgirvXMp3ukfu8QIUWG6eF/9ccOw87I+kP9doTHiC89z6hVE9p+rSTudM8
T410j56dP5JwdfBi39pOnRUHljLwWdrrA721bVT1skFruYZOuZTw8cZnOaKKmbs2p08Pps3WiwfB
N+q6hbOpMsHgmri7BWJ04wHQUi02BFVJLpjy4mtRJY9uDWgxYHxKx5S2F3vdy5QC4TiJt80kvgye
8WWSqgx6OMVIthgg+3x8TZrp3dcp74h9qBRHRNJOMq5j6z6d5nbblANUUKm/O0VW7TXHo+jEhZ9z
i9RldDAj6a0dIQDliW7XMJlm59C4+WetgYwoSpNRcbxSSW3t7LQztuvQPXqxwcotHkfH7e8S5aqw
j5Vz7hsi8OIReFtWPJU5Pq2jR4+xi4gshINOj6PM7O1qdM3eLxjboc8B03F7nV003UGfeK+Gnw/X
ui0EteDZCd/FFLl1sjdidZfbXIb67UETs2D0eREhA49gLmlNL6weBAgGtzDzu1mnp6IZdDrz3KUO
5iwrthOEPa1QDAqFZ6bcdUt2KD1Aa90hoEBjLSDGXJ5FaT/JVTqREvMDaQ/gjK7+Ogy5Tn1Va/Ov
Jj1k0vxqkTEqmupC9HAVIQ4vL3pilwygPpVfRFQzkVtsN5Xm1qC4LHYZsHAO7mm9SqtVJQKaBMPs
99Vs444yIdj7DV24jTxYzeQWJ6VWBx19N5TWBU7W6ANDyKI/DJ5mGOeu7VMKWOkzg4nqE03Lt2Kg
5DIER++/5m1agtOPw/qWAtWphwEoiUp3wMh5xw9phh7ZP5uo9Jwlvef5Hvd3vdYsP1ZqGvsIqr0F
r68I0d9XleiLLUZ0mZgbBVXSBFXSNXqYi14zzqg/GAidxU0/d+2cWNcRL2b7aEKKMU1z3RfZWQlq
QB9lH/sMrolJfuaERqk+1knqT1sfuhvwXviTE7RWJ3XSZKiifNKLtSm0E+rZdbnOiqooGi4bIC30
yMMY0trMtkDJojQyRQHLrOxPdTev+tHHsnurbVS2MUbMPY53lyGe4DqeK83ZGHSNh7ORZ7gLK8+/
R03hXckn/KY6ce/1dF7aUjqkHdXZbiyG+RFLO1qQvO32QxzHOZfTlHyp8rm91wpNFpu+HleTjkae
pYFeG94BoQfBs654rpLiU9K7WydPAcCNODCrSW6Twrr35urDiqdQQ4FDG9/S2w8Q582RHrbWCzgN
p/XVzibP+yH73rz9fumc/Hp4mdvR4YBJt1oSv6c2jVxV6e78vCeFlhm4L8+LyIyQAtORgrcmgwpJ
V0iYDNTRNbeQF+VhkPywzsf1gHOqDPvOR/bjjuq1W8W+7VVzikeT5Y2x9zRXC10JvjJP6DLT0L19
SDXd60Df/Y5Kg+YwKH/ZzVb7rda8K8WV1FVm3ZEAIijSgkDJoFo7xW0p0khLOEeJfOwDPeUOmUfX
eIkHl/NYmQ7qSJ0WgbZekDLk8UGTvf22EK4JB7q+tWPx0TB0hKPqdzdf9N5tuzxIRp+u4FXkb3Xr
f6BJzA9TM10bty92jZyf6X1WJwny9dB1XhmJ2e23eaZ/qcc6DbJ04CljaeDR/dom25wFrd6kMm++
uh4LrU+auK3gyVU6oHRNVVSjXWOpwi1KhtoR0s7aU48whf5itpFtzMuuTEqHKcH9RDAsmzIZGA+J
ETtovim+d0yfqHAjpreHepqL5/aPdu21z+4t/y2fVucBTZ+/n7vEDSFXuvd4pslkzvwk8juh4GYG
Yz9INF5kQ7BL5DC1aW8mVLpCUvCcpWeu7+oDdzu4q+edMsQ0Hx3EAeD+Sg3zPK93HiLRoC58sYmF
hvw7Lj5jvq7CIePR1pj5U5FLFVSe8iJo2KeVdr8L3ZXQun7HNOhOox+KKlevjW1VDDNopI4Q3tOC
0oLPHuV1s9Ce6PnrV+Rh5rfSL0XzMPosh+QVSmOLYU+hFliafNjSD60fRV6131ZKjNGbSN7o2SZe
twm00n4jLSKDYWzaF5Rt4oToccK3AcE5rf1xvR1Zm3GIi4vttTV0WH0ukQvSYgvmQsvxQB8Fw40x
aOuemSN/zYs2RfOUzkdziNWRA4zB2ovLWwk710FUx/2cBv1kMHUN9dzqR9KHuPuscVLeB0tfPQRy
En7kUdh1pic6bOxuPirq2h4pHR+O3lSZoUo1596v1LKFk8ivIxH7j1js380+MS/cxHVQVKX20BTV
A3lO7aHvNfsJWmQHdPxd9LlHWUh+dqTgKFxt+6GdjElSxxxr4eokeYwGKF3Hk+ckX6yyeYF5nEKC
R6Op07VDHrMim1n2qAqIPHsBm+I5vPdo+fted2gMGt8NhqXZ5WbdBKpb5wMnxFYIRD10f3lRhReH
EO2ysENDxAZPZqe4IHl/kj7cnl4aO5ivdmPa86m1R/NgktUZxGTCBDKbt6tX8NnP85Dd472m4dKv
4SNH0j66pUpCgUDgxWwp0U0cTCsshsMYNHmvB+TRjQcjLejoTc3+Zc2LV8szeXhP3QcL0PiIBA+V
QzM/pRy7lNI0Sn1H1v0MQJRtJ/gWmPrHpNLTIO59l/l7fmYEzQlD5ZzopmLeFlP7tvqVDzxbzsd4
0PlqjBFOfHbw+PqbuZ8JSd4siqKrcyKE2ECguy8W+S6XchblFiFDtlO+GZE5/rH41RrdoHx+N/iW
l6/g4JNDhiOBPePZTbva3pqG9m3SPScCJ/IOpsr0qzctNncdV1hsoFOZew9pGqHI9BELZ2+hDiCa
ia7VwFgL47o245dCdPNlohJvV+bDEpVTYp8gI4erpTp7I/X6o+Z6DNspK05dj2x1U9XJdyfNUAp1
0TyqLYj+eTG50/zuaZYNcjZIi33VybOruaHhy3RfWQg6rHE1GMbrjK47PeNSNwkQcX2kGU6z7SAa
BpQ/UO9HfzL2E5ScuYxlWA1TIHsUEUNuPPnJeHWr9lwR0Agy1shtWyUIbO1eFGFpu1OUrH57zvNe
Q76Tp7RUm2nY1x1sajIboZPGDRXAXrwfevuWq6Fteb8IvzJ/ea2MsQlKNwXO51MqhixB1ptXm0nl
j9pAHSfl4/BbfrvxhYo344ylazbEfVPJ4lTWAk4LxjyLq+GkFXO9RQxKXytSn9RgJG8agEqr0CXi
B+9zmeoUyyrt3TKWJ1qezGAEfo+KXp7nOde2mhS3SueV9VB49vcb+HyYV/e7kY+2FxiOHKOCUWFD
Xfd6qPmwLnE90bD0h1viTxn6TwLrfyjd/68J4m8Gm/+/IH43fR2/V1/LnyTxt//lT0m85/1mIob3
WI4Rt2LX+ack3jd/uyW66FS0Cce7Ra/9QxJvuL8RhkRoD0IwSuJ+zwSGbL8p4g3rN2IxeILRQXML
h8Vl8R8I4oV7M7T8Uw9PsAtOOhNTIq/NJh3i16KoYq4KaaHm3tkdMEndYoBsYKTDqh7vEX9X0WjQ
qlTkyQ8e7PWz7vbadpTagwJFzZkdEarB8NuU1mzo3VkOMdXSB7NwZ3fjDbT9Fin4Xkdb55JAKzeG
9c1cEYAtdguhu8xfmhy4AXc0GywkNKAHJX+aKwKWpQe01Z/qqso3fjx/NdpZhwmVyQ8XrjvqliUN
zLn7IQwSNJPcQWRvOcHqtsWOUKknqDyxvQWop5thWlTUe5QKTOlkUqNmjUCNRpm2eza8ZDvO+nNi
UBxtZa4VlqnnvY03di0sE5s5vOzZ8SwXrdsytuN5MRZry4+di4la6KHN22TdWAMoXpxZQ+gVlc2Q
HDeMCVl2hYG7Kj7LizcP9RZZylF2brYDsDPDPO4Dh2IpRqi5HU6T0DIEQmnX7FKrF1+6eLLCXqcA
ITf6K8XWL3oMNF+Ra7RDxJn88Ml3otLY96+cqGCzS4uuw8/Nzx4mxdBohnxT3HjzzK61/Vx07YZD
7lNSZRcb4ejWrmzxslTLiyChct/NenJB/FAdhtozvzZ9XSZhB+8fUnyafilnDj8gfERecyGHo1Dl
Z312lg/hdsM5s0vnMKAxgDLRhm9m033VcTnYG7REQAmuBWgP+qzkrlgXNLgIJTmVb7WqQa767IBw
2UdIl1rQEk13dHF6QeDX3fMI7oWaE1dlxqw9YGX/tNoxOHphTCGzcn/yEGN+JDzHNnXvFB9Zf0Mi
URRAnlB4b2mXce7ycT8qE/X0WKgKNnvU8oiZoziuUuQikAqLRaD6sgx9oZMBqxJsF7JBvPEWeyX9
zRM79mOalCVSf6IRNxAda9AIdzyvibDOPHof0VEoEDaZBjXlycz0qRfovffmzOXVBzRbNFL/qrZ8
M8e5CemWfx1ifwitfnnSOtt+KkqrOLlNSnSw0RUVzBxd8qS1pu6yvLW6ZXefpFY2F9FZ3n7sOeBF
PQ1vSpuzLXOq++6pPG/DAvjtyRmK+AhfA/OUOMubHs9ocKAqnnKEO2eW6viZIdXHLeAyU/ZKeCcT
j8kGNYDcuqIzH2m6L+/UkFWfrIVbtoQEOLtgmVaUweI2d7S3alwPlZVtEWpqb3ho1P1Um8AC6ABH
7n06kG4iDNSaUtObfSuGh75XP/SYTXGZGyPAmuYCJU7AFrQbhWtmTUfwuGyTptVdGcefCl2FmgQF
0Oa7rnFB+4RdHJyeGOKOdvjppkNEe1hvWdu3VU7VSlUDgFrEpsCMGNAuta2eEfQDX+boXHszokJ4
O+WJ9hhnydXMhw+g+vH7iLh7O2W+kcKJ0wOoyRPG7FR7KQZA/uwMxFGWw7W1C/LGomQe1nyJBvdW
Or5F92OiTRvmdnqlIua0xo71Dt5dfIxx6XwSTe3cx3QNHLvO2Iz9eL+umgimZKTKfHTAhb213Hed
Xe3btTeZAGhAfsgz8T6OCHZy5TuQ5e2uTqUflSi4QONSiQIktq619uiAlztB7LjoxTgfL1OHYq6s
IV59r0g/59DxdxbO10ucVckFHUzZRaZVx9u015xrNQ3UHiDY2opmPas5O4+xe4L1azZK1d/MxTpQ
0EKq7wD9MmFiMDNFEkfcP6kELnDw9QcsSSesBG4INLAGlmCQGnKltghYYDY7EHI2XUtIiJ1yPNUQ
Xfc9NG80pa288/OqABi38tfK1RGHlmysG52EfSrwcp0287EXW8JqQf51YL5N7LrVzjCaJkMTO4dr
v76Xwn5QLZrODeJQeWir1gzrLLV+gIBEGi2hG22Sy8PtzAyI8Lystiv3YjVOfF9WgCuhOWQ1EI7o
umkTq7R5dopu62aOcedR/LRH6KQ+TIFWdR4G9qpkMegdyJ4G28eA2y/Ns+Ugzm0mVCCtLvRwwYYV
tSxb+0pqScT12wYGm7C+qUf9qWRpfJQDJS9IcD/pmleexi53IzdJPjintqprNBZI7rhG9fnGpcvI
DIq0W59Gw38F/nO3dU35qMfyR7vQW9JmxH3aIgktpnbklEt/n5iK61Gh0ylZVfs+PossWb6Ma5Uh
nk9Q/8SlvnXWeVfdLASwmigBUKKnlT/fjQZAqFm82KVMdl0Nz913ndp6duFtB56Vz+6YvMRYUfia
Bw96zH2S8/oJp26BwCIHS7RneS6lqPa2HNKgURPtGpTbhMwgkFV2AkOd7yiab66Jmq4oHqrI6Ezv
5OegCDalSofRrJdTSqjivpzmPoBXy7kq4OybebEAGtw8wqy2QXSmB7xExJud9uDpU8+RAuBq5fFd
ERtXfEFu1EyD3BY2hKnnyv5kOkAJFRg8pn5OqrGInyeF732yP61rFViI7LvuMVXTkPEAGkyR24RC
pmitN1YKprExF4Pqv9SNdfcVc32x0ywP8bpZpN74dRja+m7xm7vaQI7BiFGU9StHNzkhjpkFoxyN
SGVaHY19mm/t2NyPtbTfjNEkY3pI98r3L6ZLuUWdYw6Ty8VqbAQEkB2t41yagtMmW0J6wcJcrzap
lh2SHuKsyTyCyo16e6PIk+yNx+pXKZOIZAu5Ia0QRSCXhafmoF8gVZDhRYs+XoGxWk7G9OT4y6FG
aKcaZ4Pv731C3nRJpK+etBl81vUeM2mk29RFWaAVgK/mADOPnFpAe5aghTTUz5xcXly8o8U3noDL
tm55m9PSfEIFEYsXMRPLiE4YXXgz+U+zWfFZzv53gNf6MhkDh4yy39WwVtDsbo8ibJI8RGKKYNoC
OIKunRGxny1n9jV/WbKcYmEG76idPCFGtidaqS49GMcUjp5qiqs9kHZ8KaahioFQhMrdA2mbN+U+
HjENzwE1nm+FD771vizDQgLB72vAf7QaPTcV//xq+v3JNvw/sxPvvjc3/+3w6191ezV/Xcz+fHX/
m/5hSgn+3b50+a6y9+av/uHf/4f/ty05v9F0jGOWlYfU0t+zvf80EBuG9xuGXZt4BUFAI0D+P7Yl
y/yNa4/CAHz7t81I/6d/2LB/E7+bfcnpNgjcJ5n8P9iWfraeoyuxTJ6/uu44aI/Mfwn57XFjZJy/
3SWd/cwNu4bj4K6wu8J8R8JoOgi2LNc+ja4ptG3M3rC+/uWz+nPd/qt/2fjZvcwr4H1btuuy9uGY
dn6NtMjmrEyLsZXnZujYIEzZO/4TzmNjOizCT9ujQiIg7mNGLWbmPFeOfSwryj2qIDH6ZAXd4YZg
J/qb13VLyvrLFqm7HgJ5EhPoALj1Df/6urBmiJGHiHE255Hdw2scXBt9BmLN6lgkUIr52jvXAUXA
sC1Q3OI+sipO8XKQWX6PmbmY0bKnmnsUVPgZ0d+8vlv0wF9fn8+6TFy1wZpN+CIXCz9///qY1Qku
ceO/sBajwbFEe86cbJ1CvdGt5WS1mnevKb1qfyiiUMaTgX5jwOrQ81RVtlt73xY0xhhafdE/Ig3w
5Ckxx4qkPIHR8H7m+Sj+Jtrml+ANihqIKSaqwCJGAQnCv3QdGdQw2jASxmnVVakOsh4xxaAGurHW
nRrNKGUx+s55Nz0U1PMtIR7xQew7m7Hkb3J2uW3++qEZhFP83iB/S21xb1XyP39ozFGxKh1jPpmx
K8egM6qhvIDi80BbiylvP2dON6bJ33xXt1yiv3xVt9/q8rYdnRohhxqhXwJj6rXRnDpfxhNeYiHx
xkERbQQ2Ej2oECR0zysotY7AhmFh15gV/33RWFwe//0l88sVw8vwxS2zhm6cW9fKr1dMVds1c+/c
nXSVmxq6QOlMBxvqAdsb9dnN3zTU3S7An981XzvRBBjKyLYgTOnnz9pa2jJNu7ZiEWuQIQQoNzGm
bDq/TtXu37+znyOb+B2EH3APeLembnoU/Bsi9Jd7oYsTB6uvqY5FrhHm2/7xERroVU+g4lr10teV
vR6WsRH23+Se/MuvtmmrIyTkltnEy/g1IQTlQ2n5y9AdHcgPtfMcxnjwfNO5a9Dtqh3of9xHXTJp
/d9cVb9+nSTCE7zFOyc22nAY7H9+0xqy0aGHqToOSC2YG8eKO/2P4yh1Zq6kf/8Zs93/ciQaPMPY
W29FLw6J0fTz/vwbh6xVMTVHEtemtjRRog3Lj9FaF7nHP22LiPu6oTcNIJ8EghxrVyntE3xqLCKy
CJY7y8WqigbSPywtUlG3s28qjsY7xX2GptNEsdqPbBItuoljaVfWW+c7iEV14tNnH2sHFmcjsjCT
KBGnTzJ2ZyQEJb4AUO2OTa6wj7q2qlH7LllvoW+76QcLY/+tvQ3NiWaUh9RaxZXL4Vs1tdpO6MV4
MRQccSv0PvDNmBF9JXJlY94m+L4wxp2HtftZA1HA5gJiU0FObVTL3qKnbXWG3iXyQdNXsiPrsuBD
gWThofpCh0n/mLqIvBZZFTe5SX6EF0l2dVxBOxfrA5Ofigjr6ENpTPFuRFO6TzDEfsVl/MNFKKOj
CC5IC57xY8eztoYolIqd75OZ0Yle+js+BtaH1G6vaNdtqPic9LW2NbBIEeYwC719ZRGqYO1hr252
rZ6ErMncxYtg7RJx85x0gxett22Gx7PxzZtN/JDM1Eu0NJT12qK4H277u/AYVkdnNB7Q5BVECOvy
h8yFCrxc+PXRB+DdFIuY6wfLMuyNyytBD5CQn0NQo0O5zUQq0xf4r6QJgJS7swmreVS3FVuQI7AT
i+PvJqd9yqvaOjZ0d0Q3KhCCilKJNOWPAQ2x2jsarOzJTIYVygNtbfw7KCDrMg45HvI7fPTOk+HF
1p12QxXgjtYNGngfVR7ih86xtY3KvAVdD7nd/aarPAMTQQeXjrSXYLNCt53Ql0v+XihxMo2hHJwQ
JDzJUfpqXS6qp+4P7ETZSkxoz5d3QbBJoJzBwGizDCioEjhy33Y/yVljEU/7Kt+niO8gVzJ33Dd6
/2omevlhLcI4tKB9u9zqiNjChXztiAAiNSHHo1RkAfViF5DekfyfVtQvi03GyHprd5KkVWzxkZpB
JdqCbQ8exDQHGfRQNBc7bqCSbENG6L9jqFuRPrm9cc5NgUbUbT6crok3c4sbt12qJwNTPjbqAWVm
PqJnppNtwZP12ci8HWuvhRV5gu/CqhGgocDhLnGzN6jfrRuQqBIlo8ykKQbV+M2lic52Kw1IzFnm
6xVRgr8jzKjdm1Xb3NfWMjw5a1xdsy5L7rM4Wc55cutJRXd50lpHm8C1JIkU69xPOF9o5MP8bt62
P+FW8U0HVLZkeKWp+m61hG6AVBRkuRqqvBgpAvGTl84llb4F8RmfM7nAJxEEAt24Wdiz0ws8dp1/
GCg6fnR8c+brWlv9Y73gkAyB9dFmebnpOG8+euT4tW95nFebbEUVdaQXwCx+eI2UsObmMjhPDnPG
R++VVc84OPXrPYaNRO3MzMOkZSWDUW7/GMxqDWtjCTg4SvugUptXNSxgj2rWqc8MNPIacAOwq2Zb
Ik0QvBYI8adwmCZVbv28QTRKxlXsBc1S8TdIS0t7VOtZcUmNxHYBfFkbz0mt0zY7KCy5R7HwEdR4
sFXTn1Hv2/LqchLbdtQ1Hm5XuGLOldcpLbC/VbHpgufoE3ogq6yQWtqco07QQBDbZ9GWorhg/O/W
e1vveMKaaEji7+vC/XG5GbW/mhjDxbFdhvWl9rnEkgCEn/HYcZCIbt0ui8UnhUIQ6z6JKjIYtHI8
rmbTWgA9saNz4rarJQfIbrWsiJe3FlSyfKyqLimOU0pD9P1YK895rhyvKSOyNmd/Crg6pSBYBpXP
TaAQmx63tL3W3+u1TKuwI9C+OZlD1qcHvF9tkgeV5mXYUFedbyhFCpf5fb/NXKe+OONs4uYbOusR
Tyff97nDUQPzoZVdl1cXAzNmkZzEVFEuEnSzkjftlMOj11usWefLxZQHIWLqfr3LdBobuPcl/S7I
XPRchbLDYenQgrwOZh0amHk+/OrmPdk0xuKi7lJyRBzq5oN0dyLpMJNnaYLo1JZ2Me2oY529jWal
XoOqziiSo49C1X69WaV62mFmvhbN01s5wPekOU/LmX+pHetnTiNAggQ3P5vYEKYvYAZ1xuHX6KV3
ezzFjf3drvSxRdK8xmK0EKNx5P1g+ujbh5XZdD1wSNrDYxJzYEIHMLbvm7RNspd2NAfnKomi4JNK
DUSdn+t+qTmy4qnK4scOoBCCfkD+b7u4OsRo1xta3Lr8R8bYgt07LWvZaShLSX0awwbggikRP+aU
P2udn75hUjQiLUNxXHp+J3dqKDpgojIegglB+3UECvmC6z9+MchmOrZ1ClmVGW3oYRF9ZSx/64Yk
O/D2kLTU7EAbPLsOsWDFybFRBG27SV+Ina2a8d6f1NdOQt2VvY2dyMu9izZWcTAT6MBM0A4HRxHZ
pzdxvUNpyLNFgWc5ttvwK5X+0HKuEBPhu3eZK63Az3wnNKZUhOkNLO9pG0Om4EPag2A320IT/pHA
gClq/WQlkwPkKfAadN4r1v3yUXhJGXraSviJxiqqws7PyyNkXmlt6BRsLq5IyuLgr7Z+MKn6wwdT
GHvLwK6XV3O8zdL51cBeDynhJwPmcwIcdCiyk1T9crSRO53MCvyI76Q8EQXqBmLks07bxvE2dd2K
byYg9w74UWwom0aAW031Yaw9AL2V3mzPapZDv2ZDVA/5dxyt/WOXIPgbDKgNKuQntEFN+tjk/HWD
kbgvopwML6hRF517HXfhZklb9y6fe58pAXEoD7zVwK44GjIQwNwv60z3dJSNt3JBKS306JabSVRS
42z88GPNO+eLbb1ivsMVUtZNGQythvmdcltELNkwopgRfd9FaRqL18IwF7F1faKWP9u9n+RXOS+4
FT0OX7ZOMeSMgAOyPBKjanPT1h52hcWc+myzMh50RDdMLcYviAAChMxvFvmNp8IiQcNUKE0DSfnP
zqIsFhu6MJd9QYYH8UUkApHaL0nHVsk4vzVj39yPgrC9De/eexy75hYW4LjFc43EUIVLIs23zLS8
l8zN1THth+YR/bx1SG+LfWhjtjronQJq6Kk0QhQiVRFkmcDY7LQEii1yHqH8oH0+xmkBZKdengDn
qR0pUdZAGjcAPD6FAprq6k3nofItJwhF/mIvQRmpZ2jXR5RhSrmjsZ36KTlWhN1tWsviuSXzxYen
JhtoCuypnc5L1vdfpJcVT0apYsJrKBZ8syxshbXelvnWbegluXp4lBEo6VU3B2Xf5BdRcNsfPW8Z
XiAKhgcO9JsdTS9zQnfjcj9Ocxsq8hSW7TDLOYMR79ChaqUs0WHpzu9SVzKFLAchTe6n8004tmhE
aarilh+15OXJXBJqFNJVfa2k60YQs8YTyTl+cBMIBGkhku0AWXjTTDdbSnCz5wLJvkFwyZ43KCRJ
S731xkfbiXBZEcARi2a4ob6SL6DRWbUj06k+dexNO8uZYJctiOENvGsqrz7z4X2Hlf7FydwZ5VUe
zy/Kqsejl3fFuSBG9tLW1QXLy/g+d2N8ccrOuzNlOm51tYi93cQO4dhoLHcL6ZOECpJ56xU2MRJF
3p9XPecSG8yBnUoftX1LAd0dtJf21WNRUdi21vWdm9WsQt1y6s9lRnAu9v55Z0/eh4l0JuPtTN4U
aet/s3dey40jWRp+IkzAJNwtCHpSvuRuEFJJgvceT78fqnc3SlStGNXXGz0xMz093ck0yDzmNxpA
cw240FIL7WgjQtKxFLk3aFqh/46Mg7GjcD7DikJlHSGJuR47ENR1ldVHtUlAOOvFa4tehIUwArgk
Se8UuHx0rgCuBxtycoTER/1dH6TAVep0D13CX5W9Z1/LnirfNeQAO5kodqFWdn/R9D6qgFauOmgZ
NssQ15RHvfYw0gJKia5RE6xzEauOCQV1q8tdsU4FhioKsrwuGoQlOjzlQbHQMcrjulyUAxT8Jkfn
x4qNZIdQCt9ICbtA9JG8AmEgb5NMyIsmTMBoWfXGo+NJNNbByl5pOhEVJHuxssLUcyc5/lkhZ7jA
YgKBo05KCXSacZPRM3NHoyUdlWJ/mQLbKhFP0fqfYy9+FKKKd7ReoeVEue8QZd0YiWZ+kGPltx15
5EVE5oGpjjHG2ZLuc3+D3kdJd6tui0u1hoB5HFO+LkdSfWsfpIMc4uRZWXrrSHqjQ87KR+MqzHTp
DniOjVZY54XRJsrMCDiF1XjPxD5o8TSwS5zRSG9kTVYfx6qs1zkSfo1j+TFJmaLE99aQaC4QvMqN
M0+/kWNk66bYTrZhrj61fVfAMx+Io0qvu8oK0JrjZPvc2aay9wxgdh5xwq0nW90iyjGzDAfgwANC
dA+lUVloGSXSJbol91GjqBsjGCkCophiuJmdHFuZO8yqGnNfwixwm65If3KV1Y4fSMNDjqZdvBC9
mWwnNARdoHJKvMgMQwJ33w0XQ2WOB75t+jadsA9DGRi7yItfSY2j65g0BDpKqV5nouGs80Jthkw1
Vr7sE5RxTgIKEEhPQqSO4B8k4S3KD90FcrpysenQ/l5giJY+i1IqHouyLC8EvfGFUqTlJqFb90Lh
lEt8gnHHiTYBiKqoT1Oynvk2mqd8VL1AZsA0k2UhhL9MqGMta7tC3EKJK2jU9B0xmCm4GZcizzoO
Y5Au6jh/CJoqvlLjpLrBrA8FDQ2IfCCN6GaACjjaIbGZnPX1pii6t1DEVbPoSsip6zoLNVTK4uJ5
MiPhyHpIgprxbnP+hraE7eK/0AWuUgyd4L1EsnKl1Hm+8+a3Vi7Veg9AwzoOnSouKCtq1zWCORju
pqYKicbbg4kU5SKfEnNBVgPOZYgUbd3MGklLnQDwNois7LLVlPDFTlDQnaVWPgIKGkT2HulqPxS+
S6HOuxUAgi5yo1Nnb9NSOSBR06yqsABWoSiZsYOkbS7rye4BmkrbTi4Ux08keeUXiFQ7daNMgl6o
3Ly31MrnbLJDj6DL10mOpgauX8ZzHSOvM1GLqWlAc48R77NggLlWFSHr3Ht9T4T9gP4RxmCpsG/E
pBRLpYf2MnppslF6yExgWGrUQapo64sKNr8/DKNT1cp4kOjbKcTRuv4gAxW5HjqzoySi6/wEc09K
q/+QqnF4MYB7rqgAp2I5aNVEFmUWT6A5xyurHEEUSFKqD45dT5PuUm5s53Zu8pxMSV8/jSNfOdGR
3a2ULGZiGeygn3bqD+88lh2gfcU/1B3MRi0HwezoiDzdtiLUOrDjcn5IJLPnxlTbrlhA4IY5mXdx
uKdk5PkHxCs8t46pHL0i7FKYG43LrnVJu/QHVecFS+AD9YFC8mJLiOxEitGUh5aD3TYPg6F0fUn/
X3SqVtIUVqymSDV3CNE4BOMPF+44KoHyEHWq7ciFeKh4aY9yhTc7tRJCjsKXOnEVN0o5W2qqVh7n
qMlo/DY89+YcZibnGBfos5JLBl2TiDXlvQYWwDTYPA0mYdK+VEP+qloURXYsYwtR6Gn0+F9GkCWZ
RNyoTyVfGGg/UKlVLtsXU2uGk5uVnejufLsBlNxImXEs+ko2nls8XePj1Pejh6LurFBqhnKTrbME
tc0YRqbF3zWWCUXEICxj+2CXbPjNqGoDnalMTpHCDvlh5AhhoQViXfxKn7m4veGnFNgx2pmep5fe
jyo2aowTaATUK6v3rfQ9tOtmujEnGbkf7hScCqGHIO68hqpdBXtrQo9/7ws4MVcaNsXVAs3SkAo7
4mMAvuFuliMpFFzwkstwwODc31pj2EYbE1DnRaKDn7nCp9kLn1EK1ihpekDY3HbUZu5IrtamtWsi
SR0uVa0m8Y9NWVP3ZaEMMXdrEkgpoO46pzwBFVol/bU9Lb3qJ6mQV7kpaqogSOZG27JNxnRvSYin
LmW7NwWgs5C5kHD6w4PuR5klFgCFaxjiBenf2gI30KwJTSkW+PEgK9sxtEgY6Ao1tu8IJF92MuWF
1hUYKcRw/4c8+pDCqiAJ6ojQt4WSzZS6VjZAqlNjbqBgKVYFsNj0J8v4MHUNejYM8JrzpCjB3DLL
cxZekyr+3bM7o7vR5WSWIWuMic4e0ml1eAC8XEb7VNEYOzMJbR+5jCP1ilgogsRRKeW1mifKSxwg
84rfBtlaRQ6vVcMSpMok+HIKOiTeHMvIxrgsw6abC7uVDjNesyXjo6wlpbvrodmzdUlnyfwH8J75
sOij0A2n0ZWc4Ck1kZSYkKUBLuERYt7V8F8oDw+jVTgm2qZQMQJTrCCpcElBFJ+069bHP3hVeoWa
rQiTx2gpBjXTIY8ZU4ZGQsQ8gxp9VyCrahRkOzRBlEcvAnwyoKXV6wFxHF2yhcHRQF1M6u3DRKgr
LefGlzhmUy2QI4JeCUJR1BLMvBAYZ+ClBsngaNmrOG5T9KrkiVlT7LD3SgUDxAGTM1fOYp/NxIJA
yZZeQ0SwCjWjT2mORZnn9rUCHxkOKLEVF99Q7kCY8HcJszMtYj56bru6tyZrp3ttFmyJeDrk0/7p
iopf21rBu1Zu1QTs0aLsTKPcepUuI50F32w6SHVidE6OznSHVG1qqUsb8E920ddlnSBH1Up7Dpdk
X7QVyo4TI1Y3AkZQ8WLXiiS5o2nEawrZUbEj1VTHPT241lxFlYUEaKK2qXwTxPmItOnQ65Nro+QS
XZSToaOTJ5Q6Ow4igwJUp4W3mgj2iWEz27APJEZliI4tAE909KAk7qD/AHT1hF09dHaaeXAJDE4t
ZRp0t+NhyuufIophTSqiK1/h9XZXfsoWbUYVYsibbWsiJijN2e7Wr1IIs7iRPphJyveWF8WI8sHk
F28aW/1CjSjWNg3KNOPKGFBSdtUwR3Vz5GLwlvMXxhVtkdRvkpkGtWiiZHz95+NsKoUzigCvXW7k
ZjIRTq3Uup82WQd00Q0MlcJg2uKMu1Mj9J4xcUkziNQVlUSaQkWmLuOojvZKh2KJE2pak7mB7A/j
DqHJyr/UZC8v95GUweQlFEWPCI5LHpFXNqFidYqb9RP1RyM3oYVzcM0VwEykIHyENvfdaKNCacpK
8WHWch98aDlwayrPqmfMQtLwntelpEJJpymSplDBW775UC3p4sVVGlM4RfOS1txi0pjclap2bEFh
CkTa1Cn1170Kg8ytE6jLkwNjsUwQbzOxXCRjpz2MyrGWRR8RtZ14xzMAGQh1oSgfXTTekQeg/Utl
XdILAzpFBEejHLPxgHgiTXEaERX3JzYp3F4DQovMsoLdtoht00h3OnpF5aoRIWomTlPkqncfmoFe
rm1Jh+VKoZxIm3s69fpLrBP88NIewiBfWZHNiVCbJtTWKFzQzwr0oW2RdqpnZlBaIN6FxFyYJ8mu
xqUKaKRsRZtJtTHGBmGKCAzphv1DiBytRr7gWSsTdBPfK3DmwE2hOL/KXUja3cCK0xG7aYPHqrS8
3hUxcpiLf96If1qlQxokWNCiiXer40zlH1kkCG854siULGimNvcFIrLGxT83plmqsfKjq+Q8Wg2K
HOoIuykqZHFJAHNbS3XLxtnwY8UG7ThlvoHlLNiA2EeEWWUrtwVouAgWvNbUbwayg43b8eJx+xhJ
BdGfOOwHSqSWcGXcXJ8KxZS7ZTdaE0q6Zo4SZ7MAXWcQKbPJYD5Hv4ykTWY2HAsFFpq2lhQ0SK96
QfuCymczSGsZgKZ9KVH5RAsh91sLwTNLR+xqiI2flBnK8VBLjRBuxLPY3RER6XCxiHynK0/ttO4O
QWSAZ4Qa3VYgkA4+MfPl6aZCbLK7M4AWtZRBOElgW6UqED+jzBhlBZVJHsm9Nk1j+c57ksQ8KHII
rNqhfj1JFzX9/GKNfIcsb3RYwRSEpVbFKcklhUYEDyUCvzR+It/qxygt+kF+gOGbznLfgFonV5Kt
fBYYG1TJk10Frlrb77MyH4vO0S3AjlTnEftYGjBm1ecq7fTeRcVuBvHQHLBpEYQ2OBRHoWxOPFyZ
QYaGXZV0xTXJxBiu6cfq1sEERSkWiNqlYIy9NHqKq1GBthS3VjXXsAe6HJssLS3lgvpTWi7J9BqE
QWmazi51EW2P/46RdLnViLpG3xCbOowzni5QGWbDV5ym04Uvx92bEo7cAJKhBFgjWASVxXOlq7AI
JrnvkqMfScVwaxVF6Luh33LO0Elh02T8EfItpYui2CBc5VeLRB/i9naCgqJsZNi5zaabTOmeRlO9
6Xt5RJm9ibLo4HV6N+aIBnYjVDNV8t9Nk97nCzmrlD36piq/mpIalT/lUbHJA/shMEyoAGUwEAPQ
swzkGMVY1X/F+7UPHnt7KL0XffQ4GwC3A/uDBstQbsYm8LptNUahq00S9PBFH9CK2GtZrMXH2ieQ
X3qdUcu3I/UsNPvmhd1oAEmbQ5ZSQbnwwGIUqFI3avyg0+fnoo9ByiKiGgRGnaw0S6iC9iFB11sQ
hEaHDj4C1cYC2DQtReh3ZFSzxDrrml5pJZAn+pOT3a1HfjIKV4jzYFhWoNY37vOwMerXNGsr5NYE
MvhgduhCtfuqUIt8U4GxU+YmSzgdpgq5zIuCSjmGUWbSjTBxe9Izz5lQYYDSoSdlSHUk0/tjiu+2
uOkUHsdNWinczSUZenyM7N6Ydl2XZOCBCrmx8KBCCq0Ot2ENb/4q8kxhXlhTgwUVxX8QgBRFCmX+
6htNGvfkDG27xBlkbB5MeDD2kjIw+PRlEuVyraKajUcGoZ6PpIbbNpReEL0tc8NPlimYCqm41CTg
tfZRyrUwQIomIdBtlxPDopP0PbbjBAU4p+86RCnw/QJfEhAtn4EdOjF1ZXTVsO5gPWi3jRjt+iGL
RBG/DIFO085W6LhfTQk79GgnNs/Prx/w/9DSc9Y04lsq3v179j6175+peOr89/yPPY39H9CjgBPJ
AanYEWz/rz2Nqf1HEyj8QHEn8bQ+cfH0/xizP7RNlgT0E6Hu/3WnkfG0sUD34HXD32QAWP0reKl6
AlLSDR1w1IxQokzAs6PPgLzfkFk8mW1KbdJz7y+JJJy359C5Cp1L38F19eLqff1j9/H4trv9/jiL
Gfr0G/Tsy6gnQCUiHE9Pu95zn0vn/jp37mhrOI/8yev7gT7r/Ofv6+XTw8vF/v7i8PLj4/bH/u26
d879jjM/4wRtKKcYMU4xk8/ze0V+rYLr7+dpn8AZv8zzBGKnDhDG9XmeufN4f83b5jzfP97vX9+R
a3Ee+ddz6kzO3evlzfby+W7rO9sb52p7c7M9XNzcHBYXy8P6Zru+udnN/2252y33z7cXh8Xudrd4
ur1Y3N7uL68Xu4/97cXu2t3vP878fn3G5X2zT6cQNguyiim1/P7j8/Hxerc5Pl8+7x8f1+u7/fHR
d5aHm8NyvTssb24uby5Xl/NP3F3fXu9vlxe7Mzi+mdD67W+Zccq/nVTwj3FRa7/W8nU+Nqzl6+vd
+5Xv3OF9wjLevN+FrGXohPxXWM/Ozfr97p3lvRvm0/zA//OhcK6eAufj5eni4+3p5Tpwdi/XnK6n
qw9O1/Xtx/3HG1pR/HF//XFPncB5vD4cnl7e9h+3gXP9dmZ9tRNw4un5OHWVFCjQGbrOnNzV0d0c
3fk/V46z3K5W64WzcJYL/sTZuBv3+4OpzYv13cbOSMLfFrPA9yOh0OW5zJBjeP32sX+9TJnvK/Zd
zs0Fa5U5h6fd/cvVy8WZnZy/qu/GPnnMml74sTUyacnYlMYD6iR+POuxkRK1Ti6fw6//6dwYNO4p
HQmF+PoEe6rHcgtrBunlqSiPYU8HQtukUHs68VHiDdFr8TPtx1BCBbe7Ed2DQFW4EzsJOY/4Rz/c
+e2dr4X/vKdwI/4PV7A/3bvGL06BCntAtk9OMyrgmWzi0MPNcPeKAIBzEzqvr1cvh6uXp6uLt1vZ
uX879zmfAr1/HbffBz1ZiikgpzPoDeA3AdVNfzDN0YmV/TDeWpTvqsZzM2uvNJffH7YvUzU0KtgI
HmvK/KSd4owRim19qS1xWkFRwTWVcKpwH+p9GkTd9PPvxjLnRBHPN403UhWWcnK2KjrrVd7gLhpM
ZnesYW+9dGhW38CnTs/A5k+n9WsoWBm8zzLI4l/31W+fUB5qIZAlxEsSbEpu9clvSFKlBphRMqU/
vp/W/LN//2TmsXQsxiApQ1MhWPj8uZo467WiMk1XgJC+tGsdLVvDTs4cyj+NYvCdAIeZmTDyyaWA
8tIQYOloQklup7XXm+Y6I9h3v5/Ll1M4T8awCH2EQXQNTePzZAo9xCRyRIRMhZW4opGoPfRT4muL
TDe9XZhWmFxhZYFgXWzproqPH+kxcspnYuo/zta2kDpAJAGU0cls6TOVgrKf6UbShJam3aENVE/N
4vvZfhkFiL0Fv0LH0dQwUT74PNlaDyozm1n1bV2RHluTSqZTBOu/HUUIFGegDsw0Dhrnn0fx+wjq
s4Es3VBSGKlswDGkkf6Znfty4jHUoDSDpa6hINGknIRLRm0g2dIZA/U7xd4FFAQWbaNRovDDc+we
df7Fn078yVgnkZNNEpMqFmONkFI1EM0psv1lPav7etvIJEuT0ofcQjOwMxf+VGw4Z0upNFbK0G4U
QOlmQptzmF40Q7imjBKYBjQB7POPIfrLi8DmbtOIn0H6E62rv+QufrsIAsXuIVfTtG4lv8YqLc+H
60iMWr4BhlZ3y++3+o+boMFIQy5Yny2wP2+1rHgI5oAXh3Qe5SvE2x81K0CrIKqyM9v99eiy3eSa
EP2BJJCrfB4pbqw00XJtcOkeGcdYF/JBwuDyzAdyGiKbbDSfBukHc4EzNf+K31Yv91D2QdZncEOr
M5dGhKZS0nfqhTFOMzIi0Lffr9+Xk4VpOBmVrGlwo01dFSfffQjMiZcKFUzlUF3pl+19dqwe7Tdx
MYRO81Dto/vxaroIXqaP8MreecvK7c8EQOpp9HX6E07m3A9lIiU9PyG/127lG/NSXOQfxtrfYSMV
Of0VyhLSD8SxKcdt6412qd2JM1f96aqf/oKTO7gLNBFgj0UduIwcq8k2FQAaVUfNvTRX3y/46THi
89A0A/MDKEbEOfLJgZUineJM3fSu0qWSo1hTdVuBg348M8ofhhG6zJUA95LuwCl5yi8AcRTmNLoi
QKujLHoXCNSjNagRKL6ObrxCdWgXFD9wolgP1L5b+4eJLn0AKHmWRKALv0cu6hGboRZFZSXYJ1W/
AbfkptJRzY2FIk+OZUuOFr3YwUiD9bXpnxTlaQDj4BVb9HTXk/ymsoGy9GCiMBgbzdJEMCIO3/Km
eOa9XiEtqf7lM8byAmE2cBdTIFdZp4y5HBEK0NhMN80n+3WgVfecp8mZS+cPi0sEJyhCwbmkCnVy
8wMnaCnYjbQDxhQfm6q7NpN8OGMA/udBiA4sLpy5tvH5JhiMsaolUfcuHvajY8fUBpPGiv7FVFgv
Za6gKNRmTgJvw+51z1Sj3kWwRjvopqAfP7bWmVvmNLFjV6BiGdwwsIqh8M7f32+3GnBzytFl17sD
nVWn6RP71tai5oj+XLvOffz94nFQj99/A/Mu/P5m/hrUVATrJ/MNmCcfNS3nPEkTjkJXW/nOrKqX
MkP4fjElkoTcWmnHjjIFqJJ5rfL3p9BSTGJ8m/CAIuXJ3ulaKmVpnLGq6Fq7TSV57tgb6pmL808n
hLsEDSomOadNJ6sKSEKeKqlzkQ6mgQtaeafwxp/hoM7ez1/WEZkm0zZV5oLs1edhkLzB2LOGJxih
uu9k2MUsylH1rwAjW7vYGy064kO6qo0MQSWhKcsa+5snG4FcxAJmDUKEqKIkvSt6HI+Fcoa2+SuY
O91mTBvIBsgHVMU8OVu+2tKm4LV0Fa321YXXVNmrPijFJfZu810UeyDRumwzkQ2TxlMZvq4HVG0X
spHg4SVNavbz+4M3L8jJL7JVdIoEYb3Nrzq54isgXICq2xbF2ZYi/aiZDoFCsKINdO7znf9Rn4fi
ZjDpFFAFt4nbTz5fvbD8gu45Skx0aRzVAzTahCOK2sZsA1Vk4YG27yYY1JtCls/5wH+ZpyIDIoSV
jIKaOR/0zwejqTxEn2QkR2ju08Gmp8y7UOEcoq77IKnOUci/nEPOuSqrGuhfrioy2s/DyQoGecko
F/T0y8tEah4LDX9DD5/CpAZD//0efrk8oItCHEUtbiaWavpJtAe0LRsqy0TCHlgJqtNSd8zaqd0a
Td3d4NjZ8cD0ydqLfGv1/chf7spfI88RCcvLvXkyMsiNtqtq5GWM0aQ9JsE9aAt/MRXBc2Wjl5Zn
/pmY88s9woiE0Kai2txZNFQ+LyyaaQN1dYOLqkSJsxj9xGkwlXW/n9fJ9sE14wvlUeaj0PjjVxT4
2xuQ6i0G2Bj2ubkSodiVWmFS3xioVmmLwSeyX+cBGgBn3oCTI8qgJlUuCO2MaFkUlj5PLdMLP7NA
ari0NeufYQIfNeXNQWhLD7SX7yd4sozzWDq6AZQjeGsEL+rnsTrSAk+LUcUEmaBc45ft3YVTWvzd
Zv0aRZkbJTCooXLbJ7EH0LcGs7E+dbVKi9eTEkQvlaYFf7tunAeUpXjvTfqQ4vTOD4fSN/KJddML
IEarVKuzB5WWbwJ4rKzPRN+nCQBFD5A/Ng8Zp0xmSicHcJzUNim7KAXoamnW1iwElZDM1zA/oV+f
iGt5DNGpcbJynIxLAI/Z01SAa0SrDi20ZaJkeQPDwzSD57RKqlfJj7Po3cqk6pgnQYahcRY2iKGJ
EC1td8C8u0YVWkU+yY9i+/ovjwFht4ZICFE3NSpFPnn7QXC0VRVAfZSbIFhZEyUOT4n7M1/TyS2B
MiWjUDiCx8Jp0E5DUN/PEaqyNWsBljW7Ua02fC4lq4MEi4aH49vIdtMtM+7+cm5slEVfjPNHl0w5
DalKeIZ4S7BR2hTZC7x0EQePcu9MXPPlptC4dsmw4XCaXEpfYlIgT90oVWgB2iWSLqlokKvsSZes
RSOX0rNCYUH/u2ibI6goOi8oet2z7sfpzBrWDkRrBg9Zh32Izero6OGQn/l4FY074Lf3+tcwxiyD
ozI/6gknd0SsYC8K7Qqq5zDBWbMC/wLp4Hghd+W0U+CF3pYJavJ+EML0aYdgiaHE4CggjdcmtEBc
k0bl4W/3dI7MSTFQZuC5sU6iyNQCgZVGsE9xwEnw9gTgFkmVdmbmXy5H1pfSJJEqZ5VkZl6Y325/
sOc4qZSMElV6eGsFAciuSCrPvNp/GoWrcS6dCBmRi5PllXBHgB0NohCm9bTHurGF26xk/+KsEO0g
ZkPUqVKw+TyXOMh1KcEtl5i+i1bIemF+Zkrjv5kLM6GsxUDI0nweZZK6sSRmTbivlOQDQeZ+iXIG
4MTvt//LRcLGWKwVO0O1iWT28zDEBEC35mESVDKuJSTScUjGD0TBgWRNzTHemmF8LnP58izPgwpC
Y6qmClM7WcEpbPw8JB5wLQsXBAXs9EbEkrSYoiq9+35+X48EFwjxMbEcs+SUf54fxpC1rtoD2mea
RhoG4Do7RFMSF+7343ydEmfB4JMmlBc6j+bncfp6FHKdU2TO/Nh4LHpSDnx16lA1lrbeqNr798N9
3TYUg4lMyaV1kszTaSVKZdSEIgw3O9UgrTvoq7EfoUkWGdD0eOzjjczWrv922Pk7FgjtU3KFSzRf
3b99xtGYRYCFEglRDNw2lgba+uVaL6X8sgHnhPkmd9ZsO5RWZ6rK85f7+eKcjwynUQP7w8t68qoC
iO6aQQ4kbsre2we5mW5jmNbraRhhLIHPWksJtuKlokWuDLv8zLy/PknUk2TgaTYFGZlA5fO8QaxU
Q5JI3sKEydY5qj0F6SpNFehqY4p1rFsgTaWcOVJfjy6Dqrpt8DKRd5/q11gdErHC8LyFBx52KbUx
ahUIip0Z5evBZRQeJlTfKM1wpD5PzcYUsaYu6KFW0039AVc7qoFNAAzGhbaJn9H3J+jLcESUKspS
9Gfme808udb8dhB6a03SQvSTvG7T6D7RZOirZROeudm+jMQ54RX4lZpyak5HoiNpa1WrwsfwBtxm
ALg5dafE1z0ihavvJ3WSLc7RGGp0vG8KWZupnmZQRsj/NIncXASqWd2bNrqP10YLAm7EMFtD1pmM
1hTrJmr81IbvN2XD3wbsJB1zfYZSL/8kMJWfdzGpRUWvKtEXoOFVVyo0bORsOW3u89ISf5vozGPp
qk6Lhz+QTv881ii1UZojOrRAQ6TYIVSTH1UBCfv7Nf3D9pmcefQeFB5bLu/Po0Rjl6USlb1Fmstx
ieWjZKdLnzor2lHg+M+V7L4ON38FgL5U7u45uv483CAwXfZ5QRZRa3T7KFZxtcgG5dJMRbr825kx
1Fys+YXj5nx+HgoDoCwAWM3M4P6PbqeX4mkswdCvylaVzgTTXy4R/fNg81//7cZWwgJPtmYU2Pl2
/QpKDVj7rEzP3I9/Wj1K4bzpNOb57Oa//tsoXFSjOqo4w7W4RiWLqKnMGz8wrYMG6bf5F+tncmmZ
POpk9r9gZr8Nhq8y3emW9Qs0D4X5JpGXcigkWAfGdGZeX+59neoBD56hz8V++nKf5zV5eFRgGwvv
y2zr62DSLBeLE3nXhjBDqhw6/PdH4w+7RbVCpu6kCsgw8sk6tnZXaWFeiwXoYfOuS2V/Y5tpfubT
+uMoBiwsOPjzzXPyAdeKXeQ9zBtUGATeQFAatmkbRX+dCLN21N9pxVOlJr3/vHZD0KiYzSQccxQV
cOvIgrXST+OZw/CHHRJwggRyWfQpeSs/j8I/GjYXdtELqfHNN3awWLaGD5CnrOlgqlndnVm8eQs+
RSI6x5vCp0z9hfBcPxkQKlslUd4HnyHNXj7yVJsYulCBfKfQTavy+wNh/mE0gBIy2qrKLL16cq+H
Hczr0mc0fdDsBU5iDTazXW8f/b6IXLRHL7te9s8UZEh951l8mqUFDdVUeFNUgi37tArZoIWlTrHa
0b8vmzt0YnBBbrSwOQDnwWNBLdBzcTK1lp40ZEyOspH21N7HYjYQmiJzFdtZZSKH1oQ3fqSNtlML
ZQBsFgl8ciodu/RW89PbGIsazTGQEYFxbVR4GRPGNQWccBHcenwKuqM3Tb63CimZDYJ91OmRYp6V
8pHo/KHCsH1Km2jCUcuHUb5o0U1Y+SYa8KugEeKn4G8+xoWYLDfWzAjlEMtE+VT4BdzQuDXh0GE4
M96lXadsq2BGWOSIfCPuIJvvtmQrWxT20XuLSy9CxXtEb5o/h8gU1Hp0CZQlzRZ+2SebSurRUWhK
2XjNBcUsp20pFeNOFeeHuqhgR0K7lcwV6uQqwixR5D+Vnly0ru7XzKmWI20/GvKY7HqvtaiEdfh8
LQqU/h/iAAIqa+S1dySE8VPbIWzvpDyP2HbgBngDXSca3XjkuXeoSIWPgOdrHDFUAzKcMg31m69I
eeTofR3f2ajxoDadNdZDJU3ZNYgmgaBWKIm7TsvDh6FOkDFtCwONoAhiOLpLNdiNxEdUAbJGgVgi
nCN0reWixHsVJf5HX6HctGiCHG2O0qgtWgFI7TW0kTEGQV5e6o9TbaTlGulyFK+RkpitJwZceB0x
Ff1GUnGdc6xAaP3Sx7foaVSM4EmTSuz6qnpQ9a0UW3zHLfiH9xrs14FYmEUbsbA+yno5VI4nT/5B
8vsmXWqRab1EskhUzDZ8M4XgTUseclgIix/loObVLKCIMuVYPHTVWL30Y60fE68xnks62+Y+7/BI
dJC/Lq9itYWGntowgBzZamZFKQmfPxVz1Gih1mOB1bNheoqTF+UUuSbaidayqwttqyOnKbkNETS9
dBk3kYUfM9hCw5dri0xG+hqjwnNl48f01gaJ/RAgajMsJgq8ex8VoWelEPUDnTTpByID4qefAUBz
vCm3ooVB0a9cmmYnb4NQEIgZYSfGpWgzzMpkrdWGBXYF8iXyGb2xqHVNubOaWREqz+zmCr3fAlNO
DomxKvEoIWVEy2+vcYA+AikCGjoglSk7BhYq7Fas+Xh/adpdN9rjI5JdCAPaNSxDyGEDLsaJsBqY
VhDbluqI4OCK7NGPVjndUfxlumB6TCg196txkuq1rY7SjDWNTWTieyR+Fr0Q032adOXeJ5sMl5JW
iLfR7KA9m8qAMoVhd8jtweXBkZfYTVDc9OD5Gn5l30BMn9qdTDnpgWrSpK8ylOaOZZ4Yz1IWDc0W
7EK2l72wCN3R0JrrEDEqgXJO42/jqcTnnVag1SyGRG7jFcyVodv2KhHFaqqn5Dgr+70nhjVg85BN
xmypUalOxRLUjkgbqK+qOiXIflnBPZIA4lLtawQ0fTTvfGAkaWMsmiS0nhGfKi9SZPowjEKtzl7S
s8z1FfSddNdh4mwuiloa7WWItZ3lauZgYqBiICEN267LoHlSTADsSBzC2umd/tpNfj9L+E3DPY+Q
Ya6xKkEFflCkbFgpkoqDrqqmQ7Ya8FK8QiPTkt2+1fW7VunqyS20Ea+9oamQ/5/SdGBD6ixeFKqJ
kE0cS/jFCj56ZdHD5sfbPkX5zLXKptqbcuC/hZDaUsdMguaprev6atIKH8n8THrGN6D8mIwIkfty
SFoqcEqauBycOF7KSV1hEghh9T0MS6yeK8Q4gstSBg1Lv2kc0dJMwYM0ReT/LPow/Sg4WqM7EJR3
GwUXvc6BOWYz76a7V5u23vk4GCZOVA/RnShr44UAHjM4rU37C7r/yoeH78+lBLFtWFrjmL/05axp
38a19mqneTFs2v9i7jySZFeuLTuVPwF8c2igUw2IkKl1ZgeWNwW0cIfG6GsFWZ/GR6syGnvVIBt8
vC9vRAIuztlnLW6dOHlmsBVZJWcM75rv7tOFa3eUm7KtT0Oej19mwpwyZANtwRJaLWLn831fw8bB
aMpwN0+tQ5p651zUb3ECtQmDTKqBsvA0YKh7o86n+6xItHu6strnKrb55tIc+JjbZGKPqE39pZk8
CBZ+nY90MpwtM3eoK6mPMtpKF8TaGMvFU4jFBAn4+MVhaniaF0x8IBqZORR5YX1lmcmOsMyz4gWt
dPl5mchjaSwSdhJbr2EkMYOcsyz3GcxXMdo6rkOmbuUGAlCcodSwD++HATGhKYakjtu1N5sIWy1C
47LwyzvFkOX3hL7kiN2i/8oU1Eq0d/zieN4uXsZOGcMTG5vzx89MaD/wRpaXdDKL965yOrUz2Yma
0E3t+ldblPPhVwzgoUTtmL83R6tDPcUY2Yde5uYG/0Y4+DsAtQUkEKqrEupgGmTujL90bWfFt+PO
vcedoyyfS7gTeN8GDfkQM2cW0+ZQuTGMYElFAb24c9gl/E0De8OItbOrBY5kp7YUWWm2SjsQS9ds
0cph1kDciOc38NztojAsdX6qj/Q321lOV88h67v9knibvR6ApYyPhkaYD5Ju1oowIWHHYCmDwBAG
5iRlvFP20we2KT6Fgl3W7jEhun1oTYvfsuha3mvfJx6PATpcFY2AefDOkZFF/J5P9RDiFmlhXUp/
fF7Kzf3u6QurSEs93eRr6SFn+cXsfVVzY7xKubhnCxzsB5Updauh5f5a5raD4IHtOqTJgfubxDuy
Sfb94lo2GtQ7BFqlFqg1y5iQzDkCGcaYr7uknNDrGLlTCIYFuvKppEMroklpHWxBfS6Bm1ktgsOh
Mv50g97C/ywVfDpgbx6LDv5OQaoYY+pQJSs22GnmOezThEhjVULtIaelJ16Uc+C7aO7naci/DL+E
u8gEaKntyqlt23ef+1ceaewvbSRI3D7mNvhmOHkpU4Zrptsl1hC++z0qj/RnZo6fdOsGhnCnjZeB
eH1hookLAhSwfih5Y/SN1taVm7R5cgCK6fDayct6iL00WyHdWJ3G0+ypr2Ji3nZHj7HaQralsQqy
ulgZpcmRKp0mKrAWg8aE4DidsYy6FCb6yr44Q/uLJrYQxXlkbL3G3q7mIhvDXBs7/8HrWl2LLURQ
LozROn1yy0Vd1CDE4dKo7ZSTHulxaNuLpynp3A703LZj18itOiEIJwda5iOnizD3PaM6a5XTavE4
YtncL5CfyvvMzKYTc74rwntTaOI0cdY2TnZtl8O3lXHIhHWstBI9Oi3MKh7bGn1rMw4FJt/Ry0kA
0iSD/qGJXKQRs7RTfkLN7q3v6QbLYznQaJHY4ywzWf0T8Zu6v1L6ysGP5cQaHyvON+N5mbLVujdx
CAkMMYRtVMy/2yx2YMRm/3mrK8JmMzQBlLcsEdYDnAALdiU9uuKx7SA+PHuzUa4Fl29Rpq/u6C0i
GNzcE29Fs1yc3FYzwkCDq8SVgf+n7R0he0wyaOpsgMaUkhhCgFYDyDTZR3UMvKWyIR/VteCCOE42
KFW2y73CvFM+6ZJf3NW41ZC43LxX075oBwbDVwkd85mJ1227szIqgN0xrZaOQN5MJh9cZdq42fTj
JRgegyLvMEuiW0Ug1sxDpr24AF2rW0m4uI5dlY5ANZzOTsSJy7Dp76Yx7fOPoaP/jf9m5tqCmcvC
RBjaa6peANrWKK9GwgdPXmrCGyZVNVmRrBJrecwnv7Mg+KWTxmqQtu1bP+oX+KSd6ZCrkk1x0sNC
y4WsH1jSzG5J+cH8+rCDdqPGccp3E6kHOqcLBFsC5sXlEsHA8Y7h2mk7Dwk1hF9f+GsVm0thGp9O
0yjvunXqYXroPPA8+0HlAK2XtJfTC7MU7mX7n+tqBdM8oE8IXBeqwW2N49BlslGDshA2FZzIcPDz
dvgWpVdyVBto9V+4kNlNW5DcC5vWrI7tlE/b0Sg0+2+c8h4KSKbJpgIWmqGlAX+Z9wy2FO50pwvQ
wZybrPHdnRhluDUVhfPAVEqM3wxy2E3s2dP0ik2AJdpzZ0tGlqdqeG3V5j/QJALoYq5AHMJsJRAc
S5zezX6UmY5j2RpcbhRg45XYbYtamGDX88UDXaoS2XGkA5Hq/iatqyc3mD843k3rZj4nC1rcsOFU
v+4gDubpQ23UOA4HiA4aaKSNEQtRmzCbfc0qwNfIYjKeBn6J0F85SOLyTopG/NH9ynIOrkxnc2A0
CULHfgM/Vd2vvaerYLX7ob4uCy/JrzeZkB5ahVFO8QD4uHuklr/I91Ez7fJsT10xPM9A2wonKDPu
b0GVSaXvfTL6+IzGknUuN2cTyeSsut/EXvo33d1gEsFmGN2js9rAfESKmukwpXP64PtZj+PeonkX
SmHO1TnVZNnig06ZYoPUmZ5oyZpD6Ncj16gLFkC/6xsaN4FuLNxZOy9fWHIaQIfR6HA64n/hIx6r
oeVtrdY0Z6cH0M8hwzaKXOG0Wqc/C+xB/64k9Zf8yTe9yU4FN0vv3AO7KF+XkqLGOS/E2lxlZm/Y
NxN/8e1Gs4yZIfoWUFTOKUmNTcyZ1gLRmZHaPHRi4fnv4fQ7d1ltu4WCE7eYONzrLa1f7BGy18dW
yOUnh45joydDPuc9uOmwJiFxO72Oa70WJxeIEwsXZyBvfR4zs5W/ayrMMj3kcPP1OweyxYsOyRjI
J3KuO6truKvnY5PEY1cwt8EXVvymvFJ+DAHKM3dZs3TQxLNhzCM+uneu4CQPZ18Jru84HaxTgn7Q
D+DAj1eOrWxeBTySTSztLAUQLBrjd5h1Yl0UGNgZwKfJL3tKMVfB0VruCpckHW9PBYyldUoQumWP
1HLHv4+UHVQHG47g1m77DcT3s24a2RbXq2fVIdroPoF2NVhXa5G2ZtxOQLn2/WXeKeACUo37HqqB
QWjENbJYgSv5BdK8n1Z42heI/nTVjrpXBZ2fjR/szTUER31O4EtSSQGAj7/mDPla5RGKwHKG3t7J
WAf8+ge4Q2McWoC/6AKEBH/rFa4Pk7zS1ihnZOuJPgVVBI4NycOQVdTrMhviTVjIdfpyZt35Xty0
qUJtWraHbqgh7fO3lteuQv4Q+pthvw6qGG2uy4T/5FLroINyI/+UCWVaJA7TArzSq5ruRmmic9Ig
F4sAJg299BsMBnlXTiegekLNsctPe6vtKwOX6hb6y+iL2BbF9EiFROoxjCb1WHnmZkW1seVLOOvd
+LJpJvTkBh78GM0E6N6V57uo5GdLGSE89R6/udmJX7nA/o4XnZ4FckdIP4dC0ym7ohLvfvjFVS4O
Mg3oL6Nm6QfwFo3CgKVmcHu+VbzpeW10oWsMbJ4pxPmPFoyVuesmDdS04Uza+9xshQbnvS11fA32
aOjxaqacQgouiUDw+0bXg2mZdL7ipbeoYKNt/+OC0qijREuyGFY1fi0j77nDtuObPmfwU3Pu6/yF
TY2DecaV4Zk5vhlWS08xNOobkC2cBZ38SeQqQS87WJ4dGuv0mzUUeMIVLUW394vU+lZm2mRhxbNz
aybIEQOHkzHVS28oy4Bi5HiGSqZ/a3aB/HQGaf0E88y6X0qE26ASKffhuhPg5OGld/rJqOasifw5
bb+boXQxLbQqf2sQIpTcdzj0RxqU8Ya92MIskil/ekftAHKRmwLnDRS6Cepcpioqwz1vpjK7YElS
LLaIoqidsbAMXIBrv31fDF21oZVoHc0ThKHcz0xIonhja2eL1Kyx2OoLp9qA9xg9eWrNNsVMoCIq
ZCQpd0Aprsk3iEzW8wnYFlyZDMYLCmzPvOMwxGm28hKkORwO+x+ZL/xkq61TQJoe+zahONDSZBb1
tDyW1qx5OENzbCiqS/JfrR5RFthYM96W0s/7KKmBmAcA3mctGludArGUk8puJgCuZZywpM3XuVdV
rD61V81hCe2EcxesxivOijILs3oCyV6Ifnu1TEkn1l3VCHuQRY9L5jDKMUoZ6vIu1SX3Jx2TOQtp
tNfGwbfppZ4tpRhty9O2/1y3fqHWOHU6FEcLh2jYDGY/IP1bqUjpYl62MKPSQkXGtqrHDjRzfaNp
mVfGRubnHzyM1YrFQIKadbgU7c2sK0bQ8c6gxR6Ffmhw7O7IMlI9NSLoSRdelt92W5wkXgJIr7dy
rjvCbewoHbBgBoUpG6DQlOZYihqfksW4qDbjBNvqN76qDRHIdFBoeQcDQPpIK62JNU3lQ+RiIzUh
u1qZOmhJg3VmbDX7Z8wHjZt7RqEq8rFHPsyDsTz6dX2iDCUhTsPVZDY0T3rGRH1V6YE12qsRiUmv
VdwZyEEiY2wVoEppTQlA5s0R8WSv+W89SQ9JzbKZ2bFiwC51Im4r0/KokvLidCcKR9moN92bxOMG
ExILFD9enVTc8zkunrtaLP3eBCkzBi63Lz0aTGN6GEbXfOb1AO2q6BJflarV7aDGBXrDWCt1DA3h
NQ0uTcStXUBV1eec14eq13NhtFBV88IT7wnzSnnstyslocwklhT20OSrPeYM/vQCKpieyFZQCddb
FwypynKhwdBPKO1SLdEeVVHnKZt7K77gu4F016jMZMcNPdqyz+l+4D+cmu52aagCXNP0FfDf03EF
d2BM/rnYmNE+gxHM8Ip2pWgO3WDXabg2LWtV6vXes9f58JQ9zlNoTkjsDekDjY2svlPcNm6AaA9Z
5FoalaJkbb86zcW9CZa9+vWl3J5sulQYqpveBHQs8+oqLyed3NViXUbt7eyNih6DzeWomoObeHbO
hsaXTE1p7W+XcdxA2DYrBySxZOVZDcBu4tpzOPbai3ti5dzeJBocELhpx6g0Z7x52lNS1TAxmyPg
zAWcb+xos8r+no/7j+g4t91P8zion5/h+rP7V2niPzsT/9ft9KMIB/38F//H/r92Y/P9OeRt869/
5v9H0eJl4uH/Laa/+1Sf6fi5/kW1ePkj/wPDsf7bsBkE9Bn4JDfCf/4Bw3EMuDaCqRb6mfwXOJp/
qBY13f9vg8wvTQsm3f72D/9Bw9EM978dBvAvk6Nkf2m5ev+JbPGvnU76w0RUCVwRZtZpFZM1pkf4
T332tWw9A9pZGZspNncdwK9jotdhYXT/o57q//ykS/iWljEDCJcu6D/9JGsqHZ3rTxmXuLZvOsDa
cP9KK6Yt2P6bhur/7UOZpElIBQo+4b8yXAiNMrs38KFEpt9xIkRmo9sPUiX/BvPw17703z+SaZKs
JLUGgOFfA3qM9koQpX4Rl4vR43lYCpt+aaafwZvT1CzS8vWfHq67v/dm/9lM+ddO8f/5gUwDmdzn
QSj96+TjxCmIbj6bsN1gDvdb76OYC3WtMR63K+Egc37o/12YS6fR/pdGMT+WAAZQJjrEDOUYpFr+
+qtL6l5qfm9mMfUN947QavXTdECIodNlBzPLvMdp6eabtVzdGGRhd4B5WWHSmthV3BFwNE1fpgzK
+tXX835XpGo+Ta5w7jaOOyHkVPsqW0d19IXWHajouI/FtCEy0enu03yoknCrfYDg1PPZkabKOzns
+O+VYVNtYZuvwlI2LY71shvYFBV+qbVawMVuE/sT6IX3SST1PjMBGHLx67Vbzm3eVyIS6wPsbA+3
flNdUKtyQYg1DiuVw3r4dNvqOyunIhRsj1PvFmcyYByGutLHpG4OMGs5BSDvosgORHA5e0pVB48Z
Jrb+XHvVrcy7sV0ylHo9DTvHGUFRL1zEXhrX7vf5qvLbcua8V3VOfrSUPxxsUX+KVhoHevHNRXzR
py/CafVPNZb6YzekdMXFwhEqqNf1S3jc9QIxe/Sy7Hnca1ZCK6ei0U11mukXKtodX3BlFOOtDYhz
CBxaNn8GenXM0DnyKqtsenD9KMqorDX1NoHXfNCtan5ys06H0FxAo4AV0QeqMf44m6mFRc5AQN8w
zxltSa5dLdD/Iy0XdqBmb/xKnRXPRZboT5dqqhZ4bWLn8C9r9MKtYmitrpIjylIRG5tMo0T5/SlL
zfK2qFR6xwaXHHU8cxdRm1keANUCCS3qqiKIgyelpAfiBIm3JGFeGdOpm/rhca1tUN81gVAd6Grt
Aoq2s/cUAS6IYy9pQxzeoFEZYNyZmzAvYrjmE10bLZR2KIyvKdHHkbN4Px7mxCOimA0KyayhvIOe
51StJU0tiq+pHll1O+1Fm9/mvbv1IVNG3wNLwAnV6igD4cwc0ExT6Q+DYN8chejPsMydoyP4cjfb
Mnd5v3FAFuWcMaAtkUB0RgHRtxrkm3Sm9OhMhRnkBrqc0dcyNzLHaYuqCTX8VEMGNxGpHChi2S8D
TeU7o3PwyKT09WjjJq8exN9QNwrnTcOddPLqrHzBRcEUgpTVx6p5bixbt9tTOv8Z9KbZDU3uvumt
o0e2M6xPOez2h2aynStnsvznhFYdaFnH2/epwO00ZM214O3jMpfo4tncMgFMv0ugVuce3UwSj484
bURU4rP4zvM0u13spgi31S3Pfr6U95rd92+e2bnDvTV0soqJpTc9nQsL37ex4p5C1r2KFinSNIiI
/sWGLmfNVNI+KFp6cp9OhpQHb3GW+n4SkKEjOZKw+8bVgDbJRIOW7BtI6M2eekGeArIGpn2diT45
lCany+eyJLBO+7YS3/3kA0VeBTW4OIUC3oUSznt6zZbC972lCAqJuwzWx0ZKYYgWA1fCrinrcYi0
hGvUyaHJ3tOl9u7EUB/cgkzzvjKslOodJdv54sXTigMWt6X+9Nx1fMonJCGR7W+lGzNSbF173kZd
rVqtej5RtUjaE9zD6bWphTXtdce8SGIIZwYSmQjWEKNfvpjG1Lb95Uz5wqCJ755KCka/ddevj/pa
Z+ZTUSaDHTY1favQpcyQHZWmlVQc3LpbzlmBxSziRFA9qIunHovVc56Uai86ikyE37Uw6Ycr1JM+
1p+WW3HvJhGF22TH/Q/dsO92OJnnU+pl8LtHHrhmTV7MCRIkdOzi10KgEZKuQG4n/a4KeZyWC+jb
cwML0uU+tc2TarwkLCmOnLXRYb3g+zhqk/ZT2O50JS2tuxu6XA9FhaEybG3KPxqgVh7+x5LHq6Xu
P6c64Xd+3p4AAc9e5j/1Y3+rHOcAIxnmqEWKYVcjE+lS52S4C6TiZkRQkVj6rWGtL+PlO9qyPTtQ
7Em63sN8djLtWHfumSGZl3mWb3Yr8/1y0SlK/dOkbEJ3fq+r6Up3umdPZNMz+xC9PucgYGQeHXUp
ZcochTohlSAxZu4Z6XikSoKZy9aCydleypXXJkjSNALd8Fnl6goT7TW75H7w1W/f6vvWtG4tq4uY
a39sZXXfmCT+GYTfz465h548foysDUGdJX1EwPDoThv6pKa3bqYm+c2s+SlXw62r85D4zX1njDed
S1+mzXzSQFSAiFaQUaD3u0v7/t7reI6m7eAKeaY/jodTTsxoZF+L8MNuXCkV/YwdSRAJcjfbqheo
3EOAmpklsyq4iFNeSBK0I8xc2PaCrRhVg2XTQF1Ck1lhWqvgRWtq68OnQgSHxuIKI8BtbamTyiht
aavOeRMngTXIXa/m2C3c24Hpx8AWzk3aGuz75nhNcM54tFwVX8ZI5bQ8IakoQ4qg7TXUZjCpkDYS
oz4wgrpbseSQXVjfE1vroG4TuJqH2KJmQU+TZzhpNSOcJ7+N5laz9uMi2yhdqCGuDVkafVY0hTxJ
S8NeGQOgFu1VtAtdY9/KDKfqqu60rJCvgL2RtJqWuh1z986crLEDem8itti4e3EVr2j80FWjgRMV
MqNHUlZPuc3RUJTNtaO0dF8iZxlBIosNFEeffVZt+d2YQj5kCFlWF+iGZRgUvVPeKDNIIchTFvDO
q0zN20IrmtCbNf/AD+DDF5S5kzXqlCl27qCpnbZ4r2uy/lg0I7GzOmM4Uu1lOR2rcOspCzqD7t4b
CCFucsHAX0XwmkqHuukobwWLr433Yuj8o9/ab71W8JX16xlhZbJzKnGk2S32aTcMD2jEkl3bynlX
a8mBgur8aWhLdi3dzT2N63yX5M1hFXShKWhu1yjmjtLT2kM+b0eV9iCcXO2DRIc4MFoyBej8rmnZ
3jcL8y2Aywm5WwVAZeGFVOZvqszv3zJuSOGsoK2PvbFfk/mhqXuGm8f8bfCdfqcW7tYOP5GgRB8u
3oIqJn9p9RmoknX2554ankGvjJzRvpsB8+qudj27PnAUZ6A4PmSPoNFvdHM6mnV375srceD+CsPU
sgSNo5bIZ+Z0j7bymvzbFnui/qhkir1PHdplvm2l3UDuN64se3nqVv23zOEzmfJBZslLVTkPpm3e
EBaDG53dlUyD76ZtjPV1E1TxRxP/zfLlCAJN2Bet0jv6gzrQAaMfZF1pvK4BqZld25fXLdOFVVEy
oublN+2k/zGpIW1jvp+GwgvylSVI17wP3ZIP6arXIeNht0VZxQzh7qCU3yoEkqFw6wgjmXbFxM/T
sIk/DRAzKBATfbglj9qq1Xhk5+zUmysJBz546kHWWC+2GadqSOvMY0nVxFHsS9uVXPSrreBd75Vi
LQRxTzvdNh9cOdzo/EMw3SP15RJ2NfP3ONw6YjRDN5IJ6IxnrSeQ2XpdLNTmBrWY1qM/IxjTlPEt
PH6JJQkSGmlLqJfaF/khsbPTEa8SBBIWxf4Zx85jA+onZIK/CIy5QcjDBE4WKFPl97aSFIDJnVMC
MjZq3RRsR2/6orGahM3UUSWatVM+a/HGq82j4r/1VfOB5jly+2J73BZmTDpT0Vx22ZywoshdN/v6
bpiqV3uYVv6V8ztNveu6Yr9xHYbF9Y78nmb0+sHa+jYa6Gt/G5P7B0/Zfu2186raz6TxCCYYyS3L
VGw5fL1VWg27ziGSKR192xWZk+6URy5DptOjammzpp1z5PPzUZzmhqb0T7X0Z09QRZ+cZQ2FhIQC
GZpMZ1pm58W3OL8VPqSKugeGaFT9mWyStWvhvx+3iuAuU8xtc3CKstm3RLzobouu4MyaUrOS5hgg
V/ypt7GDJEPxszFHAppN18QGOtI9JUK7oQ5ZkIzqxfKyUd1FBK7ZX6mfkizx1U3fF2s4rKp+3FCW
4gzRGPrNEuOqLgcuImJwxhfEYjrGI87Hou7nP40yyBwYdabDoG69x5wZwKhNufNd3kWeujSlVeI7
7Q89ccwZXW6/TLAGfl1ky/uBHic5wrqAKJFTX/SycvBjr6cJkE5V9pBBCv4sRbUclGVeb2aS7RAJ
lDfVauQ/xbi5Q2T6PUlDx9fC0dJstgeO1fDDk5IeovSPzPfS2Mx6sR5JwhGYLhbD229Nw6UppaR9
ldGzOw2C+rU1SxkxpQ4xHyblzpnt5UaV7fA4DL19a7rI91Tpv7cb/pt8ENZPUul6EiRAxoPaSR3S
pTyjrT+0V9j8/D1kxPKqw9XzqJjZiwmF2jcDBi58OdWyS6SSEebJNUyEPd02ueW8rCQDE9qgI5eo
teuvnXlyz/gPejINXp/c4/yso1JvcRMlOa/TJMfXfM2Mc0MG+Z7iQFcEdHBKpBx4CRnB5/ibCDHL
sLSTcscT635Z5JDjjg30deEp/CUXoOIJftsfjIvVlaCbE47O2mGMUzlwdrvgbOEXWZ/xXM9MTtm8
+6dyntO9kU7uQVrJQHF1qOIqFz9jD6wrFf4QWUnmPRXLYt5KX5eP82agPcFbrataP2YEwIJy8r4n
vB9xykJyQtbFL3oxFN6Orl3PdrqND8pGUxRbuJrkniEQ2UTL5Td1yq2UCDAvWMapybiryCSt6xXw
ZAgUv02/ml5LzoDH4c7NDFD818KSuT5H0tlKEsL1IERFfs3xZjOWeDIA7dP4ruOlAiJFxUvTr3tl
J9adU3r660D6wwpsghcWUcOW+IC1XtEcY3GtZ7yaWUqvCNVJuR8M6b1iLTS5bOUpHaWZVJ7rtDGY
QoODKJHCJiEbpeuVvEITncUO2ufIoy1E0E+Ose1VK23VOmEqz8F64YMNnEbB8WSbCOCuCGgyMwLX
2OzKunEpwRQWDTYTCa5nMOkDpIjeQ3InZ05L+uL3Abe2Zd+y8W8X+4EKZpdfV9lNez7qciL6hgmx
Sh7XaZkvv2DvmJC+CCa86QVOxWuCne+Wt/2g1CLppaHEnkw6M5OWmZDLkr2ltgev5JLD5M4pvSTz
/DadrrBqDlG1Ie5YKPgjjhvHE8kLdd0N3rwnzFWdCSZVJ1pOOidM03xLfOdr4X3ep8I2IkvkzY4I
8RjndMrjtrGeEoNDMBkLHK2Fz43CSGkKLGhF3SFxzoPReKFta9O1qt1uB3ZHHYfWdsiYY4sMGpIe
N2MdO7On75ah1SK3W8vAtrc/vsp48ixG2mrPdHarTgY1wOBah2SQ7m3LOitM8zFN4Sv+PjTiVt+I
FM+RpNfTtlHnieOWt+4Vr/LChklPRCt1vniSoreq64D4tf4xc8SwS63FP0l/1teAIlbx2pPuMYO+
S+fjqKo/XYs43oGPEjseIvbeK9v9skorRrxCdF2YjCTM/We+bjiZvKalf+NpzE5gKs42T97Kdnwg
nelEJJxeJkEL3GUEOVZy/VgGiRZMTElcMxB04H13D+mCVcqQPrv1hIWrpgwxNbr5ttaN3CUTrbyF
OkEwe+YNpc71RlKpRdICP4Arxni2sQcRWyjheFW2ve6Ax9PPYFurdR5MNBhJoOjQB26qJWcuap+E
YX6V05zp/WGeIHp2U2Cgus795JZeONcJZUzvZO6KI7r6pQrayfzVLSORgdTH5tmeWAVJbt/jpM2v
gAywqG2X7JYosoNn2cjnWZiPtIlUxHSde80SX4S2RM7JNabCqJ3BMPSYjFsKXKUMgdhH0dtjjIlv
edsor8a9461X1MHr22KZVy46RfNHS5L5HsqUXQSEmIt3SHBl3Hl6ckz48HHfLVssjYFUOCX85DjW
WX0yxOru6L2JB7+zC3rkSkP+V2vi2ZMjm6VmOnGOleKRvLZ55i7exa1y5WvK9ESoa1JeE3ryj1ri
6+RQt4LCZnGJPhr4JTOs015yozmLHvZSvqxjuR3XpDTDyXR5Ok3VkR01aI/N1SfgBfbhFi7CWMuX
zTJvGNERtzRuCTu5PqcyV5LRpyM+VznTK777QsyrivLNSPf0prST6TsVBoyqpgjRPiMjd8lt6Rg5
MjdMitbisAgzYE4sI1oXOsa6zayBTSypV5sVD3NBbIuMNlysiSNoxusR2BNPisVBudc/aqttD+ag
U3Rm1iTgfbpzlqkPMg/izVhSry/0rAx9r3PuJlnVN5Yyb1SHVSfY3FVEuCydo9bmz4g9n3WPTjAj
blzkW5vz3yVRnDSKVYJHwlO+IIFIUHVwXqRm9kFjdRxhtt3GLXEum6NPDslaune38A5FYt6Zq/dR
L9MfjlI2R9xi2svZG24za/m2us3aFVZfx4nlcu3o+z8ZfsSh7NajxKUUdVIMR13N9h3vnLre2nK4
woQLiazQ+6ij533IZLrETmeWuzR3NcGYS1ue1jm/tvP11ZTrp1bIkRvbvD42m+gfrJkChxzSdMWF
XDuxMRi3HaOexOIIwAb1rM/kCObzyLjMrsHP8Zr0K848s7tkDj3tuh05PFe5Fbgdg0Gph+69Ir7o
TB7T0s651ctqV9Ww+EqbHU6lDP6QWMMCJCMjmffdtJyg+4A1WyIKulcrY8MfEl8eWQcRcZ86TO74
ONPPHBYvwnr14HRVR9fd3dkFpRD09tfeBtJ4cprItIshbFSe388K+bzBGB1/iFb0EhSjPOKaP7qL
fePm/hvpqnMx22FnGfstLVDyWAfUL0+LJbxdldehyMfD2LJe+vl9r41PE0RNhWlJtd6BmuouQ4Y2
Ug7xaxK5fY7q3tnNif4z0CDoMTOvTn/XMLjyYRgmYQ89qnQ227+Zm6UWt6mK+3bdXgu3PmxTQwvH
DtHDxB0HdXAEZyV5exv/bLr6rk7+N3tnthy3dm3ZX3H42VAA2GgjyvWAJhs2yWQjUdILghQp9H2P
r6+BPI3FlC3e81b3VoUdxz4hkcgG2HvtteYccxhdug6bCUUNd8bRIg7Y1vNPWLa8KG6+zOHotHRj
xvVos4QXq2Amx3ScKvKGKXX3ZciNDUTOe2MNnmzUzsGoSuC7bXwMqt4F6exnWs9dRChcWm/mtKKg
jQLHpPNvqOxvpumOtN+dMH/JRVUfptwmKQjZNrvGxaiO1edRiAvQe9toGPcaWWgO0P19GAovKjVH
1YiUobl71ZXFloMp92ogropu3NMwcKeodQdeaRqWX6qkgdyUuOwfXl5UR6ahn02JZdAK2bRl4yrX
i7uipYFky+RWmshysXcR7K0wFVD4Mno3MY2ryWy3kTGgEcmOQlTCDRMkRBFzo87aSHZaXPFRXtt6
8ICGmSrjmxjVqzaOsWakR23ULuukT4lOax9IUz7OVkR3eeKX0H3msGOrw6YPw6vQBk7VxDkhw/V1
NtP9YkcXneotdT54kyEDXBnFbRj1tbvYX+dccjMevpDNg/6otAPZ6gsBFMgwJrQUqF2tivXCukZM
fgn5ziOniTF+uS8Cjv09z5g9MfhzqrFvHHb52yoLr8SQfB3b/jiHBYEQakeSHdoYRbfuaKzPlAGZ
VxKO6hu6cd33GroxaW1gYrGALzLdihSmQKBjC1q65MiGf5sZ3XVDSUnANA0EldYa7z4dwLvqdnc5
FNFdHVf4P8zhsspaH60XOtNR3saRvak0IPt5X7jtaBcubadjoedXmsgz1wjHO7Qp9xF6YjNRMRDJ
g1uIdvR70YCls1lNkUoVTlSKftPF8i6OUJ9AtkAOE8BL1rBaBBYdif5LifEDFuMAGWRavLTFGaHC
Nw+z5kUee3aX/vsUTXuk+XutJDKsiL8MkXnLxOijqherAKn/monhckkte88s4kFj1aqYDTLjvO7s
6Hke5otosDdBYhxncshDK2C5ZNijxHhMm8DemEpzN+o0FVTIWS564ctaU/Z6mm8DW/8IBeMGmETr
lBIx122o3fdxAXYA4YwWZtfjkL8mJSqPWt1Wk3RjGxERjoPk0nfZ4+knm4+jXMlbH1f+iqx4Qkbf
m0WXBG3epUZ9h6BNRvDYXhRVe2D/+1rGtuaCy/mYhdG0zdWO+snEusJU0EWefWM26VWj9ikaneWR
CTbWr+kyt/sbKGoL54pAvrIIBLtf+QuuhF/xsKA23o9WGVJpYMq/X+L8IU3A/EYBbZJUlrBiz5y0
9pEWKHu8t6Slyel8NSry4GT2cqjQPu2slueC5yPbt3O9GrA065Cxhuy62lQ+zutcUF7FxAVZvbOD
TNHeZxNxzmpf0PCxGqzlI+XsZyL5koWbzgb+JAvlWtX1DlFZi5q9rKXIV0B/UAJhfGSQzBC5ztJd
2mXRfb4EyXMq1OSYzTVdn9Sea4d0FRnJaazeDfDnjiA8Zd5MbIe7PEjl12Gw6cRIIL1YiIgvd8Ng
AeEgR8/YjYJmF4BiQ9CVhP0XaayR1WpjOR6Vuq9Gl4TKns1KhazE737uswD3dF40tzXTw12Zqua9
iO3l0SAK8aZCMneQbLyaLn0j4gHjcPHaQZMRHmbTkdah+BJIkfx1pJO8A0tpT46eBdXGqOUAnoWo
MgRzds2Up8s3gRmPdzXfjE/KMZK9CkOgorKHFXhVnuzaFHQsCMs1pm6CvVEJ6nHixI2kmy71fhIb
xgkqhV1g3+lBljFjbjk3ZhQXAMNJotwodElY2IfxWhvU+NqadYPvqFDHT+QHTm7Ayf2CJD3rKcpt
9meVLmiY9mRiW/3gjVo2fZSxojijCF9JRmm9cp4RgMPva10APdWuVYv+wuo5E41x+5LgoyO8sLuJ
6R74uJLqhz7X5B6NI2YOe0rL/bz06X2j01jFVkhThr6qtzQKNotSL9yUUQrOaZtPIgsZStJA1c3l
uWA2ODqRbY/7icjVbYWLyenkhXROvC+XddkUPEAsbXUoexrqvpKe+2ai7XZny0t6iUlyizDhltGQ
uIvyhTq4bvjrMqoeb7KKwh+otrFbT8s+Eyl9srYrWo8advD1kJDJMZ7R79NC9aBQE/IoaDYg87Ou
EY1Lh7mMSsMxhwmLLqA6OhflkN3ApGZkhmwWmeQ0sneMwbqbrOLqsQr7Q9wK4eL7Sy6DSEtu5dL8
WjdqvaH/0+LCM7IttZPtSqaOaUku2dhXlP9BHswy5g5oGTaltp5e9Hpq39tdauNz6sv2ZVECGXt+
3+Sb2hz7G6uSc45rRhF5PXDHLcCChaKf8o0jPiCcRWubjrIgYZjeRCELDaAr7TpoJu0C/3iH26jC
qVjWi0GjI6rSYZNPU7LrGYA2nh0mOK4ttdEelCpUK0+fcAsyMaQD0IWLfZPnvZSTpyzNVIzdTPYo
xM9ZCbvPSqvkO3xtkWfrY0RHp9OvcbyV/E7JOFRBa3pEa9ClJLsZvnlSqs4/FgiietUrtBKwL0fc
y3BiyHANA44SZRYon20jMaLPwjRxgpEZUnIKNiZZ7P/REdeOqyhP/HBAYMV4wwoVZmNdLR+M2my7
7T/SnPBYQ9CoID6VeVYUcy135h6f3KSao09hIDgTn7RCf0mhdx1/A9tcfu/OlXb/Q9R5Jpq5/yzO
87O/3T9lw9NL2fyoz1t/6Hd5noWWzlboGKs6AQmIqv4lz7PlDwoBFwJJHP9Y8Wt/yvMU7QOrOpoo
fohpoyGA+7Qlbq1//l0RHxRdhVFCnj0lESza//2/3iQktWf//qPaS3mrY9N1BCG8BmipcAhBuKzX
+VEypxZFPOsxDrYhsg9VyASwpmMld+lFHqsXxhpFnBbpDrdc6MdY0Jwq7WncNQ9FWT+mRR17BvqC
dyhtwJ/eyMHWl4U4UVdQDKokvRAm8/ZlmRpANkFY9CYZggfMPMZ9Oknlk9oYy67TsQtv5AAgUI9K
nkeI1G96BwjCsQ/mzREqICUgo1hc4JosIfBSJdqbhabPX0qFAaNhVHnkFUY43YSWGSCWafV2r9gd
ISxwHj8qehZ/DQxR3PFIMfmmR6sw1QllRBdKelmVebQzQ1pesa5ONM6nCNNDw4Q3L03zuensBP5n
zOZXzIOR+EGTNT4C7AQzEy2wx4hYLHoIejp/LpKW2OCU1to1s/ZFeIw8pdukmbtbxOr6SxUXteaB
iSO9h8Z0IAPOpXNM41lFatXTVUt8poM0IFalGrIKnaUn02PT3iWTwhm5zlWDYcmU1F+Y5yxoqTD0
1aaqfY07uDRuByhl5BCtMRvB+Wg/VmOoPaW5Pl8EGd7DzCrGr2o/M+GpWkGkVk48L4E8UDOs6gUj
+BLhtZ4rXlKl6WiolDz3uyjsbjJVNLz1SVwrEPcSv0gBHo10bbEzXhSpbXiLYX2XQ717CEmHph3a
2sJDlId0uua0wqzGtPJrJZOSQ1HlR03NkpfSWI97rPfUZ7Jdor0z8xYPAiRN+WPYRwb1ftWXTyg+
ZeEhwI5Q+0zVZ3nucB7UlZNohbSjRVAxDWTSgAiAk0CifoEOK7AvgAJwEl06MNXHSj4MQ/gdE4G+
TaUZkVaifEwVRkxyJ183a/xQ19jaV3wLX9NoDQMn7xRGfRe2l6ZUR6EzAJtBm6d6fW3GWxFXFxjN
MeTlRXeNHv96NvpD2KKDZy5DtHZuTS0fCrAK25LZ6NG6z7cBLJhrInrpR9IbeljMPP2md/g79HnM
461edUvHDWRZjwuYTy9SEtxS1fywRGW4UbOI4ld0ASmUhaUU7I+cttuunZhYEDLEwVvXN02W3A/g
ObcTtpiQcYVjWwxDSOz+box9xEFBHfywlaRXnambM7X9U1MgWqO++jyq821WCh29GYVboQz9VYRP
dq1iHBUdCbokFAu8a4++7HNtNDmzIYOOmmpLG7M1/b7OAPujpJJ2SdbPezR5zJOjqt0UdktKTGDu
ps6+bQOc3GbC8Smt7Vd8PSjmCQ3HdNwcK71LaegqdLPXSaQE2HfxG7Nc7hYckIWbI5ln1Edeg8+Z
cdqB2Im/lshRPzeaumxCrHwq+QJVsU1x9jogX25hxZVuxcbtWR3+AXWSx5tOI54gyxlxLShxu3IS
zxAKDd0ZlFZ8bgCjcAMFzTqwtJgD0pWkXVfMhu3mqnJsemRFsCU17tWZQHm9ZFwsEcXViaxA2qIP
bmPM6GIsSb0Isfj7ANegUlS95opCte/MgIO4WZeK38yajQm8sZ1ZC9tNyUQ1pP1nSIETFa39SZ1M
5UqyUNQwXKUOnAL8YJ5A+PiAr0fSaRmwnB8QdbYbDTfjVhLA271+Nu/oChaeVZlBd5z0qL7AYtA+
zqEI0CrMo3Ys7aHz4cjE6CTi51RbBpcI5/TCHsfpmGWJcV/ynhJPjNp0TOOIcPlQmZXd0rblfVjZ
9EAGc4HS2tlbzJmth00/5cxdtV7CqrFB2x27+TxJd+NwslxNdDeRsWNKmheFM/xc2NthSSZ4VUgA
yFusZheWhu3yx8UWj2E7Q3bS6a3qU3ChK1gS5yQxCtaMcnjl4METNrXVUwzjRuCeQ87U05pNj0Fo
1Y9NPlU8wUZl3NN+b5WrjB7O8A66Un2rdf5tzzUVYHCgjNnCT3TnH2TqIiHwKuIouOkZQYGnCEiR
Hj8t5Wg4VVyL/aAsD8oy83wV3wRfu1NnJWOLSHpIYwPBiNE5QZn0WOPIcrLpOWg6Mzq5sx5ERu26
tP33vCwXdM3Jxfo1/VDg/BuBuPJWkv7by0eEbSLQkNFH2dQ6P5YMRmMy7gk0Xn4/F1vMWBeQj67D
sXxiCEh7BmC9YZfHDHKaU6nxllx1bb+2RcVU+72RIrAM8h3tg3egd2+V67+/LrxEKkcYAnjPkfYa
A3S7g4W3MTOAQGA44HWgACDxvXdCc22WDb9BEf9S/ftQ5vz3l8Xvf61E3r6Whyesi+e/6v9Gx8p6
S//novjiKX+Kvz39WBAr60/8XhGbxgeozTgnwN6ZGiFo/NH42nb//LtkWh+EQfFBQ0lHtmKuYPOi
bE5lr/WBWDFQl6szwdapWv9VEZsfAEloBgl6HPOtNQvzrAT+ZUl8qnl/gNbpFJwyTG4BDRAnCRj3
tze42iF+tysl2SyKDHfEGDHqWrHGvAXKFJ7MqiyqzGl1W7kr6UL1aFGKevCWFNsC2qq5pvEmDwRS
5DmzNUcGjzA5fbQE1+AKzKtOxiLuAQNLFp95U4dWIZOosFctz9gP88fCttEWBFXd481th/Sx6nAX
+yxmF1EQ5Xdzlgj2l85cT7WhlSXgL+hjOfmi4WbNgmkukAaa2NYWMPyBE6OH/ZQzPBJeAYn1ii5R
+bkGPU7DNjB4gapgfpmtywm9V03fouy3k22t4zBvRzm3d5HIp0+GRYaPG9ndwhCH/Femy/WoEZLX
zuawimEPJYrZyRsYRr6Gij1VTlzn00cFH95uYjTDnAPw3J5/zfsNjCflMUxr9dkMoTegxDTjp141
Gmb4ahoqrh7qKr2tXp3WEreXGRNK2mPaAkLZ4eqxn824ri+1cdTJAzILVJhylTEi7kSSJfQLLOlB
0QM0WjE+9M+2aWjjvkhm1C5IJ/lyWmElnxFXSwtyRYAMzqLKrcqgNgjoDcKhWTU/ivTVnhKa/UEc
6NomZNCGhqExn5B3Au7Ipbj7TPEafQsC7k8c71UAvaukFApmtaEcW+zuK7omgRIJBjz3Dkyh5WqA
egMDjdKgNQYyh2IlZT2Pyk4nsW+Q4q8NAmWagrkOw5PMCvGKTGaKXRQKE+SduEk2bavHnwc1EJlv
hGhNJbgLBu5gxGgbDfYSgDGoUYE7BFETbYJ+0G6NFuXelvJsvNBmwDEhF1im95JFfjq6QQMFM22t
HiJN5wzx9ulJUADI/N6YllxU+JyQKFVVTd10jJ7f2UlXU9CbB5XHU2YjQqsGGhSi9ttLZavRuVHM
ZANG8iiZkPMyc5RcS28kv43s2etw1l9V/N+jksjjb/vNX1r9/1/wJ6rr6fw/r/YPoLzjl6eXvz0V
L397KJ+fwvLHlf/007+v/Ib8AcwutwTfmk0M0w+9EEP5YAPoXr9MlafhFN7yx8qvfMBBqPxpYlw3
hT96IfIH3HeydvL7rV0R7a+s/Od1ma2aBPWSIcdda+vI3d/eTtxpIYE1uu1GI06nYWiFPwIo8374
dP5N/WStLZUf7loY6QIUtUFDSKyQXvmsfmrGWEH6kAauBFPtIcZEO/lZO0DasDDRfkFzI0nMB4hd
9eSZU7y/DHEqO0o3TTezTr9ms2B4AqyIGKb1jaWk6TrHfcKI3Ohit41kdbpCWNrf4MwGt7NY1vSs
5UHHgEdIlF/AUj4trRaZLMLkeXpDrc74ojOl/bLoVXPkfBGGl62xBOvBbBa3WdyrNRCCnpESixY0
OF2RwAy1cpjo+4A8wZ702Ho4JqKlk98M1XQYrNo2fLtObWmLSqcG6hJoxVVOrgEmhwLiklMuQWSg
vObtuTKt3e+jOdYMVqB/3KRSFH+KZSp/+JhINms104BbafA72GqK+arPzETsYXdqYH3SZZUdMIox
cnVY/GrR69HJ62yAARETtuSW0E8nVwfno7kD74Yzm1Y8oBdaJEb2mnGIRB+04Ib06LbSgLA66ZIF
G0w6NRSOCdObC84RBmdcp/ngalKqHqQhVZ/T0BKpS/yU9fLr2+TsZgTVu7LR8Xyeuodwo9/ejGk+
dSpMA2SSS2vvaO9DDRJR/1sH900/8E3/b10i39yM62U4hugsn4qqqGeW2bnAjgaGUKLQKMZ9Gpt3
7aCo+F80ZL6iat04CIJLJSl7l8c2uZqCJH7nNZydJ07vlJJd1xULqxT/fPtOwwQUmJ1XiKmxll5n
UyN2MYEXzqIhKupjQ33nATzboE7XY5HhjfMo4ow+u16niSnVcDi5Fac9mIg6Mj8Au26BKnj76y/x
/Ki3XsvUZK5Dj5XPWD2ztdZVFMStlQTYE4tY2tZwSz5LNAVVag4JTYEQBRwvqLoMxTm1HstQll/H
EqjsRlDlXU0LrR13Ynp+Uw+87m1AQWE7Gl4otxuZV7mBCGnCVjw+ljsbieVP41JeVmqb3kaFbV4n
eCJ/4zr/pY3vv3am+e9ryjd+ued5fAMFR5zib3evVf+cxd9+3PLWn/1jx+NAw1O8HiSQlaFf5Szx
x1lH/SDTwee0oQJdE/yFf5117NNmqMi0FhXBY8Ef/bHjmR80Ex2izQ7J+UTlcPIXzjqqebYZ6Yai
kvlJHAoGc+xF59xzeNhqMots9PEMWeZl0jcy8o/OmJZNivnqQYWWOfqW1iKWXoI2GTat2aHnoBmd
XbaKXMJjkhDTXLQ6yCef6KZhC3Wso9XdR/HT0qvIcmhQixc69RXKbw0wHnYMrf8IOcxQXXMM6Fhi
padhiMSyKfbaNDP6yszG+hgXuI9d4FsgXwf6mLMTFxYeQozSNWQ3c5ZaAoFRmXKyog/MzjPaqKR6
M0jAf2hzuG3LxJToKKXikKqd/klhAI2iqwd54yj5JEVuA3m98pmGDq92r5tOpUO/fWjkGLFUii6Z
UBYiyge0o3mPmxhqZ+1KdiQ/M9QNXhIyGBgSA6nXOPiM3X0b4r25LpS2st1ULvvr0cYDepF0i8rU
v2qtDhP4lOcQLBbV3LQjSEcnD9s5BxvSqc2mQwOYH9Yz0egVqBF6Z4bQ0vi0sgZCP4q+OQ5kTIze
iBX3CcBbulpA+Ml1d5woCDQdL5YwgtWAhgZ59Mqp66OvUVfIN1KwCoXixcLKnmtWPhzGudfGbRuP
zWObI1DFClV0SHelmA18B54xfQBpB+Qfimd+JWL2UQ5DU34dmIP8NJoW/PJUN5/TItRQ6utzKiO6
7YF9gW9GWzkTrXeTaXb3qSIq13IFYmMaxRNYcS8KJPG8mCitHcAGy8eQaeqIvDuYKHcMOqmbumb0
4uBGlXB4ly2coKZSK3q2otbNWyBd2IbaYRn07SKVtbggtS5SvTEdA9Aw7K25U9OzvpOSzKw37EHB
daUPiKa0qjFfraxasoOmm+pdNwjZukq0QTV2VS/U1FuAvdc0CIM096x8ysJNFphmfolI3eAgKTVN
DdpmVkdP4rkAhAa4J3SzLpxjBJ8AgV1lqG1tIyOZh3GU61nqVanIgi2cZ+1awzDSuWHXLnxvtEzF
dlJkNcd+PpdIqsq2v2uVyOyR2pnjN3hUuNYMiVBMZMlRNKBns+svidqhbIRNhB4C63RVoWkhKAPx
NrBDhkMILLAaySaAf7FidZQiiN1+AgKLljQt7wGIYeSB3hrSow5LpYJpQDrMl16XAstXjDlBKzil
0mPXNphtW32SPjXxMI5enJv6J2sc5Ud7GBnBITVBMa2Eua7xWAXcrTHYAmFN9Te7rMEMaImMmKJI
YgQxeTM8m3QajtI0gV9A/8TIQWnz/HuD+Z1WbgqeD8ORrdxjcn2dIVj31JAL2vQlTpnZD7aFKTdW
NI8FlIlClk3gW9MobL91g0xHZcwW66oivtBmElHz2JhRPD1EfaofVtjoiKUIHQzWVjjjZs7wyV3C
2axRSVbhPocwHRFc1q0zt27qV7F4KiF7AYdVMthrEERKSkeLP2eR5hCtMQWijIUuwNKztGj9MWFc
N/KgVKsGojW4jWwEgjB5sfYtOC7EpRoyDqhzWf6Wq0H/VDSasfhoCewM6xrjOJwdS69sp9hMPmJN
RM+lFrpyjx7HrA7GGMWFz+isf5QhJuAC6kgShms+YwHIFKFXdBG4delXRYnKLxxDGOB8BZjw8TI9
h8g2rpnx6iM9ZlUA7R1SO3dDVIQ1OAWJyZGGSKHcII9Jk3dqorPClh1HkFxIMAnnNUucht5v2sci
7BZqrtFH5qT4gcrEBkPN8k6Rp5wVtqfLaLpOkUf8BJlq68v4ocmuNnLUtxNe34k5Og3zpgFVx+DO
9GAeJdcRYCnkpknwdUwj/VJBndF7Wofy6tcV4FmxyctgsE64mmpgHgaFf9aiiAAKjLUhat8ocwW5
UTJ80auk/VgzgKCo+PPY/W8OlufdECpZsqNWbI+lk7mqn12qKNDat1lc+RnyzdwdtElv/VQZ+Zbt
Drn/VVNnNgbrXK0jp5f5j9smZSz7p5fx/6vDv70C5uvm/cs//77mnPz51XhP3dPvf7Y28P/5dxJL
y/w5ftMAX3/ij5rQ+IBxS4eJzM1pIe/g1vy9JrSUD6yvqq0Jk/OQdfqjP7og+gdOaYQ96SapPiq5
kX/WhBIEqDXRzjZorBBfI1vGXykKz29ZHe4PaVIyAx5ISiRgvn1yFCEqExB2viEgaTuLDUxEr2Px
/uEj+Td369mpj3HNqYKlbacwRqL3/PYqMXmXmdW3+YZZwKaw0qtxMrdKNB2yQbn7i5cyaOdbkIVU
ZgfrbOjtpYJWCPAzeozkDlY73go780M52ZWN9du9/x+P0+drGyfKN1da3/QPiw57bawtDVcaxN2o
3aNB/PU7UX6acVGvs4DyXaMOsvmG3l6A9SPu8qZJN+g1ovqR6YBBZ7Uox/LRSqW8PtB7gxmsU5PU
ADuAmNwbDCqqfYq+fPpUZSxG5OksIPnh7klMxMqpR3CvwSAZPuV2IYSvQTfqj79+4T/dU6yDGIzW
kSGcJ3oNb183XWto73OO0XdAh3vknOoU1dWvr/Hzh88Ny95iM1JC1nSOkMomEedDyzVwSriTfqGX
7Tv37E+bCss5T6zBqWvNa0Wj9PZt9CYwnwkm0Qbx0Uu1cp5xN6VdQNrO8JGGIoYdxcFO6knFO/fw
+eL+25Xpmq5X5iB5tp3JjWGGEKbijXEd3s3XwbG7iI/Tdnz89Wf483D39A5p0rIAWYwTzh5L4DkF
akXYt8L5WjvVlXAAobiDV7q2v2zDB3sLHtN956IqH9sPTSj99OZMRn6UuPRgTyK1Hx4b2hRBC10n
2WhbUN0Hfdftgs1ykRyMnbRX9r++2nlM+OlqDBBlRl22hqvu7C0CqtELYYp4A4pyq11IN+Wh2Wvu
5Lx2/rgZfIwz7uQHjnChDvjZO2/25+kinzDdZZ4C8ptpAZ/dQ2aQmoEK+3cT7Y2Lmjc7XQZ7Y295
3W7YoXW/Nu/0Oz0EauCSGkHYgpu8Jq/SizhaB+Ng7u196NmefGnu9Xc+mZ/FgG9f2vnKj7ZXHpeW
T2YK/SjymTmKdtcpWytzGXiS4ZRD7y6IbHLye4wY7XvzHLFuLec3gs06zRAAcOFpxvvj+mkWJQ7l
YIw3eP922I48aWNdcIzdWX56kD5Ln+PL7iZAUAR85wjHYKNeSnvgolflQ3lsLrQdLsF3nvmfVxVi
I9dli2p1Zd2efV19VVYECfTRpmvLIiInymruEmZO0+Wvb8ufr8MeSCQcoeEsLage3y4tpZQFkWpA
2YjLfiITOsM/4bDexdM7e9TPSzELEaGbFjsvTR/77A0RLVSDI625UKh9M/Ke7HeeFbdfFvOdW/2n
Ld6kgWUx7FgDk+nsrpvZD481BYBUoEKS/LCWtvbq97MvCnr9onhvhz/lkr65cdZLkYVu8T8mXeSz
ZzpScsKY2l7y4Y3fzYfuRnru7vXL5gZpkm/dpEcA5jfLR45fxVf52XrnjSo/fXmmvI6tDE0xbZNy
/+ydVpRRkjpmkg9NY9/sgwsAxR5n6r26qQ65V7kvf+1mMVQWSlmFmki9wVJyXqIZMTLJ9TlhHOI3
sbvokvfrK5x/d1wBTTIZyTRFEBufByVHfYR0HJHSZnZL1zpmu3L36wucf2R8VjpMe0WhwMTSf/6R
hbQqa/p3qR9yWCafaKGr3Y3VOzc7WmYK7TdrCgHTq1aakmBVYWvqWelhItNvMztOSUAIswN8b3CO
N0ZbdLMVcwKvmtzhkGoyzao0XomehkvrTTo0dUfqkvEhW8IUPl7eyLgGdZwbUFOilkaULfCxVuZo
fO/mStxQnODJKrIOZNHQQskhXTryZXj9x8TAwepFZphbHv6+amPJ5tKhRQWc72i12iAbKaEyuKgd
rMiJGUZ1ToSg8MFoItRLSWMpuzBfxuyyXiTIFHbXr249Wmtgursebr4BNHG5NImAUL0iSnD2qJlc
T5+SWgQoS1NhT/fCCBfFdiIlIh0qEeCQHSvrcEEjH5toYtbpcNtGEuMfogmwMKVGP22VRbNvoP2M
D1Y680IrWrxA1ieNlzgNTfaEHbyRndbKQDunQdDeGX2oXyNV7lo/I/bWhCtlKoNHkHGrYH9No9wh
xiW46fscsBffXlF5GOSUyusQ0PQoQarhRSBFB9Yjj+bBqPoBm8tIGwQPZmzcEj2xaADEFjnfEFAy
EKizDOWh4EWBHuME8EgaZJPyOYZilcqR5uXAK6vGDQ4XcjqihTGwq3R6zJODjanwgAmkVyVtiaNV
WSPo+XkVuSysMxMSclUCb57XRXUxZ6BBMf6H8PfyXsbriVSwUBxo89XXGnJRrO6U2YSyHsqZ+V1l
oIUyfElkgibNHqbckLRoXUI7WUYgA9hlCcQC0sVzLAXHFAR250dmE8TxPjMHDCrbZqzqp0SdEfgV
St7FvinhKcPYIZDvIBLEWNqWuJvG2u7IHrKGJPT6RCcQotUSW/LsZpi+ROlSoGue5KzxEluweaNs
BWcu+nLyscVYJDPIkpZ5FdrsGf4muD1HJX39Y0hmD2AQbbVJDbNGKhNAwCreYUyhQ6iPw5T5UcEd
6NR1Wm10pQSVBSbTWtn7hkaqX9FXLv5McqykbhGPJkzIT0TYZC8qUG/4p7JZMW3sAQJ39K35hk2w
XaOIlXue6UXf0bpMFD/hbz/l9ExJnzJN6xsJDtD0Q5L1vnNvLbW3rNQ9Zylt2q+QfiCPtWort5hY
9cjcd4UGwDQUAvFrMmXA7Xtup9mb0XjyeY1y/cXWy4nb2z7BuKOVy10TTUL/+ITrrk/obrWuYpqL
vWzJjjwHpeVFSMxxpgZo1gdjoKMCq6hZrgF3VzfJCQ4un0DhITFl0X4KOSQ5BbXptzZZseJYFaV7
WXRwVEmgATyuniDkxglIjurfEm5tMMZ2sRSs0PITwJygUWDmTBERJieIqb5guwd3Lq3kc3WEgQ6w
ARx6KOHsk06Q9HzlpRcrOd0yZ1nnYYWnrueEGEA+7LqPNLyHO+uEXl8KgwkKjUmQ7PVKZ2+lahWo
azDbVdIBRndEtX1IKo55TH5IcHRDqZ6gck69BLcD9p0e7esIrZObzHHynZwHExIrLMvA434DIF+f
YPLKgFXD1/sVMl9OYa44zQk+D6gKEL19gtIH4OkZg0/3eqFIt2pLq9kbTiD7YWXah1IB3r5KV9S9
dcLeh5jj8bix4RR+1uFr9YwibjW6fysyn/wK5QCKt4pc+wTVn4p2jJz0BNuPTuB9hCtA+PtszR+j
Bw6cPyyheflWuUL75xPAnzBOYP6tNOAkbbANg087Af/Nlf3fEglLp/0UCSDWdIBmIWzEtzVpYaiD
zv8+44lKwZnVMCwRfPSjmww1o+CJmWOD836NIVhOkQToIFrQ4L2m+0QJZuKyn6NS3Wk1GCo3qiLr
dVRlaDlW0ja9l5yiD6xTDIJ+ikQYYmN5tBlEYbI9hSaYa35CxgRFIexujVVIThEL0iluYTxFL8BO
q6JDH1qIrTWCdhhdIAMInDldYxs4/mqf8QSpa0B8H3+vyfIwIBAYeKX7U/SDRgJh6CWnSIhx6SX8
vKHVCpr8pEZUc02ARC0tTG10WBvH7BQxAXqDJ5LuJtSeZE2hWKdzNGvZHhs3OgVVGDA0VUc9BVgU
cR+y7Wnr5DyZzJ71aZYlPAdtRvgFHbK6dNs1E8M4xWNEp6iM+RSbIfU6Tf1hTdNgQRm4McAQouiU
fg/dIMNi+BL2Yir9JLdIo42APPQABGojdds1u6M8xXgEa6JH0C9hwba2Bn1EEzYoVz0FgBCUraJa
WXNBSloRDwuaedr+a25IsiaIYK4gTERKuKMcOlaM6bD6jDeDhSnJrdRRvCynQJKRY0ntJuRdDJ5y
Ci7B7R4/1INcE5nXCKF5Fpb2FIMxlh1YBebrbNqMgtRTJgoi7UnAxWkoIMxomleyJFEpY6+Xz7a5
WIjN5bUsaZVZVhzRMQhEQIBVkGyNVoGoeYpomX7LaxFrdksH8DPABrRGukRruotUmn39f9g7k+W4
kW3LfhGeweEOODCNnp3YiWo4gUmUhL7v8fW1wMxblwzSGCWr6ZvkJDOJAODw5py91wYbtYS+MOLi
b61aomBMp2LPocY6fsRYSswCOQXsrLiT8nfvlEhi52GJlmlTVYxrskXArKDbNv84vQVsgUSt2lo3
lL/AT5kzWTWZJNTSMBrU3BydyGF8DraBdUTIjb3k3UBjbsTWWVJw/OdAHF8p0D7E6dmXmt3iD/Uc
nuP+k6RjLKk68XPATmOYS9qO90/0znMMD6svkTzdks5Dn5agHsknBdwoXsBJcWl/TRMVdXT6WvCT
z1E/uvbmu+k5AEgPZAHlKCyfoueAIKLyajKNl9ygIh19xveSJhQ59rQxA+lGO5SfdrtTzwFEs1/3
wYx1kyrfZbWkGKHMaqrbvDOJOuIsGG4bicJpk9IWIw2p74VYFf4gm/38T2LSINXlYtlg9a5NLDJl
iA1ta3KgfPBat5z3cglgSuhqofotmjDcFbVDRhMKZJpi5PC40EChh9+kvSLRCVdS9RRMDQ6j0hiB
O+CQtf5U4QTik8AQLwdG5aNbM+OYwDthxx5u2YzK25CiZwkrCcMh5cIXDPY+In82JtKtn0GnEkq2
UPLsJZ7Kd8uanO0ltIq4+nLapYrNENAZNjETvOEvtDw6cYPNF6HBge5dXf1B2GlMD9QvJfFYbIzM
8xxFz9OciZasb8DpPWhktv3D3rBopB0qDGHOdwhkJVIvvyqHqz433fKTzKDs3fZt57SHhib+gAVo
6AFaVf7wLYwow8KwMigZkyGWT/uqXjhl5MdItY5THLlIBWMIgUmU6OiWnEV2jVOamyYlZkHzMcbh
n20sGYRPlO/c34SksCYFYxEK2sBZor60hH/TSERE9F3xc4OzXIDKuZJVM4tzSraRataTF6TGOrEa
i3fftX41XoJTHj17gS04l+iWYbqvIOD23lb3kUHqbEyeJXluAoiFt02caPrZW8Dxthii5se2DtQX
SQm1xNfWxoDQo6QyrmIQNe7Bawe/XjN12wJ4OVGK3rjRbmtxsCZ3MtqbcSrar61NKuPaIoZ3IduH
tfiWuB2AbmLdU6h65ZwF17jnJKncisSzFXt8nW3xQDnzzh5pIZ9jEWGbTNqjgxq5qbDBaxIhmHyU
76XMqr73GVnhTFpSkE/fyJyzvL0/5Ho+H3PDfPKmGDd/hqp3ODh+TyQKmZnAf2HbhIMNfjwwo7OK
cn2467JZFFv685O4pdJBYoCVYyLb9pYRjbQEazTs2u2DdEMsplB3cWZikusbH5o1kBfV/IZtmY97
Ov7jeE5Sm5+ex2IW0QYVYwdIORkzyHixbdn3SPJj82s/12R6eo1hJ4TQJUlin7lsDp3vMOzZHcyD
dKAjsg9trxr6cIJAANnUQBOG1tpK3BHID52c+LbUwoR/U6fAxDgzzd0A55iYQ9rM6Uj0xJD71SYG
S8hOMiNfdp0bTsOnIxtUM8IRcIk4wkExQ+mQk3sNYbDfMo+40feuw965ztti6u4q2vbpZRvBvqSQ
jctx7RD1pzYYYPV9DiP1DgWLezN2GED3mWPWT3am5+7c7mWS3hZQUb9WAbzoPbOBN6yATBMZMDVZ
K646s4ALWGl0bCsD2+Lw3RpQl+Kdt4phSwYx8soApIe4A62XP2YFuK+95freHxHNZXqugNQthkte
1UbzOonESyz4QgMEDnHdAxqZz/qsLthVm26T6FXkGalIN6PpEiTeGx5Qtoz302/c0GRpjHWifklJ
O/+8KumCU2adh3K4KBCYELMeAYlfhSZI5c/BNNbtJ0eSiLOSRrOgIwDhBlsxuKF9XaSRQCIbh/O4
SiPKbGsF4UO4lEeLZYtj+iLr0dlknX8urdRVXwplsjRijup/Kh9Lbh9J94tvTIQcRJXTP0iosd29
jd4GPUMvw99YMzpCF7yqeQI1YnDmzuEfpW6EhFcG3Uy2aV9WaxWHwW9InvhYlZGl8lfWFL3/BRxN
9m2CJU2m0ByVV97CQ1vbBXKuVVIPnFQU5YNf7tSO8Vlm5tEfi9gAg8D30i6+WQWkz43tBjq/KLLa
+G6wl/LOgFjnMA1mSCKcRaLOuQAvEPBFiy55UEhS3HUCoKm+oRcePqR2ii5MJDpNzvKsjeGJm737
lQj06mtf+i1SMhWTAoZnqyJQylWwOiEVWQaHZ3hgK6cf2Hji1a4CUhKSKrtu4W6la6suB7FGREIk
1TSidU4zpg9izMkQXaesLtxbk/SaTX4hHsKMGQF3RJTcJ2bAWh8mdtNeKTE6+f0ILCO6MT2iJ85j
MjThoJFxiVhCOpUXXJYEE/+0TampppCs6myznCPDJshKYiyR5wIxLCwnvM04L7SrXBd0S1U0xzZp
TjS74C6Bxd9W1eBWlHyQuQBSqpSFnTecxAUslSl6Yn+WeIepckHQIpzu28tJ2PlNl4YYD8sgcTjJ
zU6H6K2b6vyJSAnnBt0ceE1IKiiUdG2JP9Rd0NWAemrrvXJhmeBhVJK85Q7f/1ayzLbMBDInHLGV
SGWySgLPLqquL7eh9CvCnNhyEu/osF8huWDoY5JNfYRaDifPGxIWa9CRXWjWuF2NzAm/6zAoPwPy
JHygx34CbpJPlUzcyTabc3IsfTQ2BlRIQi4mB3gO5wIyp8oghS9pYW0Cy4RjcLU0Jx8bPJZgWg32
FaQ0dvLLQCT9d5J+rW9DD/L6zMX4C73UnPjADBKJh0MchAEUpRaV9s005oovQDbdBmGcKig6hA74
6iRG1sRDn1JYTw6p4in1CpNoUn72Cpqk+1R4ku83IDz5yoqQuiC2ygU5HJXVxoepT+wbvzb0oz+H
/p0TL0JoFRo4nHzK5/s5NAbaEF3Cl5dIlILI1Mom39eEiZ17yhrb8yZpw5uor0IwnX0+k0LilcYm
hGeCAEOOHJdLnjXGrRRpFQmec018Axp1SnG5GbKPbprHIG/se4Vp9p6sjCWsixQ/xEBeI0YOfkP/
o1Tl+FPi2AfeQo0S13oWATOoUrxgs+Aj2gq/qB7o6Zvfpc+72zaW3dAI70fMbb02+EMwYlqgbZIH
dOmClxmwkFfAvyx3EjdS5xX5K3G1WMenqrwfqsK9rYMwI/SM6u2qbs3kmzfhTWJ8oy7b1E3YEGgX
+vqmlGQsr4g+De7qSut4U4TG9CtPnSaFVxZgbe9MdvvkYlLS07njfCIDGOZN72ShsWviDoVnk9FT
X3tkH9yQ88xaPhKpu2rgof6JAkLbV24oAzB37mRZG0erFDUZKHcKrOQxhGd+jTR7a6N/bDCWUyBg
wxIQ29aUohzJ7pHecM7ng+GWP87MQl6kxoTsZOrS7hodbIA3l/hr66nEouFAwYBP7oUcqqsgdvcW
uwY2Po4X0oIPh0eRSRHi/i4CUNzwCtZNban7wnf0Y9c7utiM+H+J9XOGCoC0waQX53PektbpU3Sw
2jb4HfeqefLqqi63GSraPw5QbKrUYsge2tIbv1ehmV172J7LnTHALBqtHFY261PzO6+l8b3vSJQm
IiWeUorVjn1b4EN+ABWQc3AUGarC2upmEAjw95kenAHUJIk8IWQMghu+tVRcTTxpqXmO3I5AoT6F
y7OySCt8wvHXU02NovnCqSr0FOT/eOepbAAnVGwLslWbz0SIsmCz+5hlB/1QF1RuXa9JHx2SDpez
ay5Aqzu1662JgEzEGhtX8dSQxAtRnCQBZorRrxD72pS6VtpxKjSg7gTDAw1s/jMdoNF6ShGb5LhM
12tJmoa/nac8v50iMyNsty3YKtectKNNHwzsoc0Onw1ZqMyr53AjsntLU7/osHojgDRD/Zncq+Fz
11nZtKpxtWw79pYQlmYJg1a22ZJ+UKT9L5Ko6O5DJ2LzVwQ/wsiiFshOL75H9gjZUFbq3CH1ZFdJ
APErzHxyWAWF50vYgc7wlQDbHNbhEMfXmet631sqEH9KAAkHC6Zqt6Wy3LZruALGejlbbq0QxpjT
OWvplTD/OZFBdgDRRJ3Nv2ztKYfVHqb9o6WoGe00q+Q5qTL6l21Gqd4iR5HFhYpLJpm5iOfPtdua
FwEoiCtjMHFJG0Y6/1qiLJMVJdrmWzCPEO+6we1XIxS0H14yTuRM1JpuSKTsmCSRPkVIQ4U5WNno
xulOe3PzA8MvvtFey/EPSBuTv0ZA6sPYJ/CmE5PNBNZP0/up2p4Pj++uLtcjU+S8gVFZPCojSuc1
Wb2yRwMehoRPVgPoMsTo3J5bdleZEc45Y5TNxAqMlJOyoXZVTdGpqGC4NTn76b7Ofrlmpb+YdD1p
BPdT9jkym/zBaqlnbAT4hmajiQOd2HzFSIlHv1kwMKo1aYckkf8JbHxjr1TJTngVprn36IUhslaD
SHZewCyqO+Bt5c+A/VO5ot6xlClIyPg9y3p80JNXfwNAkPNlqvA3dUqmOJ8GW7HpPVVfLkGvTxmd
OzS1ReaPKwUR4ywWfVxhk8qjBwDlnblGUQ+GAVMMOc6z3xYMPtRLm8B0U7GztdETl+MMiGtzd5Dl
tqygL65yUG7OuiuV+jUFVjuvdellv2bKHXyrg4b6mJQxzBDHDQlLqiEu8imRzvmEP3u0+H19caVT
W5j4hhOWqBmwZ4chVkQFuToRygwj4eFsY+XhLiVhsl8ZTmzxzTlWfzNUJCxtklYIvn7SaG914WUP
s1nixuUj8n+OXU2ApMtGuKOtpUEV4gg1ryfML9+VtWzKWM66JV8ZteJqQOPWWMTrElb6BZA5el6X
Q1q19MiAqlTd8s1KRS1vK0Tnz1vYoESLjN2AKa6gjsA9+5FN2AgPscUx0JEI4CWNJVcSuqkDLHOC
EuEDLY5gGBMacgBJaDVrV3EcuWL2x57zcbPzDc9I0xOGSECp214cR8c2q4Duli0wpG1LOInYeGJ8
c3N1rUR83qgHR8R7a2p3dHS3hXI3gQc8DfFmJy4oyH0SVr6p1CdJ2Q8BKBLebmf3Z/ghVrUazzL3
ajaSEx3t4+6sxky+yIzoWTqLdPWon24kTg2Mhdj4CabkTiLDv0hcCIsfP5a3V/HomCM1RFTFqfbY
aB8zN9LUJyrEqozyKibz/i7I0mL/l1dxUBii9sHGrujYyUV99EKGQGpX07dTkW2BLYnVUNKnrFz6
EH9/Faw0sAMEsk193JKnt9BzYMwB8Pt0sNgCoYtYW61pnlJVHOs30EfRXzJtzlAYynhNr2+nHTwv
8K2a2+kLJPckCqxnsr3WjGT1t6OAS3mMBCkEJSQwZK8v1acpZS+DJxdadvVg0PD8lObB/NdXkSZv
SAlpwYOAefb6KpXb9sLrAA7NReV/QzWiPyltGLuP38+xoEFT13B4aFTfbYty2vJYX4yCuNHKErMd
Y3RK58/mUPdXlKT0GZQwa+sihf9LPc/z9RYxHXJEU0n7WHbQUqxjtx1vCXKhUjTFHGBQvp2YWN69
K4SV/J9oX1AAv76rjvY+Uh8FXauFxJlYhFsqm8OLMhp5KBG+nhjli5Dlpc6GgScEN4XSmIGB7+n1
9SYMM7ZOJHDsZXUblYIi5HCM4/hIL8O4xg0VnLjF4/HOJb1lXJiEhpINt9jkXr24CIhVRxt3UxSR
T0pbtqRENzaU2jw/cXdvL8U4RGBrsllxHeUcyWqMZp4cZyRN1LAgCquqROUR0Cgf+/TUi1se1OsH
aWG5Y27FHYCb7/hSLGHO1HK78JBDKrBh7TqbuhIclT8e9u9dB4o4VqdlQOIcfP300kkSZANCdpMM
Uh5szeayGLV1YiJ/OywkFkeM/azhCIf00SdcTg0yCARFG/pM8o7FXS8B04udKQyTxy7NaY7JbjRP
DI23NwcikSkKybxAs/4sy3r5TadkGAwTlcrcKcodlTpxVtlluPvbR4hWDtk4fAnWRM85eoRRzIZD
EyO8Cd26P7cjhQJyqP92vnhWri1ToPSY05lyX78oe0xCK/ViXIQsMlR1AFancT2eWAuP5wuugszQ
wXDKCEdte7SuRy0H6K4t5capYYzj8Be7yFtwMTKwN5kZVSd03++8IY+nhpdAwfXRx8pee6jsgZq3
3IhUdDuIJP2dJmHj98dv6O3wU6yjyP5wvSz7rOVXvBgHc4Hqmzq3pIDvWNeEsst9Z1fNZz/Xxs2c
0HCEj8cR4eOrvp0tFokqU4VGK80Ef/QssXp5S8CTZC4U88oDhb0Cp423sS+nfy71v56aF54aRKIv
nv8bU81D3R2noD//H/+aamz5P9hpgEZpbFZYPJav9F9Tje1CHWFOYp+JcRpzAMPjX1ONIQGIYK5k
4bQ0y6itGFr/Oq0Nqf6H/wcW1H/+6P+HqwbTLcMSQzcr9bJ7A7nweowWTtsrNRjWds5y8zvNKnrM
c1B9bs2RmJoXT+bmn2XkJdVh+Vv/XVz+vZZg18Edw4/wlpH74nuYTJPqfJXIrc41BzPfiW56S7s7
ift63wVGd58sQAe7DucT38Tr7/3fK3NNXAq4kZiWX1/ZHSVpBFYkt0lATllhZ0vWizxxkdcf3r8X
kdzf4unB23e0I8iQHsqk4CKR7d43iNdyv79Co/nxQ3w+fbx5ii8uc/TGRF80U+lxGfaK0acuD9zV
UNXGZ/ggCSAnv+n2LKVqolQAFxp/79donm7RQQUnMuCfJapvf4lib7yUUZhIXz/VIRVD6A68z2Ft
ruWmWRdXYK32/dreC/4p6NfuxJqy5Bou5ca9JcBjnf0kOfCcjNKzU2rnd98xRJ7//Jrl378YXXmO
TkcZqUSSGRSbyrYv8fGqv3zHmACgOmmMYUQXYNNYpvwXF1FqGga/y+XWsUp7Z1hp+qkEO74K0eac
2Lwc3492ON94qBHR7lPiWMByry4lAchS8EcnEdm4dxKLN9q2+sRwwnnM33n5FrkOZ13cqExUQBqP
hfdmZxBGGHOdpB5jH4rNFM4Hq+imBn5A6Od71XdhuKf6pH5KC6AHO2pflo9AaT2wpJqKdn+GFpzS
ETZ5SsijG/rlntj5MblN+qoKCD/hLHJtpwgl1pFclGQ1IaIoclQjbESjlm4u6jQiHJJKfQpPPy+d
4raTMUnFappMmDxxn6RrDRbCvcomnsxZnJQ2Aodi+uQusRaefRlbhNiskD9QXTKSSq8bLxjFjuZ8
rzYktE8PemgLh3ZWRTFjVEabHqLln/syiYDZhPVYxvfSykvyc4aqhdlfVWAsCeTwvvhV56MNll3g
7TsY0QQfTnZPNi4N2vgpy2dFIOtQiu9z1voG315poiH3bdFCMyuNL65wHbTWHpmvNb2TeN+C7MOz
lLmgUlH4htaaCrHaN4Yu8tUYh8DWS5GJnRwbtNeEp8pvYyiGaEObvD0bszTrDsFsGFfprAukHkXr
/kK3VIprLw06EAEt2AaOCJSH+TUiIgGvM42rSAm32oNYJWdncFL3l2fG0P722hvdi8CYuF9PT42/
M6RbmdtkbNMfMpaEedVZP08ogkdUVQnJLPOqrKt8S05fDrPGD8SNVVvR0hmd3Jsqb/KbdpD6lj6i
89PmGynww7fpndcjjaaIBhNzFSWyjAgad+Ye0ebU/AGAh2TQtiPEnguNAiSHCofPCdvGEev5MNvk
nGp6WpDnawz3pZU+LcdQxM+ir76zB24RzIdWSEayAQiPVVQ9GcS4fQoUQX0rPlgUv2gUJ03JKwjI
PGiD9Dvlw1QsrS8DYC2E2j/UmSa04pH/FARlc0PAAQqaIaIFu6ZA318PUHm/EqTOBBuUQXAdIeEN
UYEn7m1DoW2Gh9H0SKwjo78fSfz7NTRlVBImNsDJayqjRoLsGOHXuQJcxAaX3jhEKDBbKyXq9FOL
npfjHSWIyw6kDkniTtPfWp1M61UhpwG7gAS7R8uju6+thG5CYJnNg5sm3lndOVgHrFRTvhyo17Au
mLAEoylTydqIevN2ghiCGCmuSx/wN62o1TwbkuRRBvq1ZdQRQoFUGwfTSCGqICCA9dEkQv5iN92b
FxRRzSuD5MJHq5SV2DPM3Ouh6mni0CMY4Ebq1Hx0vFwn2PgjXa7ozqs7z+/5Lv1SFX8onjo/WhSV
5OPVRQyNOBXxNYKj6YEhlf4KgxCtBNn00DrCKS4BczFRfooDwWOKkWXc0SOLqMbPvIZ15cFlWbPZ
dq58Gz3qWjqy/Tb1QLrLdmrtTcSIuaNFzrF5Tursdy5DUtLrGLnFupyorvJwzJJ1K68sBxlrnF1Q
YwCA4Sp69wcQEjNFkqKkd0XJU2bEEmukgVM9NNmaTDCQYVGbVrAZ5inp1lZYFo9yoCbOKLX7m1GE
agRY7la/TdPoupUjrSigDS1GGnl5al8iIkAkn4ZkYuw0uLBk11QBEq/B9rDBVyjhFLt32ypWRsmH
cFvGZY6NoMMtewizEpWCVTS2e+43ZV1DGK5ghAPQJDddzRUdckG3+AsRFXA75yDq78NGmeQZNdIM
137Uy2pdAWdAMV/EiMTLIO5vZiO0LGRQIpUrK2+uKe7G5RZmiR6JhyFoc0uHxCaixu+q+GBOEwps
IoxGeVCFXl6Y2ebdJnAUqK6ZuY/RTDjOfY+KB9gOWrBqnZu56ewdFCFMg7UDXA4UwdjvLS/AzAL3
3B/WwVRE2WoIrLDdjm4HHj2rZlYg0DiI2SYyD01ESmWGdSXRetgmEQLtQ0IS5mcF/QW1T5gOd05d
RiQF+TiKLmbKNgNRkNPYsBCEqXvI6ZXPGzru9s2ISKTEOzNKexuayQItzqF5ksrHj99ldmEZFwKV
MY7DuOjnTaWZURF6lg9sMAO1dcO+/0RR0XC2QRKn7tY0eQIEiHL6RfgNmHwFjpxgTbppolojDHWs
S+hvLhn1gQ1vuzBDwJllAUHls0Ny2bBZinhf7bEa9QHxyejdGY6/uA0gwI270DLrcU0qG7IGvi+7
WPPldDP6ytDvz1D+SAMSOaeNlQ1wnDaz18ZXTKsIIt26dM4UCoqDWQbzvdBlBF+99+17MrVVu6p9
K2fTCCBvY3el56zaMbThVwsLUcml6/bDnxJhE2T9jA48yJEQv4k754R+6KhWzXkqvFARgpItWYDc
GwpELE5fiUNJrzEKON/aNi+nS0SMTcFMZpTATGMlLyuJ/pO4Pd0mu9pP1OPz9vl/j6wvjqwfn1jX
YZT+fskFW/7z/zIgWP+hyi7pG//3pEopi9gPuAi41zkqPvMx/3NSFYC/PFdCZrBRB1r8p/89qdrO
/9gCiyW1WZdiHxW4v+E/vK4RIYlksab86TiKgxzev6Ott9SIcpkz5wsR2g3J627hpLdt7ab+g5Vn
i6QqiIufJw5bR0dWE6MCuGcHbvei5HSO4SW+FQozLlL3PPGHTVnsNWXefA53bP8XqBGYu2zjoU7V
94JNmIm4zhjJ+lpA/Am7AHWekOvcld2JXfvxnh3vKiVNCjw476kcHFeW4JzPxA8S6VtoNWyNxA83
DnsQYoYNfaJU9rqItVhHwcMITOFgHXjPavkpL048peFbKEKrdm/YfvE5YJkhBjA+DERgnw/e0K7a
pDpVQD161UC4oYVoGCSc/m1e+FEJK8HRNSeOnR2qhvzS2YRAT32wRoti5eeZpaP9x6/5mVr58gy0
XFCAFeB140FWz33SFzfpoyJi82pxQYQt6AqUs1WsSdiQEsA85VBtkqTy920cetuwrfSFbddEdQl0
BokXVIRLtcOPsjRZPWg3d2tCkt1NGkVgpLoIOYHBNo+ZO0PdY2felfYDZ4XNsDgEdenuS7aI26jp
9ZnyRIYqPam2CucyxqSq2tlWA0JRm+HWSdilTTpjhegze/fxMzg+bnKuVYoq1eJoQBziHX1eRYtI
Jus8uqplaO48os92RIT1f3sVSmFwQiiEIWlWKORfjyZiriXhcjP5mhgG4IP7PdXXrj5xlePPg5Ce
hXBJ9YzGDE2Mo3LPXMNBBeuhdi2i3y+lmxvnKRXf+46+8olT+juXom+OUZh5k4nw2ExuJcixQyIx
dhOi1E3ClQGJtN3WnVV39/Ebeu9SS+YSGGCaZ+IYEFFkk0t1yVTw3wN7W5Efv1FzHrILCL0Tlbo3
g8EDWMLEB/DHERxmjx5gzJa39InJ2MEntyH1lsOmTTnhfHxDx1MLEjaq/nx7DAUWkOfKxMuvrumi
hr5xd9C+sP7kpZjBHqYq+pP6HtPazC7v3mt6dPcfX/doUseLs7TdTcqyuAGpRh7dnWmFJqf73t8D
HSOZ1SEPh2TlZEh21JAiTAS6/h6xGiLtEI3lnbj68eTG7MZiScEXYAoKbPPoQ8syDggI6dIDYkCw
wjOAO2AbTaEH2iuJeYd1MxB/+aRp9NKVB5pMfWchOx3dMaDAOmtR4e/7qogOzLrBt9IZOCrXmi2x
OxfbBex44tM4HkRQ1ml/0ZelGUG17E2TJfPnjP5EcchyFLShaRdXVRFGJ+I1jr+K56vQ9OXUtJTK
nKO1AjtBMPEBFgfOUNkFajfavinepaQZjb/8KrgUhSoGDx8Ey+Kzpf/FeA16W0yjyw05OKs2gxYY
NGaCbD4ene/ckCWWRAlr6Y+CYn09RcYFe/05zMvDkFsFu4tmRtnGcRCAJMpGR52o4r69HGu6zbIH
/W6BIS1v8cVNdW7hjyBIiR8yyfUpbBkCWM6idd4N6T+A3v9HDBXLCx8cOyl8xPTDKBcf3Rm2S7Sg
tjMdTE6Qn4jXrPcmutHzj5/f22HHZw1tgy0nDHaaia9vyAAEEJC+NR1ENhm7dojqg1HlP//6IvbS
gBEedA22o8tH/uKpNS2DzTPi4YAsdN7GQ0GzMo7C7s/Hl3kzV/C0TPZB0NOExe776IkV7jhWSqTY
lRiT17ga/UuOfNUVZYt5TQb59PTx9ZaG+Mt9EG8IjhuMPot1GmDf8cdkp+RoTsV4cDD43KK6N7ZC
klsdZ1m1qbwh2bQlXiDI0c5ZK6PixKt7ZyzCWqIYzbrADv9YDJMwX2qs68OBEAmDxNKIkLwhRL+d
VlhRPr7Vd4aJZsgvEgQI/+Ybec9kZmmOsPpAZnSCLyj1rLWHO+tvu0I8UlrAiG0osDP6j2VeBNDK
OJbedBgnlf/gierm4OYNfqKCixVnH9/Vm+4QuzieHgWFZVVFEXM0YpqoayMtCW5BXyxJaE+dyr0h
p7j4kgeGQaBxnjXfYwihnwffde/yupDuFuH2gKuuo9F/YnY+AnfxzSNrQutjmUgVAHcdayFgd8Yq
pg55CHgOPaZcaMF7gwZgurPmUNWbqp2QFEbA8qsN07spEGc41E5VbJV6n/hjm+8Q9xgjqSZznG7C
uDW+iCCabqwxl/Hm4+f35gNYVFgs0PRDWaXfPL4RPxHMh3k6oPrTv3LfMId1aMElCWvLvhisIN55
mdtcdXrQW8uchhOz8fGWaHlc1K8XWhxvzzk+2GmKWTZMj+kwSSxIVk6gtRh6QvqgXnzDTxhd5tz7
iUHz5rPjopytye60TdrO3tGYmbu5RapPnGwUxf0jsbcp9ISkKXziCPLmlK7u3ast4HG2fw4InOXf
v5g6yyEZ6x6n8QHubH+mY9TAEDNo11iUs04Mv/cep4uuhJ0Wnx6inNfX4rP3h67l40tbA9YJRy6m
aUIpDl4RDdtCW9hbiNc41SU8Ipb9M+qZWQTrN21CIY/2eKGQISrncTrMBcalaqYVu7eoaN7IyB3w
6Jr5IZ36XVnq5KsZDOW1GikZ5kQ2yLBGkj/20ZXg2JKujZT6+omN2ZtVhffNNtB1qWdQ2jh+KqRB
GoTVx+ZhUjTYyOabPqe03wdQKG19Ic301MnlvdeAtUjbYO14Ffrocfg6jlxzyMyDnTop9u3cu6LM
VzyUqgq2XS3VnpA544TS8d2LMhFSfkIQw37j6N3D7jFoq80HkhxTB+W/guvRW9W9FdXhXUjxGzta
WYDz+XgKeWd8U7yQ0lr2+EuI7evrkmfPoaqNzEM0eIAfEnp+xjb1e/eXw8v9+vHF3rlJyZ6U7jvo
YnYKRwu2MXo+5gM9HcLENBhFLTkndkR+Jyr1fMvv6Gi5dM3fbuSWdYwd4wJLFt6blrHTyyKVS+at
qUo8o7VQVbU2h1gH249v780i/XwhZuPlQQIVO3qHbhhKmVLzO+B66TYcqJJDOp5kvr53FTIwgC9y
FmUHfLSZw+apRwz6Ar09aYwbGz+3uRF6SS/8+HaeIxRf7a+4nyXNACmni678+MvLndQzSAwVh6o2
zXE711NXbUpPIV6WwfL4hFNmn5s2oEE9zG1U0GO1mmBthLUO1+2QmnpllnYSHSI3og3x8c977zmw
Q9coAthp8cm8Hrm+5+dlBDaExFO39DZFjCV156iQzPSPL/TeJ/LyQkevlbMqaCJ0AAcb42qwmvPK
AIMzVumdqCt5Svzz5rjPFKdYrh2WczZhxx9kVbVdMSQ5s49haDok0vhK2oJ11oxjdk+Umb6Oaovc
9UzK6MQTfWc7AaARb5+FCtBE7fX6idLvTUDXMxdMMGw/2+4Ma6uuvPGOdQGTd9p65mVg+NM5EsJy
PfUp2b8fP+p33inHO+4dKTbnlOODikbIQeBRYx6AVKUFdvSmGc6jrim9v8LcPi95jGzOn4sAewFJ
v77VfEpnErlbfYD/rjZpWo6bZmqzv1+6OKGwQ2JthTF4zExuZDe0EOT1gSRkpwaDQEts0w9R9sRE
FALDmX317eMn+M5ghTeNLZkvQ9HiOLoxKynCEi+bRuM9EFkQ6GYr0aSccwT0T5x/3lmYCfti+LNT
XkR/R8OFnZEr0lYoytBt+5glQX4jPd/oNx5AQKhOhQb58vHdoSfixRzNSRxiqfKxPCOHPT5jUvu2
M3OOnUNPvCRp2yObANI+2urWMANFsKtZy3zvYtOM91Hn0WFORst+agOamjvEB07MwKU9vSXaPPmC
A5rAcVp4HG1ws5HJ1aZ16G77WLZfSHWvu3UUAZrdBD3d9bWZz/59YYn0qzCIFzHDsam+Sdr08uAl
YrzOHD2Ua0hNtrPpqSc5ewzePv5SUogkyiFDDRch7XMXs0lNEpfXTzpe224mftV13/5h31cVl/hE
jGadDlbypTJCPINe1mriGdOmuLOJIAQCBHEHQUvT6H5bWK16IsthmNaR6bew1nLBIxkmw/vWeZkm
sEuNCe5q9D/ubmRADmujj8d64Rn617Rl+uIuRohF6Lfs6VYblL7snYwrvAmKs5egi+0uLrVcjY+i
JXHpOo66+qofbMzeTmjXj3HJvnidUmL60UAKdM9g+A0T1lF7+tL2ZfcZ0yyCCwmO5bOMYuP3hJv3
KeSsVe+JJp9vHS8tsdeNcUnEo28ROugnHKjY/Y62vE1xuQabfrL82xq+G3w5FTh3PoQ2Ek7ywH8C
njfqVR/75afW9Ht94J76h6LrbP8akCKTtu3EZgWNqc7QIAra/Mi9rMW3PBg1yoU8exyIx5N7CYLx
YRxskWz9auh+EUE6BYeOv5GsMtHgV7Z9035yAzFwP1WZ5xdh1po5fMKRQAB8DnQiHNWR10haZPx/
ODuzHblxJQ2/0AjQvtzmqqwql9ey230juLtt7RK1L08/Hz0XU6kUUijj9GkMjgdmUiSDwYh/CU5N
HqJbECMAlX1U56Hs8BCvNJ0yLg7gezcz1OCi5Ame1a2uDuC0jD5t8A+PdD+tRameR90rgz0u3Y1x
CKsBVqgkhP5b4uzp0Z/XBmefOnWfP7hozP1A3Gr8l8xtvkxOipRMoek1sEq9qpGghw/8T+iq5T8m
XFwN1aIuU/cIFCjFsZxclIFD1Qbp2mT1R8HtzeXdqfwM9ll4dNV2oDEP2QxNNxUu4mHI0FM7htxN
v/6nT+n2N/BouLUa+VdPFB2RQIjFlvLzyvX4G6Eu+VQUDkz556/eY3i2epUSNKZvDgYApFrNqhTc
1xj9VYfjgEexVRd+raDtATexBa60EYBkPryMP1QtpDwtDVbAldfjW2UtJk0LTT/X5wrnoWmWSEdU
iD7UWlQ9zkMhPoUIufwCEjLkO3uOtY9ln4Gmu/9D1uIgphiSVQi3jGTw+nfkhhIUEGh1v+VXPtd0
LA55lkUbo8jZLGdLsOVD8zykjbP42uMESLg0ct3XUepDUoH8gJvfxbZ23qncoNkelJfzTwQGr/x1
f4JrtwvXM30xg0Yut+j1BM2uDGWqoPsY9VbodsbWdAYDNH+yhOucpRDV/fFup2rTsP9Ng+G1CYnu
erxABIWioXrkz0EOnC3qFTXeIyYkukclnS17pzTWDIhlVja5e7d7GhMyamBwSaBA3PRzaTppcaUg
ISOmMPGOZesY/4S4VSb7SkX1BMFwp+iOnU6Q3+lR5G29PVfKcBRuadXJRwtvs+XDpZ0i28T2Lr/Y
MRqBfg/DGcRTXJQVcmbk2ceWJx3akgrASJ8+gFBOvVkbOReR2r6YcMi2qLO3acxv+DsuHZhYU+5c
rEaqYOE+ZnF6qeqGPrTX1N7jBPz2oa9j98f9lb/daYxFUEH5WoVfgPH1VUgRoYXOhCr1dVy0AyIj
To+4PHbvInPwTpbbRxvvidudxpsFyACfnMo1LKXr8fo+Nl2o+q7vxkl6Hi0g8bY15+8MfJXPMdhF
vMqMZuMkr3xQWSB04NSi3Xvz9EZWBGwGHA6fKyR7JqNodvD05mPYqerG/G5Dk0MRmfSTtgkuFcvG
CZomttNaQJRLS+gnBcDaQ5tMW13zlVVzaM6grM1hlRXQ66+oBTOPBdGBZkGzjrssUD430dAf40Ed
OKVatFFF+E3yu46FZPL00+gNclSoxl8PmKBiMYy82qgN6yiDAcsk/FHPMKrHcaiMjzh0DfZlaFNw
lgP+12gLIRL9vhlq5wMQwtLAmXaktZggh/MlQDQ3PGiNkWfvkANFgCIw4hk5QmG1H4Ej9sGzU0wm
yhaT9zKH5GSn+5t+ZT8ABOC1R+sOwP6ymx1POjmu1Qb+qOqjBg4kqKKjZNUBQwzh0b19+8HXB+KA
VBKUluVLSEGIUkCwD3xRdcgjukWRK0eqxvUXM8tL5c3PSOA4siGJNj8M0WVboZokhjTSAr/NG/Lc
sLe/d3Zeb2CNVvY5o5hcFaDhHe6q6w3h1YyQZRN0WsDRZEWpkXQv6ohywcZAK/eDi4wA3VXuCRkQ
rwdKHbOvQGYGPjrbqGiRt+ukoQgY1Q2WeIAf7eGIS030FE8zjoxv3yiyHMDzlW0Pjfh68Ix6sdI3
egDAuo2/8PJv9b/SxEAQBFy4+PL2wSgNgsLjDQtgbFGNDBs3HLyxV3ylbpUd+FtP+llW6qXXcFO5
P9ZKAGHjU9+lz0uWcQO7GeciNbVJ8UOkrA9Z37aoierDqa2nfyaOx0ZUXIn6NCtA5lFJo+G7jIqW
2rYY9GqKT2s8eq+rQFXt2c6emjQrYJD0yqXWcntj58jFWcQsBuXUIjxgsH8Wi9f2CDJzdyu+LpAc
3IU5clL7tNIapHnsZgSHlw82fphxMfxQ9AAdpqaZzDeXtjHqBlMBaAbNAKqw1zsI1Uc7t+xO8Slc
5poflQHAsD60huFkZP2EwJqH5PTeDab68/0lXjuhCIaY/1dNAjtzPTJHMeq7Jlf8rJrtxzyZlX3I
u3pjfmujSGI9/S/SVUqm16Og7T1btVuysukUOTv0JBXjUHRe42wMtLZjEcYgQQOcQINiMR0bBZzU
CiKm41BNSjw8WL24/88MqbnWaHj9wcnnWFgyK6L3vByu9eIkE4brgYhBiBMNpIb2U2vvpqT/g8NB
D132XoGlsVUWW8S1qknVuyzwO8TevD0iqN1HNUI495DmXa7vClMwvaTyvLcHAeIpTkLkvljG3ASB
kq3fzsyxC9rWpyyb7WZttl+ynkIRxdbieH9Hrly7fEvuW4ceAZIFi70CshwWE69aP9PgCOmBlhym
yIWNOKH1dn+olW1Jk4UwqoKBpsi5OPu08gtDy7CfFYkVP6OYFT10dr9lRLk2IVIwOudAF9n7iwkh
Fa8NJd1pP0yz8dFtkhajGi386YXWlrDEbw7hIppxN3hAvglpSFkuZqRnotaGLPH8BLuGi0mh5zRO
Os6/tWqHezXAeyFrgwIhtA6UXoO+krA991ttzOE5yBR3o/65ci1jCEoGACyOm3lZas2osOT1KO//
RkD3S5G3P5cd6gYhBb19rITZMa5tMj4utOpwf3HXPjv6yBxKeV5uWsUx8DGnyxmbXgsMh8EegUO5
hQkq14ZI2m/spdXheKMSdgjgN49xiNACGqlFtqhggxfZcPAObInhwyAmXLbuz20lzOERRVbPv+Gs
LtOdAXd2pNNY5tkBSq2No4K7ALpTAeCLXZOp3sZ4C0M62QwgM6UzCEhZ5z/LXNhW+iErrNbzm2xu
513e6oakSkXmfJzQ7FNOdonw/SNl/iY94zLdl9h1wA2nMDtO2fn+7H8/tpe7nFY3UgjsKi6VxYlK
ENozE9cM/CYZchPXW7puD3WZl9H7uqyp+0ZZ4gYYvyr9eFCyNH3s82T8aU9291ckXJxRqi6DTueO
MSLEKPzm+VltO+dhoqo17Dp0N4Pj/d+8tmIyu/BkZUx2Jq9vQAyRw1FF39P3krr+iTJ5/F1N0/I7
eLlsOhRJb+kb+//27PEUo1MuHxU8aZehwOGcY1qTu4AC5qE6m02vfQ+soFIPoCuy9giBsU4PgHLM
z3PTeFtSZLexFQ0QWmTSc1O+cxf3VYf0pzcHqUteZdTeHhHSxDmlIwC/jftpfSATsCMwG4LNYqAI
5G/Xhq7jV2HonhX09C5da44bJ+D2eDMdbgkAaxRb2HPX69egHGmnZcMoaZSdtBkGcl6D1QaXuKWd
sjohKd7mSTgiwMfroaKp7OD3MlQWAKLx4Af4Qsdq8v6GXJ0QaQSFQ6o6ZGXXowCyVbGQth0fH6Di
0HjQ1+peNS6OgqPRHwzFU5pipCYBSYsVkpov8SgGeg6Eir1bqNNReBEm2xMG8n8ylBRHQ7QBRPdi
mWBfO1xGquPP0fhNAywEEHtozm4qho2r7fZAS4SVA9/PAP5Bwnn9/WILlOFsw+JD+ai9xFrhntQ8
Hfajh8ZzCk76zQGEOUlTXmCAwMmWtZUgkjx2GhZ+UdrqQ6kGKaTeuTkWBh5hmj1shfyV+bHbDQ6V
i9wc8NHr+RVSO1pPWsKHk6gfOlrdH3m3Vc1TkPfWv2oApXHjJbayI+FAAN4EsCdZSou1C4e2TjtF
uH6kdGiy4jW7o4PvHCYxiY3YuDYUC0dyQKqp3cC5nLZswY8Zrj8Xs/sQWW1zoBc1otFZ9BtDrZxm
qoYcZJkCyRTw+jumXmXYLZeOb/RUadu6SQ9jrQwb+35ttV6N8vv+ftXzwR4WHO/UuD5HA/Clp080
H6f+C95zrT/mtv0Hu5FNT0XcIbST9FzPaiB9m2grs1al1EstSu/jZI/TDssJhDtxgH97jcWlvAIQ
3GNjUE5aBEXFRZk6VErXd/ogPDqN151sAHm02zCxvB9D5IpcZxdSP5N6H3c1VWBvMVRnId+Y5wXf
slb1fSvokKFnQ2cnn9M9ngqqL3A/2iGihs092qz/3R9+JYdnfOAJVEEA19Fvuf62bTmnkYFosT84
iSl8DADSn141d2irxa6T7XPdbsoPU4W8/tmtdQdpiNFoPue23jwISmS0vRE2zze+yko6QSwA4QnP
RaoNLuNBPSVdPRoOdSdrEqgdlNo7DKqcH11XNVLpUkdu1TX67pdWWfSi738Uc2VN6HJBdKHEBpNw
sd9yCY2uPBJeu1ZwTURSZA/RU7ncH2UtLLC58KOExwM+ZBHTUes2x1ih7YC+8fRcd0VyTPrJPbij
+Pf+SCsJtaTPIuP5m7HEe2GxyBypmQKP64O9QH6ioFe61+hz2PsR0fLvJooiJSYT4XBRVR7bnjZI
5ds36q/KvJ6fwVUpsdw8KG6yNCNGqracPB+h8fQZPj5K7VPxZmi+HIXLBAQ2Cli8CK8nW9tmChFf
8/ygSBAUkdURUNiTi+XF/c8qv9ri6EpgOhQLugyy3HQ9UJSHEuARBj4kgzI4ZI1ioBKf1enXDFXs
+GHATOedoaEjv7E/V+Kvzuue2cHjvO18TDUQgKLM2J9Zqj0hoKE/jKi/vzPDut0XmM+c7090df9I
vCHQPsk+W74nnFInR0w1qiSm0X9P3UC8s5sIXxCD3kE0BOPRislRobt65yZN8tOgtVsdyLVJ0z5g
/0DgNlHiuv7ao9nOcyOFdrraSr+PSdl4Z9uRYgSiwBT7yP8wpxsXz8oRJQWH0E7DnXt1efFQ9hiM
3OOic1un29dzFO+M0hOnpJ7KPxiKsSjdyDBMlnw9PcOauqKzIu44EBUvWeyZPxuCs7XD6gPRmfsL
uhJewar+/2AyAL66wFUVQW9r4hVj435hopdep9+7OWsuI/AxTEfmUPsA6sR1dmi8Z6N/f/SV8Krz
3GBbguqmxb6IRjq9R9ObFNfHXbh8js10eIIpoG+kzGtrxxtKBhopkbxcOzUlnxDdRHidrPpoGnG4
HyfbPEZY5Gx8zrUJUSmlhQxQ9JY1g373POOm4PoB0rWXNJjjg1ugtv72zwYEU76uZSP3BhTQJnDs
itT2oyyPznOal4c5rja9hdfOmWwLkhbjK0z5/HpvUMAexWzntl9WmYBrpzWfJiwxEf3Hjko1Uxu1
pglBL32MD40IVByQVOcJFBtNS7NTDqoyaDvHqernHPu2XYBxzMbKrsVd6oT0fXl5oQ6x+IWInbO0
iONQ3dCR4C/zbKcdjmoRqcdR6sbf/+yrwe/1cIvDApcyj9UwtH3R99qPoDWN/ziqfX7qynrAhbg2
Uz8RUfkFooApHgDP9ObRC/Ad2mg3rO1o2EUEM9kkJiu6XpnS1HEytHvbV4ak/QuvjngPkCx8n1pF
tBGN1nY0ujpQ+ajCkQIvPjErj5+LOznQOhVjD6pkPoQR4Mv7n3Ztq1Ho9yhUUYC/SbOBUQ8xDsvE
PBS1LlHj6gcD1BhljrL4UJl9tPEBVzaOwQbAIZ6HhHZTIIb0JlrhBTZp/dw9Bj1yDPWcK898AQx8
LKsAPtb8QWCn9W2QWlPSoUa2aKHqqReErsKgRpsFu7QQ+mEYFMvXOyveAFGvfE84CABnZO+Ew7vc
qRhGI6cRsWrYl+xtzcQnRJThGeNfxLvCsj3cX7+VDXk1nvzzV9cIAmZz0ieJ44c2ptN1rOvPTtmM
vBBQdfqDoaTSILUjvuVy74vRyTqAv7afC+yLQ7C3iIYpw0tpb0ner31ELnvJzgUlTnZ+PSm09psK
YFd4GcoYIax4qI5147aP8+AmOK1Z+kZyJU/tIos0gK/AukT+QdJJr8fr41wxZqMNL0btONmlDfri
JSk0rUSUzxj+du3Ry45UhNxwR5tff2zTPrnc/7grp53SBugMqfBPbFlcyG00qty/bnjpBIajluDx
xx1UbZz2laSD0AUbGYEQiQVZ7BZLz+KsqoyQJKMVT+iE9O+wl3XeObVtP4WYgngHvlAbIoTuhZ/u
z1BbHVwS8IGgIIfpyFV/tVVb3vO5MhbRJcLGoyITAABONyh3zaeuGcA6a1VJfXAUvCZRi2mi4MHK
ejqdGINhJ4tQmXmuR9ucT1LvAYk7N3G6M2p/boqjnKhRYtAkZNoZzGqLQrD22y04NXw7+d9lP7sD
zm4IywMYQRkXnUBdcU4BopofsnhuHzwVsJKbNurRmXJ34x5YO+FcAnSaJLDrppsYOGWQue2Iml+O
mhji0Po5yK0RF6Zx2NiEa+cA+I5UYiCLun1jcOhUhDDjC5KCqXeuQHzMeyDXWfs3gqH6325vaN9H
xQSBEkem+5RqvIA2+LNr00UnCvFd/n3b6TLwrqzNGHctVxvjo4efxhEH3H8bNE03QufKVQRqgKeM
LpvcyMxc78cEGzfVnGKANZ7obNxxQ2hScYfXKkbFgCN3vY1n6TEG855snMOVAEe9hwcU1Q0JAVsM
rQ/URY2+UXyD+jUmRL2bVLu6L3nzl/zZp8aMumrjZlr5sCZBVUJaJU1kWesYcZQSXpIqPhjpl6xq
ixc1y19yLPI2VnDtu/I1SQDBEiEFsAhlmWN1iqaXgZ9l9YjZnILD5AyX86EanF7a9Lr4+45OmW+9
yddmCJuRZwDLSedhcW1Mqtbi9jHQfM7ayD3gN4S4IFy+BLHisZ43UuCVkABWkNUzpDvBjcKOgwU5
VwntZkRn9fDstQ50VLzE3NYvE6suUfZy7Z+Rk4WfCyVspo0ttDo8FW3cU+gN3BTPU1ziOa5uAEBD
V140LwdOHzoNxmwNacb41MHkLX08G8v6Us1Dr3y9H85XYoVUwKF6T8+dM7QonSFzVGpTnUQX3IGd
/j+IHW30ULL/+sOsDzAwBOaKOD07KXpcHRQEgXhhI/6gsC/h/rSrbdSPb6B4AOGqKRXAmZSxCR8z
t8MQLuvgLDlhvnGAVjjhLtrUxH8SZmljJPffqwusLJBnnRV0VevKVsJ3njBC9YR8SVRQQzPMS+mU
AgIizoJoI0S2mjffvDxMsALWw8w5VfjJJmcHvuSDNSpK9zgoyvQ8dvR3Nrbm2kFgZQhtVBVvXylW
PgisR0MFNPWAUGwn0vBvpe9rcx+kNXpJ93fCWjBjE9J6JpiyGItjl6cBGlopAMUIl0VfsSqMsk03
mo1LaIjwR8z5mU73h1zJlrgRAYvrvD2pCS1CDDkOegfSiNmctPzUCKc8zYOtH++P8tu0YpEXkqjY
Hl5FRLObPmbqzvFYuhYZS91G+X9ViPbnY2NpU7yr9TnF3tLQQ+9haj1cnDvVmZULFncWNBvAW8kl
1I0s+VaZZpSgdGrg7BEUffeMSixuLK3RC5Sz5wTXuAK+9/SgJ46oP8W81u2fCllYuxtygQnhDAVi
S6dlhd4Aw5NDA0qXbvDN8R1MDVsLVYsvOBkb3kWzZ2ekjADUZVdN+IK/6xJVoJUcoKiy7+aGL5xb
ZqOf0ElGMd1L4eDd/9pra0qtiLOMeCXPtMXpsjWlUQfDji+aE4gL1sViH2XA+e6PsnI0yGvAJ4NZ
p5e1LFxUle72te3Gl9yxkge8DKsPaTsLJE8L7fv9oVYnBLyBf2wCxvI6mvOkjmvcvC96GI7nEeDF
XoMHufHZVm5b+XdzzKHLkCEu4nCmVqlK1TK+tB24bsVBfnk31IAJSgFxTZh6+y7UInH+k7nxEdHR
4v25fAtmc28UVcsB1EMtxMx8MhUcWCs32/iGK7cc2E7JLUB1AkqD/PNXITdA5ry0wyy5pGHEk4g5
UqSMHd1ARzgtgvHsBW4snqn69y+oriRvB0Tz3mGC0v0F2alloAmrWYxmil6LOdU8yzzd3Fd5JZ6L
Wg38om0j//53XYmlTBWtIUgiFEeWjRM0H0JBJTW65JhtnWZgwXi94qoTT9H0TR2TbmP3rIwnjaIo
ZWKuhHbYYveA6nIgIeCEnKeNOGZRgktiEhdnlJtGX62KP7iZUH6FV+yCL71t6znGEGa0LsLL1KN7
PLeZOGEUrp/gsW6RU1ZOOkNxA+LRIrXrFtcSoTsZoioNL40dewDlbP2xUoV2EeiJXe6v2upQlGvZ
qhKIsnxJoKaqZaXO67AfoL3OSZM9BlXoPmApNmxQblaOO5qb1ASl7iBN2cXNN5daPvRdGl3mCY/W
x74JjBrLkNwyDjgFQnWeoiTB7C5v5+jb/VmuoPDosoEroylLznezOTUrrXSL7vSlnNF6OgMigVE6
ul75XxO1+mOK+H6J90wVGAea5hMKumDf7JNjx1G2t5Oum/aKIcxvfSPJ4FXXOU+dzf9wtK0EfX+c
CaOv93/y2sIAscd8jUMl4WnX4SOFmwSqpff8obLCfQhxz6cKlD3w8tmSFlyrUYMeQCdLtvBv2UOK
CRyCpq4nYcz6c1xXJolwORx7PSzxRY+i45A34xFPgvhQ1ZG6r9p4S1V4JVyifkLXnNSPG2EZrprG
HepErWXfVfS/ynLsH9DIMA8BYqb7yYyHT66V/wySqt/YGyt3Ha896hNgRnnyLdvKc2SVaOXS8E37
oPWRBrE/OOOwpTqyhpQgY8Ho10SQ+pYyNU6iM0acyMBgmWkB218xg8MUt1100nOj/g4MJvnW5kr/
zWp7/h/MJCp4a0ZlWZ6UOUrts9PO3paP20oQpWgHF15DT4fvL59Kry6pTMuaiM49WNm6Tt/FTjj/
spHARxIJi2MxBeKv+7t6ZZWBofGhWWH0nG/wgoMTIv1Cr2uo6bt49i9Hi99Htf2uCu1vtWb8KAvg
KvfHXIk7knjqcA+DCb557TYDpIA6HQEgh0b5vQlyDLVdhASxhKZMO4v/1NQ2N2Ldyunl6PKw4OBK
St7iu9pGHrWkvpAtvOQ7laZ23yA8haDOXB/uz07+TYtEn1RQgrlpbtMqWFyDdm3ZCEWbNLZjLDn2
Sqsju9TYCQZvVcVp2+GyZfVYzGsVJs1zE+y9vFbeDocjD+frsqS0z5bBqqwzpY8rCgqawOFw56Sq
/dw4VgAxyG6r8u2JMM1nXjaMCddrmQhbzQik1aRYMsRdBhKlDL/WVpTg7tNvefWtreProWTweHU+
ejxUwjHvAz9ukuJcdcp3QyTDadLS4XR/HddOIgUdyHKIH8FxXNyOOSIVehJ0cGbyUbkIPVKf5prg
4E4lXs9jY57vj7c6M3Ju9qaEuS7TNWEYFNOyKvANNUUED4FntTvqTZv/NLRZ30Jorp1B3kYSmU+P
+6Z3FhdqpTatDdfDtpoQP4c4T56xurLSgz5NggJLomvRDhWMeKslvTZR0nDAyQR52Y68XkLPGO0h
Qj7Fn92kP0ql/+eizPEMK83q+PZvSgWPtrIDyOsGk6WMsT25EbynqgznU0efdd+YoeprnbtVAV6b
FfhgKiTgQkErLY59G/WqAKDu+Gk5ZB9yVQs5e5Oz72dRbTE41kIMiRNtQdluvcm0B8cr0lmlMSjM
zvlQoZhw6QJT/Qg0H9EArR2adzyzmgvE0uH7QGtm6329dmuApbSk8LFM4ha5UGimyjzkFg/DKAjU
i14FRYdv1WD/VLMw+FWhad0cwiEzvpEtZFt4vrVP7f3WraCwzy9YbiB6eLQdPMd38il/3+b2eBJu
gysAGPJvb99AlB+B8cBxBIErf8qrcOOUVRRbNHz9suuDEy5B2Lz0cfqgNvofYLThUlK/ZyDWdBmy
DX3ibaUwVOO585OwDSRrALntoyoZd31ab23YlU3Ex5NgGnBgt82R0EqKLp5d15fo3wbslzW/VKAY
aypRZfh9slJur7pA3IlHRPkw6U388/7HXUn0ACVwJRNlJfNpcWSmsK1nowQ4hHues6+bNjv06Ocf
74+ysltg/NGnBGEB3WnZbjNcZBD1CLh2N7rOaajMCBaBPp6TOt0yW/2dmi7uftJ2tMGgD6xIT0S5
25VW53l+36lp71sDnmbFrqW38Q+iYYP3TRNZgBcELlH1z1Bprad5NONnTWCh93U2UQU6mr1whucB
4aTxNLTVlH1Vht6pL2k7ORrKUmWYv8u1KP+MBVWLfmldz89233TKfhrqdH7qhaZ+pgHc1kcF6fDu
jLPW9J+XCHQ24qDRjZM+TNWhAxNa7IepjeJLmWEhIMvOGppSUIyjh2kIdrWXeX9pzjCNHxHm85q9
bsSm5hdxk33W5gbPigbSeH/QG6/81ZhdBshZNKLdJ3mho3Fnx+0Ppaz0AJW0jq3kVk30yU7dadwJ
OzWLS9b2VU+fwRQYVRYebhlql7QAkHD4HY5aLqx55wrXfE68KUm/oZFnqBt7Y+WOh9vHY5tTwAZc
Hu+p7uekk2eOqpayH4ZEXBQjQZGrsOZLrxf22xMlxpNAJ9SVblVCYlLQwBqgp2I47Hws8fd4aAXA
q171Ns7W2q4nBkKhAqeLuoH881eBq+1ReEFpNrxElpmWJwdn0HCvpaHbnPQ4wX/p/iFbSSe4+aR9
A7Qtmq3Lo1wBduDtrPgdwKAT12P4xcJUa5cg33xITCzEqRwPG4OuzpG/VYrJgm1anuzKrnGEUWHf
F/3QXFi84BkxL/s9ROf2eH9+a8ES/jkCuWhC0ahbXHiNM+L12dT0JQCs9HSE9JCihVXHNqo9deIe
jAyL732cqeYDdCtU4ZLIMSr//q9YmzC4I9lyhXJ8c+9DTc8hSlAtFNEQvoCWxf99rt2vuaI3Gzv1
9yW6DGXsUmrnIGbBJi9mnMe1Y7Soa/s1ieD0ufOK8m/6oY7YiSw2o1OWzcN06vSgyB5nXC+fwpYG
2i7pUvuvFD3+5zwTXnsxMkspDqi32XRvLRBNUJAUM/kYh3gC7uPRcrDnjLr6pcrwS9wPTYuVm9Wm
Sr4v6I38ALuRfCVVLZQTZGztAZ+jLNoNCJw81mEQ/wHbTIrNe9KqAljmch+P1OQUzdYVVG/ylzQ1
vLOYbCSYVbzs7q/lyuUnNTgYB6ltrmB5oq4OaKJ7CDZwYtI2Q90+J/aW+F/eH2WtkkSpmVYjjRmi
wfJpVgphenVusoyxOT5VpYEshiW1vD2NT5wUpvmPgIt/HO30r6GPYgSLtJ/3f8NKkOUnUEUCtLui
FqN1FDILT+GYogbgK2aaDbsyFvMRoJB20tJiy4p45ZgQ9ijwc9mbEn19/Wmb2U6HrEF5JAXeLn2X
s73pKfG5U7h7789tdRXJgQl7v+tki1NSzaORWJ2h+BaGPz7qXpM/eLW1AXRcG4WHtQR0SVXVZVEo
xooyEkOg+E1oTti0AIzXWzC89+eyulckSA4hVUrqN2/C0lViF4+/8KIGtXPxoMT6xWiY73ubyrfl
jfMvetaqvTN7z34ycmuODiDA7I/3f8bKVYKgCn7n/CNrGIurZPSGHHehmLJ+Okb+BMt033d1ciQ1
RfnZG7szbcMt3cG1QSVWCfgB2HLYGNdbpqIzlZvhQJc7CtFeV5XgwdCa4l2GnCjmCUX1Se+qdqPC
sHKpoBrDBiUQSFOPRQiomyq2xxFhkzCKxVcNldRj2FaAFGcjPoxKnT+OENX30cjNqRV/wsCQeBNM
sXjg3FZtVDSqpDYb55Im57uiFcVB88TPwKXSKEm3bz4q1DUAd4BDh4l30/5KtFYTut4EfjQ7+hfH
mCJJd502AEM3L1PJgpACLhLozD/yKL0Kq5NetVVLV8P3RON+rPtavO88vTl0Wec8V7nhQMITgBLB
L735ocHQkEqkliPlZHL666GxSwsS/Bw6f+yjTt3NdlT93QTzPGEFbAVbFPnb0yqlw3l805KiXUtb
4nq4cHLNGZItbjA9eTSiBKWSIQmazOH73hkr+6AJCqF4lop0gm8oMn2X6UNBTm1ZSbKBZ1n57DyQ
PXqWnB4p1HP9Y5KktdUwKXrmXqBxmwLcz48hX+NbUnXuX65adeYpbAxnoKlk8Zi4HzNWhqeiLC8Y
0iNu00UY7ubI6Ac6/D5pi7HH/FrmaLPd7Io07p+aAlSnyDLnQe/yb28fGaKzfFlyl980Kzwckyiy
1AMXQFCjUSKyR7Uwq3Fn5sVw1ubQfazrqjsArQ4u94f+7ZZylaKh9wS2kYSbFhHpymIHoFCGB4hn
DX4yO/1DWrdmepiKQD/ofTSfR61RnkTSGd+9qevpGsXNKVGNYFfZzSx7mPUONbzo3y4otlR/bqKp
FKLiwudfIIdsQ2YErw5haUCMjhK997tBsb+6BRJYhZidMxyE+UvtRcZLZ2bDy/3PcZNmUHyzKGbA
OOfhw4V8PWilUMgFjd/5Q9Kh26wEXnKZ1Cn5MprFYBxrFH6LjRvz5l6W9T4TgTM6NpLPv9z16Lnr
SSh63yt491p6PB1VyuDH+xNbHQXsEGIYXBY3ULHGabW4xKLdBznu/WPgrfvcYm6/cRmtjcIbjVsI
vIDskSw+n5m5RR1TtKgH1zo3/VhiyeNtdQrWRqFh76igZJGPWMLemknge4kas1+IEr/tIrH3k1s7
G+HgFpHEwgDLkZIRdPcoW19PRlRUKmy0BnxzcNxzp5dhfSgCW/uQGQ7/p5MM1BkogFjPc1yWH/D5
LN0DOakBMzhrzeFwfwVvtibsDXAkyKmT0NBRkOHr9Xlw4PA7WjVLcYJU3xkFVReU0NUy2tkeNtI0
vsfpv/tj3nxpOSblNZzjoHneNNlaUUZ9AwDMV0hPP3Rm2zznOENv7M3VmUGWhQnDvc6FdD0zLCgt
C73VmRQG2d7SxL4x6eLqE+1b/azFkbdF5b+J9PTDOWr01UjSyJoWpzwcEQNn1Sd/zszk6AFne3KK
Ovk8GpHYjVronHWtrPywjcO3dhDlyPQS+A93DLXk66naMc0gUCCqryiVOJm5EX80J3oJtqe0W16Y
8u+6iuxyLO4zVk+CYpePQ9eAq9kKZfaBNpvHOvCmp7a2o89DbeZbbMfbRILBUL2DZ0TySwYj1/jV
7hzpECI7hzXOkCnVN2PQo0fyUTc+5UPde7veRINs1zZW++8Qeuaz23vj+yShIriRQ9zuWNmglV1T
0LcaLZvr3+GGreixPZl9vdKLD5A12hNIMLSi33owNGSNeOHrsFY1mCvXw/R5W1qJw5ZlgwXJLqxQ
vth7Wjhuvb3X5vN6oMXtkGp6rlSZMftarpiPSd1XxzzN3oy6orn1apTfuNNXq4e/KPlhMs0+ZONm
FxX9/FGYyb+BPvcHhPDHjdB6c7XL4fDPkpwfySqVk341XD0j9RghE+GjhzUfSwxTLrFpjuchmatd
ITWAhpyi8B8s2atBF1+yKCbNms1+9l1r1M4oD+UPYTXoG/vv9tDhV07Bi/9KmSb8ya+mlmKtY9oz
5wCP6+lDpE/VsXUSXJmhOmwMdbs1SNiR6ICKiYzMjRi6oiRR25i94RdKGh3MCASP2TVb1LfbCclR
5JGm4gzHeBGxZMUSzCGmAThVV3t9yob9YIzic9xRfb+/Qrf3AIAVNgYMAqCjN0/ZxNSzII1Vw5+g
Tu9cXJ2P09y4xzbP48MAGvfb/fFut6G0wCTxlpwJGE369VqR/6D530XYBHhZf8ZMrPq7LBO0e0MR
xsckw4Z7B5RV3SjErH1R2SdAEZDVo750PWwJRdhBJ8L0AXJGB5B6/T7TaJaXiqFu7Pm1L0otRsIp
+KxAsK6HKnjJVSo2ZX6VpdUlarv0Jazs+WnGRuWnN1Gy3YiL8hBd3zlgzUiauA24eW7kli3Ec2MR
wf4csET7gTa8Uz1A9oaQYIi8RBEZjwLrnNU53nxU+i+FqZf/3l/Vlc8r+7lkSaQTZLqLmyjQhyYT
cYEAV4Cbbuc5GD+mgXZ03eTNOmn0RDgdbFqyw9vG7jRFdKlCaPFzaURnSHH2YebbHO9PaGURocZw
KACoUktf4kahgFp5TxglW6kcWnMWUhrC6g4QR8UZgw8cTe8PuAgsdGK52NAuIccE+UMB5HrXOKAA
CjpM2YXKivtkBchVt2a09b5bGQUKNDcLCBIAxsvXflZ3WJg2WQZfJy2esaCsD3PpbpE8F2dczkXH
Oo8yjg7P86Y555hVmgqgnxdTK7pd1qXaEVGLf5xem8XOnNCe2YUgITa+4OIY/B71fzk7r962sXUN
/yIC7OWWpGTLceI4idNuiEwyYVmFvf768zBXY1nHQjawMRuYDLLEVb/yFgAxJHXUkOnjnkW04zBY
sCw6eZq9Un/CIKe/mzJMW9EdruoorkW704jHEtQ4kjvOexHST/tffgOsaPbmzmE4h14ajrsuPKry
hHpz+MFzCLhwuQriNs+qxC+37q1hRG3sr5X6Kt2ueXp9E12aeOB5tPNIpsk39z//zxvfSFq/U93V
J9rMKFyus/MtC/w2Jj4bEtuw9VvIYdx6fz2qA6Ue+QD69KjwnG3dbe6WPlrb+rRBNnvMB9O+af2l
/9ybS/i2asS/JRiMr6+PeWEjs7/o2Ac0uV5Wb6xay2HrJn2K6tZ5aGujjQvDlLevj3JhSwE/4AG2
qdWAuD+r06DUBECuNfQJ5d3we9hWlTjM7SyaWyIb1K6Unesae6W88mNRR8ibNH3WlY+v/4p9/v5z
v+8bGxwbpX0ifdpY562teQij0fJkfdJZ1n/N3OnnqlcvNsrR/vT6SJdm9Q/okAiRi/z8lSysZsOt
UNWnNsuGYyRz77g5i7h5fZSL38Md9+epoLS8z/p/dmnRl0Xndps+9RWpJy3ILq6dLCBTMf4S7vRn
6nD2oKQA0Wd3w34+VO95daUxIToFwWJ/nh0JI3Q0OLtvEQPeI2C7nvxTXhVVk1KI9NTfHw1KM1Qy
wOcGlOvP7iR0YkDSlkNz2kZhpP04rSc8GcfDXLsqRb+biGcZnCuxzoVVBIQUOCZV9F3H/2x+56rO
MRWb6tOcm87RycY6jpb5mh3jhVWEFUMPZO/jg587+zQHYX5y/UyfCku6sSib5qZxbFToDGM6vL5h
zqtC+zIyFgURl6R6X87nyygktXvT4LT3bdEtN06XtX2MEY56L2e88I4NwPP73O+mNZ3QwxH3Now9
49CtQTvj0hvpa2KBl6YYbR5M46HH2S/kHRdV5ONmrXz8tOifrT0PkOHxC72Ss10chvcThBWFtxe6
puPSi5Z4pz6Jtu8e81kEJwxojfT16T2rzPyZXf56EIl7H+SFrHRbSrtbolafvCkSTqwpZvqpo8bK
Og55Md+5a4HSdDUZ1U1tIwF5ZXUvfGTkkg5QD4eCxIZ9vrgRRnO50W/didaH88nw6vnOikb7ylRe
2kPoLxOQ7+ITlEnPhqHTMJOXqO6UG675FBld9tB0ZnBjdFafNMKlqImFXzJN23DEvDFKbLG0nzxD
iSsp5IWDQ48WwjQ9S4t05OxOKpexs4ci706gQPS7yff0F8pELSqK+XTlpr00tWBOyFZBEvC//af8
56atmnJbrMpvTyM9rcOkIc+xh/6yBbuDlQjGdx0oSCdEfmc3AXTnzCBTFicz0Ki3SnYaXzNHE2eU
59M8Uorv3+d2Nv+lr/CfkYl0dmwCJOAXYHmpCYWqFmIg9cr8gzPA+4aeOl4hUr+YRb4P8BAPCMVY
4sqzBcuibtChJSo4ZMEYa2iPsV7ba2f95Qbdh6FbAPvVIUE936BK5iURalae8qnljK8KEkLsdSpq
3k1CzdmTXQybeTfPdu8cJ3MqAbMrTxuH1sWzNYwR5Kjs0+tXw7lcy58Z3tuiOyGXBOU8tssa3dtB
0Vcn3azOwrtlEj6ubq7ojS5suIOpsvXUdPUWxEVYRT8dot8shh9mVm+yotwbWYMQsdlhDBovvtN/
s1bISUfM5IpPfdcIjSCSKK8xVV4cMiYTFQgw6BBGCTHO1swdJ13g4yROqMAsbypfl6ellthkShVd
eW4vDkVwAZoaCZEX95cR0SRW0SZOsJHE7dYXdrzUIrgtN/n0+mpcGmm3oif5Baj6gm+bqxoIWz5U
HDTlx4PTDSeZLQ7CCtI4vD7UuanXn4WH7koatxeiuDWfXx0TisU5BmLiRKxp/6pd+mRQ15zoyYDR
tWJ5LNX3ljX4XlWmqO58WLdhbOWj+Q2SWyeTthtdh962MMa3XjN5j4McPOMQyDKok8UO9T9mlrlW
PPWL87kOMYWNbalAm865s177mosT96cyD7ro5d1vtyD5abhXp2DGoAwMcRW3ZtcmE42VKxHfpcuC
FB6xbgjfnOWzUAWrzUKDW65ObokB8Dau5T3Qrb/s+f1ZHZ5scG67Rxklo+erAyB3iGQQVCe/isK0
KpA9qsvVT1/fBJe+hZPP2wzQ5aV7ASa6G8X8sTx5avVS7OacI7zDv7Rj2b+FGxzsxw523Vk7z7+l
hK9S1HhZnmZh5++XEFVuzx/V31/ijEIcCaAclP55k3k1/Fk7Y84o5tod4CGJIzrxzpUo48JGow9C
BWwXbSdiPbt2OiOqqf4J7gLdrsEhyEWP8uIShjr2G8x7jq8v0IvIjanb2SQ7sZUY6vx9F6pAgnHY
qhPwkPV2nEINiUTCyovwK/6yWAWi4Gbl/DBldS2z2nfYs6R0H5rE2/tz7b1QS+uLwN8LKtWpjjon
7Zy8NWA+WZtzu2Ck+9YqlvmzBur2G/Xi4Fdrer9e//RL4++SzR6JOQzv8xPgZ57QuovEadKqXo9E
fWEHe1iO4cmPhMgxD2y7xx743XjgxsLswNlCUV8JsPb1PJ8FxGcBLSAo+DJ0lkiEOriviFNhTurG
WXouYhfo1ofBqvTHQlSlfde6/bUS84Vt5lCqJf0gkmSXnW0zBNFn1G89bElnz1mTLNStF5dUv8He
QmP4+weOJJKLZi8pkbefx3dO0AeFp/WpbmfTji0suj+0YZv/WpzVvxbSXZjRZ4PZz28D4Wat53UZ
Gfso1BsjrPIUnX4z7qsnozK/1plXXzlEZ6Xe/f5BHoBWC0q4XKnnh2gsh7mNGlecPBSjp1jIav7U
a9SGscIuzXBXUlLL29d37zmH+c+gNPe9vdFPceAc6Vr3yHlOON2fVNhuj+i850iPLestWne4Wft6
Pk74N6dL5VvYatZTUuVtdyB+7P7pV32N/nJp0nkYwaXjogYk6qzOxe4pl94OCSy8ig82p/FuicLm
fsyLKs3Im4CLC1yOX5+EC8/LflESVlOyReX27BFDx0lo36jFCXP27XGoAYC1phH+8/ool5aXTgwU
wl0gxT+P3pHowdp9IJDZitA4aiyyjygStB870AcfBH7tVx7NS2eTM8Kx5Lxw1M+eM38gPO8jg7l0
qDdP21IfvHzEosZX18T5Lw9FXE4dlEfnvElhLv6CcYYSJ7+zvdhrl38a19qSNfKuGaxcXCpoL4AE
6bC+uAKqvjQMCWj/VIyVvjcDY77LqK1dKbdeeM52RVGi6J1V9kJYOTK7fgxmEi23Utv0oLM+X+Il
Krf2UKLK3+HCnDt2GmVLG9zpoi5+v75VzrW99lOJbgc3AYJIxFbnWcPm9kHQb4TyQoeIOYIcN29z
A62Bk7F1Yv7qWGUgv+i2xtY5pKg+x6Wxoj4fD1FQP61l5btp1VRdn2xe5eqDxknTP0ZNZF3zHbuw
IPzSCHIAb8BL/hM4Y+0UHWen78lqhCzVG4obV47OpUHYx7SF6WUyzNlWnjKX6i/o6lNJ+/6GxEbE
3rY2V+ohFw7onluyicGvUys9e8xQENLTLgt68uYu+GBla/nQe0v5Y21C+dQSq1+zC7g04K6VRL3g
T8fy7D0LQDQahZryk1HXbTqUaGkOS76+DY3tm0Pz+/D6rvoTWp4FCUTq9EZBuu4Z/lnlqcmw65jr
qTgNqq0fHX8r3BgqX+Gl9Lz1R2vOpvptmJk+XEE6nrfzuE2U9915vfPXzfaOzijCKtV7y+1HVSlH
gQuoijX1BzU5sbmKPEuGSi9uMi62BZbYcor84EelI6hqhw51GDg+RqxVZRlJ3eUCAd1dgucoTVUf
o6Ayurs2C50h7hZZOamqgo6u9RzVwbGzlrr8+zuSgjgBBe8f+eX5jNS2dkNorGjIrO56mEMMlCDb
OGk29OuVoS4tNl1VYnGO9V6geh5PSP5oprwKP2CJ1lOmbf1pGGr5He6imZTCsP+X3UUtEyEQNKN4
2M+2cwavwlU5pq6zNQZpXjvvcssl38SJ7W7bjGvSh5fOKA1Pav1cXrsr1fPv25QwR8A7eMiaZp+W
jpenDeY8V27mCy8NOGmkqPYO9cvutIkOed5GvnFr2YMJtau13vSq6z8gCCI+vn5cLn3Qf4faF/Q/
NUsIYqgzh8go9djVJa4h1E1QI0b1P4wC04CiAJAJRJSej+L721JMO2Mml10XC+riN3TxrnmAXnjQ
aBoCOkT6bWcyn12gsiwWiY9DfsoCB0MQYRkH6ODlEVqtfaf8rrjJQ2mmueTOe/37Lm376A8qz4Wz
gTbo8+8bzcGGd8QJG5e1THqO/E09SSuOBJ87T8pLXh/vQgRJ6RKzyF1LhGD6bNdHQHDJQwMky9zV
eHR7KzwKyn/HNcdhDg0VCXF2vQYIvDjobvZAV4j/O69RDTRbZeWFxWm27Owg5m1Kxq7wTkjSBOlU
e8NtRE31StR64Sgg74QZJnpwcFSjff/+Z38Gvd9mhtGjdxNq610j/IFkNxg/G1PkHF+f1ItDwaMC
ncszzxF/PhSGjf4USt5fXZbhcfQzGStD5e/Cdvr1P4xEjgeEnAfYOyc0VTpSnmpQZAu9th0Tq8RA
gQZbrb4pbDGvYY/Pgat7nAXBhwCPs8cb/EI/YMmLZhBFceqHcbx3Q0McA+zunTgMc/9jP6Pmd/DU
tqnEzXr3u1s77X27KXWtPfv//JC9+cVhobV4tm3zpg3aWqJGXlqtkxZWK24w/hqPs91gZTpFBjlg
OzEVVh0mqGZxK2Vjd3h98i+c1f124I2CPUcSZj9fZlg9evYW9Nh7MSKlVgW/lGP3SDoJj8KKH/wP
G9ih6UdlFyA/lb3nw8l6du2s3q3k9/peWi9jCT1xKP4ZwEdfE6a8cJuzm+hzUUWmYH3e1FjqDZeX
ujFuSzXPCcy87m4Vpnl6fQYvHZQdvLirs4ILPn8EV9X6oych/y5N2U+pB17rdhXQuuJpKJ1vrw92
cbnIg9Df2cXOzttdxWz6dW3DOCygb3mJHmpWLrPoglS1lc4becGVFbs0IhQEBLcodLkvjLQaN1h4
W+Cww0RAJz901QiMocqzd9Lw1yH1pArMKxf6pYWjMEILfweFvoCgto1BoibH/FSVFcdQuREkAf/a
KJducMIy4goqDy/r2BncIlp7hOKdNkaAGD7mwTcdhLUjKvPDm4EuBL7jTuHdvL6GFzbM3mpGXxPG
H2Sns6gwmikuFdpkW3qVdVcUdXkQzhzEGbCBK4tnXVg9fwcu7K0oWM3+/uf/eTBQ/d7WqJrK01Tk
yryxVTa0qdIy25JxtjvjczZ7rX90lK3KW+17RptkugcZY28Z0BizMsOPZljQR82FU9+KUU1PUvWV
f6y8zDOvBA6XZua/v/bsRuyMtZJDr9AWATiSuuuEeN082DGWmn/pbb+/Aru/EbcQzzfP3NlQsq/o
39Gjpv6zTZ/MZauTWtM6doy+fajHxk37YRivrPy+smfJ2E6SIoIEW022f5b8Ib3ctXVHzBDoqHoc
ZmuNfcMqkhEn7ST0pZGigeF+Y3nMdBoj9fj6xru0Gegic3lQa9yfweebYaoLf5irvDj5tnZ0mneS
xmnoDcq+yReMOeLVDMZrOdCFMJT0ABAUgS5ZyXkerxAkA4iJm0Jk2OUba6z7ozfPIt4MabGJKLFa
WAACFSz+knrzZ4kJzoiS6LlQJD/73CVvKmGDwTwZTeY/1IHZ0PArrMSuuuDKwl6aWUg3aB7uYDza
Is9nNlh9sHpq74VU2R7St451o3xh3/gNlcvcbLcrJ+XSrMKlICsCfgAp5WzAalSVA0KwOhX5lH+Z
e9EAuGqrQ+dZa3BX9mNUx1yZ0ZHs3VBXBv/zt5/tY9xKCbTJ+QC7npeqvNHK6Gq3zOxYVCPEUcNt
UwmPo7hzED3pDnlVT/Q7p7xInYGUly5IYdpx54T6wSj6+SnvDGCxIrd7/QDltPOSJreyu8AZB/GY
ZeXwGHVh9xZNXvxQmyZstmMXerW+ciIuPDTQTaExcUNio3i+OZeuaF2kSItT21TLAyajVh6PWFAd
Xz94l4aJ6JmQn9AwelFlgvYkUCCUxUlPxnofjogqaTe4JgJ64fZEOhbJDLYgWsrn8aTfe9voz746
NR6sl9SBgYIuttGAkHMpC39//ZvsC1swRIMLgA/NUxBUZ8/YhMlTI/ZmSeb0YX7M+maZYhBa9sdS
ufOY+EWj85htOtg3q702VYw+ZwTDul9W+V3ZXrUd+Y5Spmu1jr8cNN+2xF3sTt4GdcBfsCgDBfox
CrP+pt7y5XGGmjE/uGaRzx8H389F4mr8PJKxzXLjDkXblhdrGuUbNx/1I8ymrb2ykBemGCYfIjpA
7yiynO8XhFDUGIyOIlrWakuydppvnNwtmtNY8c8rYdA5VXu/wfBIBfwD4wc+6vlwm9TDhLsfU1xO
VpigcyWtZFRmp2LtyXxMCntQ3wfME5t7E+q4edPkRjXHfh5QYAJX2oexMXXWSH3eQZdx3lTTpq/v
g0tTAiMOXD8xPUIYZ7esNi21LRN4e12FrL/ZjEdjWfvYk/IvtS7/TAekUWCf8MhAfJ8NNbh1UeDo
Ik8IpVpHxNCGn5nKdDLam/7991+FejRcj727Sn/o+YWe793tBgmYkznU4XEVjp8O6JwkvtCfXh/p
0jHifQIgR3kWSd2zYsmciVFsvZInqjHfpSrDQ4T6ZGwimvLoRvOUYOUi0tlqqiupxIVL6Y/7z+4g
CwjuPBjJBi83lcds1vXQHJx1Dd6ugL/+vn+7q8JQlUHoC9WQs1tC9q7UfdezPbBru92E0RyKBb8v
Y7SuKbvvIdvZq8RQ1CN5mYAonYd05WBmyjIrPijMi7tCzTrpfDKyclwtHiCjSGRj1k+vL9+F7R+B
gGCHAEd4iXfOht0AZYI6U65dDxiqz95UFoZtdVBeAZFc2Cg7zxADJWKMlzo7Q2lHHbexOM2LMW2n
yEau967gMm2S1llgd2xVvSzvJqCm/sc8D+3s2nV0IcrZuzFcyjwwL2EPw9opM69NCDymW/7MDGr2
eEkX1SfLl7KN+8BXnxDrolKL9F/lfzDWBqJNR8Trx6Pnlg/2gIf3zYQiwxswXhjLNnOeu7HMoNce
Xl+XC5uBpIfGJC8izODzolIZuNNYCbppDSHZjbIXP65Nsd3WnrMlUhHfZ+UyXSF7X1wiQJpkk9SX
6DI8vzXCpp7NLJjEaQyk882Kavm01nomL3eLm6ofxL1ifnneTO/0+udeKiYRYXCKeY7JmM+Hpnq0
aswgxckO1gIbbwUVO4apslWJRIq9TXlppERQpG50Mk3CcrC5Cx0o2lNrfHj9x1w6E1AAdug4wSGN
yufTMGiH3DnwJOqTfhvG5Pf21zJ32926xRyWKyt94R6DJQNJhlrsHv7sv+Y/KS5ZtirqhgcI6F8A
zaFHiBF9ufTvv4l4l2rETl97oUOUE69QOBwZRVrBIyBaJy7MVR9y3sUrH3TpmBGMUtCGhr2XRJ9/
EO6DojUGHwabl4mbXqmgTJylCL4sYi4c+gWjfvrbj4OFC44IPBXBHJHN8xERBYa0H1XqZEvE2+PQ
xd0Q6cVm8OJ6wwr+9dEuFCWIhOl+Ulj2uc7OiSnapQxoZNwj4RSiKj7WFVrSWnniM6biZDKu6sM2
GSAINo9RPRd5nGUR8PG184z1xuchXqkP51N20LNfFQe/dWd9aLU9ZDE2FK371wuCYjHSTHvUAbnt
PLuze3RNNDKfJ+jk3aGMFu/OEw22yKEtHoZo2K6M5zHdzx8yWMJ0J8HoQB16YeYBnq6h7lJXpwzp
4ISwo0uqEFsH7UzB7ZW12N/f87GIPiiQUoyC5nH2PqMchl+aNcgTl8rap8U4Icju77LUMSoS5qea
tP1bJvu2vtmCrhyTFbrGEsNRrXK40m0j4nZQhf8GVPpyJ5c8+gWIqRsRgl1MeAz5POcpVFd/Tqdq
5jW+8vvtl7+fhsgffU1gojRTn2/dYEMDN2gBUJWB1b3PKLf9M2fEdVA97c1Pusxz/yVxjGBBqYgb
SARu9VEJodZ7X0s0kgv4NOWVoOflCUamhv0NMIbC2wutcuZzxGluf6qtuvlklYYfO3MUHSY1WU/N
uHx5fRIuDLdX7rlwibFeas6XhjnPciolzDnykQLV8ndjtQFoinyKOu5WXWPNvHxcObpExQACwgtY
mcrlijeEB/anHMoPcwEmezHNFfK+G2INuo63yJ1XV+Kfl/c8mGYE2bElImClp/58pWED1HDYxHRq
hNketrCXu850cOUh5YjtW+bsSNAyJaklyoE/d9758lWZmZOQ0anPO6c4+rBY8nd6DbxDZK1GEasZ
c/NkLpbgmzXMdX8ovKUPUmQTpjVWoTH9woRF2zstzf86LF7+0GSyUO+8tsdLrbPU1N7DKhn6ZNbL
WtNm7oocSI+d9zfZmiF21ubDMr3vZy39uNzwGU8WkUnch0dTdSjeB9GPzpTGV7f11HvFK5tTxrOz
r2GeF1vsS8KqFNih8XtD2WxN9TbV7yyVDz/WdZHqPtqW5adnTVMFNcKbdOIIeB0Jn1LIGMU9NAMB
jPWf9yNcxAtlUe/YDl6xJlsUrOI9SmXyk6mV+BpUdv3VWraquyls2X8uQuraB6vcti2W3TzjBjRm
QvyLRExRn0ZqQ0YcRrKY48bD0/XjnOkBAxG4kcK9mWef1klkjGvzIy8daoTr2nofDLMO/ynnqPUO
JXH4fGPjzCaQURBDdy8MWqX3CrpUno7eIsWbURmr+QbQuOP8M8moNGLElebtJzeaQG2rlTZwdWvT
WVJGq3yrbN/gxeu6BpknnbUflWdk+QRbZInMX9vSRvrWsNvZeVs5Nb1ZrIAX0+ZqDgwtuxOe2gBT
f9lhMfoJOCy9EO863i86C9p/QwK/3oh1a/tk3L1ybhcqTtOtDCf5q8js8SsNYyIVBZzhaTSR4L5d
JP9BDMpy1mk1rPYSo7AYYBwE5r7BC6+Y2wQAUf471I3jJvAdqy0etZLf6zWfIXerfKZp0YbhB4SN
LQkiTBVfWi9rWihmnfw2oOgqEzvsiclXHrsIjBvAvQPmI6qNQfNYW6w2CVRHdjoCcwVj/leWI7+W
WBZgD+D4+Zqn4NQimVLuXT5na2G9I4wZvgEiGvShaHrRHSaZz13c4XU3xj5y/zIJI6R+k87b+t+c
cS+dgFc8rn2ky7hcB//e0GMI1C6g8ahqS1gJmYhIqqzxx2SKivLR6Dtkfz30lMcYmv/4RlShrDHb
rLvPeSvkm8pz9I2hVfPP6vgqurHFajVpj2+GTCJEiB/Lofar2ND2tCRsf1Fhk4iiS9xtXvCvNTnZ
1w2nvLu6WsrlAKsGbzBtSkemg8k7c1+0rQ25RDTuXUG9uo7NZu7fjCXKZLEI8uzR2szya8QTKpFV
L/OPtciqT6bXbt8Lo+q3xCsLa00qO8t/4oRUGHFpT7JMBCzLPDawIVvTTAQ6vG2sYfns2K3zPmqk
M8ZlnYvPi9i8pyh3xznZ2tV/NyqQpWlRhvPP2jVWOx6nmvplF4Z1AYNrdKD+902FgHegSjMt6mkd
46jeJoN/P0aHKhy7DKeJunpAoDW3+LIyaKt07GuvTZ21L9ef0PY4yn1UekVa0/+Tt8bQuveKltnD
lhVRqmCoo2SC6eQaAzt0t2SYoP+mNc09FSu0+xIl+/mD4fhdn67DbD+4uSP5h6e7VDVbqJJlm70i
UdGov5aik7+xzXWgDevGYnXXPBjYhVq/b1dc7RNvLccvRS77PGmXXG0x/icckKlbBpShPd3+IzxM
r+KMy0ylPQ612XEofP+zb1bz794P5WdHj2I5DP40eEnU+8V7D325/AY8OUSgVbdjnhay80YgWhQC
UwL+yCLKybM+nnPDvnF7ofKjU9NEiqe8794uwjYFN52anzLbpvilXeLmuA4q52dplnlxWDsEo45C
rCGlHbov35xNV0UaUirDrhURuKfeKLIxUaXvfaG+1w2Hysi7OoaXuf026PPuNLYl3OLNMtYvGG/r
LolyQ912Lkl1MrfCQmwCXVaR+uyZKLaMRr+H41Z9BWABBmzqh2mJo8gcvud51mKepGvzB34RwxcJ
1gIJg94W36W3+u0hR9bPj6N5QPcxKBkrqcpy51jANvPiKiub33MJhCjtPL9Sh2lagiBpQ1M+2NAB
Hi1YCUsyLEUxYLpWOJ9hclODNMsxbJ6ywfQHEGmT/rHtABOOo2V0hy3XWCfaAU6DrqUGM8XpbeiS
MCiWzw0sHUJTLGs93J40FtUCbU30UHAxsOKtsxHOpGiLxq+vty04hMYcgMEJDOAL4FQRUXXdZj3V
ZuZlN33d7Iy/wC2ZFHuh4p94QthGggqkpQ7VbNifKQ/ULWKvMwC9sa6dX72Korewj6AbBiscl7hV
9ajxtpTro7NMzb0nij6I3bwD3MQTKR5Wu1uf3FpsT7Vs2asIhfm/w4w47lBvhNPcHcK+WyqB5qvs
8rA9ugu2dXHUjMMKrBI50NiolCvvnXZyT2U+Fj/ymmsBd8SiEMlaTe1T7zqFOFYTJJeJMn99hxTP
1tL+cfvT0vTWD8wHK+wxGv6GEbX3kmt+NPOD7oL5dzNtDpLaEHuoJquea9Ds6+gtJIcsT9dxDW4s
W/dt4mSerxM0P4d/PZ1JL94asyiO1ToEilOWR78hcXdYyHKbGPFW81omChhggZlriRUoPWj1eyz9
aSO2KGpq0bV019gCVjAkVt7lMrZmHT0UeYFoirl6S7JKzK1i12mrr5Mci3/rxp6nNAtUuFLVNvzH
3DFrzr9nuJqOk/QIMFA1BaDEwypa1jl2R90/bKE99slKyPwhM6DDHXvu/tPoL1mULiojOG54iWxq
hesYAqcuUb6Fqser6/tZ98V2a3sDhJOLT926RfKgawCwMW5S4UOD3sCUBkvGnqztYelvBWy1fx1t
6PfC0BjqeMpVc5KHYSOSuYqmJV3FfmvRxVgfl7wu/dvKrsq3SFUhK9lj1weew+um9wIHifVmrSH5
H7klzPchjvALQYG1HupRNdE7UvjqEXsLct/ObQOVam8F6rYaO1yC92blRt5y2RzMEmHKuMlNnh0c
24oAQRxplveGkTd1PHS1bJIZsgXv47Q0HFFu+3/1NlTvkUsj+7fcAs9YXEk2+3Yb9PIrssb8pve1
F3FehuVT7a/1m2J1hk+mqXgGkdyn/6Dbvs3i2uaGTfCTUHOsXJPH3xACmZQwAHfgd7P/TYYVJ8zc
Oucuq1Q48AWUPuOs41JOLDk3+OcZxVTHuV37b8nlyiUOELBtUrdyRvOwidq2k6VouRc7Z/G8FJAO
MCKJOoPNEYnCB0BAOHMEWZGJ2JjXTLP9CuO+R5RCxU3bT/xhOUUPtaRvxzsT4CqczdE830wDPUP6
Z5LAq8I14N/G9sYSZj5BLHBKhVGp7G32SraO4hf+t0uGVHJhfVSqyZ8Mb4y+Br3JI59L7vSxwubp
Zi6KrDt2uGQiTeTbVkeFujFqXGwW32DDa4MWiq/rr1NkTg2VOzHe4vta6Fu5lM4n1Y3SIf+wSidu
OhtMYzR2lj6areEC6PbAaKR0NRA/NGedPbjhbqlcuHSKwSJ5SF2SYUnMOle7mI8FrZoBDTIDGegF
etkYo4Ur/hltvXW32i2MD0qZiBT1ANWfrB0gkngdAmpx5QMfj0FH2LdaGQv9OxRgsR5b5vFjVDat
mYghnL73ppXfF3jJrInoHNnekidbVQKlgpfEINkRhIfKfde5maY3GBbW3bwa1nyjgN31sQzn8RMy
KR6/2vQkRl+rb34XTVXdzX42i0QHiJUmQ9ssX1pAe0NcWL0/YwTsLEtSjN00xMjAZA2O47MoDtZI
IJ5EmswmZataOqGV1P0shDuhVhSVQRXzyhjmW8sACPKG5CCQsY1sGqnUZKsPbVnWfYz0j/0T2rlH
CBJpxKqDtlGHudJsMhejljlG8KN9nwNprGOUB7J/nNEaPm+N6pZ0IfjQzNOeCXRqUV06rWKgcB4u
ooszmpagb9q2/NhXW/QAYYH3f/PXbj72hEluXLVR/nNonewHbU9LJV7YmlPiZ27DsMgIv6vpI/3q
XI8IuzD9DwrBwC7WRife5Y1JA3bV3vIDQyGU4SMLHnTi1k0/pyuR1z+uZ3VfdoUx4zgTj3w1Nmv8
jWqfEnBIx3C/pNU6xILo5YeSE59n9+tEdRkewLuMfsx8tA1Z/iRFW37LRhY9DQHJFnVV0wmyiamd
46pwuYSzxeMHz7OFaIskx1A9JabMGd6CaPDcROhG/sQ8qvvp5hGvhnQReIvbot/KdKgM96s7kpsl
7hLMX0louci4sMBJhlzP9yJXbpmsVjkVKWFes8+PQlJk2OT63Vv8tomx7yG39OzN+Q5RlMjHKKdh
SYUXyQ7+0lR/LbNy/uWNCihHpUidYsApxsP/cXRe25HqWBh+ItYih1ugquxyaLfbods3rA7HIJII
QhI8/Xyem7mYcKZcBdLef2Rij1hft7mvLnoePJNvm7L8zH00ixNF8yvmBeAGxa1o91+DIIQuV8ni
OgUXfHutKEPhtFm6/Y9janEnfbu230cPKZB0hvitwSjenSezZ5gR5JQFdwSgi6lM16G+pNWiupK5
c0LA4u16ugyaeIbcLntQM2dXckR24m9szkPo81oPti/cKv4CjIeaa5xmluU/SnPTLjf7IdgBwf76
09el/XE4oVV5jDSoKzmjq0c7B+IzjlXYltHq9M/ad8VYfj3Ud5IuFQb3OXbnAl+BT6VDmwC0rQr1
nGF6/JHu8bYUqzHWLZCEOFx/Trf966oDT1rmHDLKWXLtzdhms5czWi2vdbqntkhaEihyZ1mc3z2X
xp/KxvKjC+ojy02fbZz9kYzYiGOmLi+0XsrxNzlZ0fbT+r73SSSo1bFLcube33+0rhS/kcnM38lf
Gj6W+PCSi9XerIqMMPg6X+N94sYYxk0WzTEkHP8DcuB8YMNhOe6a8Pe2LeoxEPz/5oJGkH926oae
rfswFTkCbcBVw10dFe5szVPPf/bcCydzLvHg7b+qYcieK63arKwchFe8CfPCzRwC4Of/twjlDbKG
W91WR1M4/RYgB0uPyC+NGcVrx+x7yYY0+zBHHHKOZ2Mbcd4RU59PU5X9R+bP3OUMg8tyypYq7M/k
IqRtEaQNB+pemeGdqdG7N+Snb3k4RR5t7Im3rmfpzulvW7X7R2h8dY28r4w6qlv3fxzXPCupivg/
zIZt5JREMVjnHhDAP7VH6bctOeajIDxW/GE+ysJ8T53xiilDJaAUG4oD8IC5um2mAxxpnd3DXNrM
tED2bsvtER9LkrHQBsOlZTO3NwsdYw6m+MjxTs3arw/oVva9ECoVkotpBoIanZpfv523pc9Xf+y5
zoLdpHfOZNzXrVm2b1i+GYaOcGjuGZpZ1/amr0dUEqumkFr7AHbicALmQpR+fd5M5O+fhsivv7v0
htyMvi+fzbGuDmUW1M7klZdaWZqqSab8SLUZCYhIU1E0zc7bsWGpAC7T/n5Kw6b/c2gv+3AdtbT0
7mUehOx8ZFuu092v8ykFJC+2bQpeAlfLj1ZllpLTJTUG8Hmd3Fv2xs0wsZpFFLTbuV7RACzXeZQS
u1qHE/tGrOfm0XWyfv6KGm+cM8ZE2A58kNFz28TeWPb+RpZuAMC156EXE3jSJlb+i3tNTV+tk4O7
PkvXt6611bOxQVWVkAz+fyt/zWOX+fgJE69Pv1uhLJ9xaL/cyH7yUSHJGvKuZSnL1wpQOw+XrP6t
iHOsi0HOEzdM3aTzaWJr/88PTNqUxIhLrhWlgyOPpgBbqERY/FgFA3fqDECznr0vh91VHbP+5vTt
0KAHVNnTFC8bB7TjHgAbyRKo0gFtHU9HJB0eBhhvL3eHw7/KTcYhH7iKf5Llgpst7fXw3Qm95oF6
EBuD6Fn5nuzbGhZuLOyLaf2a76ve46uzSCe5Ij9OPYilrbaE3NZJfKXH3H5OZLNR+4B+7nMKd2CZ
OnSJsx6QozCvqH77N0VmW/Jddf49k9m+XYYvq1+eCTCewo6T/bYwxn6MWbyRUwMZ/5pRF9ewkK+t
JA9ySz/oretfNN0KXBWWmFR0kCm7WHdI/ZRlsm3YtKXvncLhGGIsVYn7A0LQWW5HxW6dZ5UfP/ZR
FVwJGs78PNX19mHraPjDBOd/BsMOF9DQI0w53RQQ5DNVSdcwsR3ecqlG4d7hIZ0WhNWVtGVq6um3
CLY9hULL6pUQhyxeT+qolzcN1uYzvNfddGIWAFpMtkMQGD0082fvzu4KB1QNf/VSc3z2YLZpaVLp
8OYddnhaO6/5RKHDju3Pm345vNV+28PG/OL5CJ5jSuj+NKCcXW5X1KFEY1bzx0BexENdy9q/HJ2u
f+9MjGmxtDs8YJawjOVH58v32ujx19F57k89etOPhaygn86wLvHFoB/8hl8/+S1EXU3EIu5dW84g
cGN5OJ69oEtDVciQ6f93oAL/tRJi9LMf7WALoo5YXJlU/X/DDs5fkiQV88xtvCRbGnQE57le9xKH
FfF5nV8hKgm5/908I5o5y/ehz5Yicq21l2wBYWFskeoN4tr/3iaZ/LFFjbzzZpF0N2pw3absyAYJ
C8NlYnPVBC4tKD49ifluwvqlcua9hofz23eTNQ7HpjVucJJyif4bnWQHToXy+XmIjcTNphdTCLTd
udMJzsdcp9jYBNVDot682m9mDrU6SC4jEdJpznOJ5Jm/jqiBfXPvOYg43kQlK5jXydOfSAk5Vdy9
oT8Sckk6Z76vL7aPx/xlnxLLvqDYcm6DyZoo3yU8Yj5lnU1zRg/9MeMaGHNsLylYXMssm/ewAmM+
TyKk2ERxwuQDAmwBZbLxYAW13/+3AjCAZ3suYsxlDcZziLbQK0JF6Xq5Nwt2XGwiHI2z07MSHxOp
KnkEULiXEvS0RkrS909bN1NZ3Zghlty5MsuKup2Xq/GJd+MjtrotBwrMH/p5yOKCsib3rbJL/LlC
X/wYa82MoTqezw2l7wJOGMmQ42l1Mvr6+vHdV4SV51Yk4lVvgQ5eKXIJn2ekZNN4TidI73c46/W/
bfYdzvg13WhGvazcddGFPoDpofOzjX1mHpZ7T6DnuCGATw+nXcvqY+PsuGUytMO5ndBQFH2s5L9Q
VC256VWfLuS3xkDPVN1lrM5Sb6/zahpQVs7s5qITtT1kSuEFpwVefzaz+drYWBC/R3s3Pe3CS0aS
DpbAMPy3w4OZPP+p09YVpxmDlshTue6f7RAHd7JJ9pdo8rr3gac0Iul4Nk+7DZbfsp3jtxGiHQRN
xKybY9Burz1ya3mf0JuzsBH1hrVy9hme9eC1QEJaR+wSHKRifpxAVxfvppdpoDtAmGiPAqB9d5fK
Rc2U+EMMWLCs9QlWYEyYctqdyd1FGNydmsWr2Lm8QFwn+v/4t0dq1HIntZ5bLpyvr63TBU8pyCnj
BlKc/wwhQO9btzo/Fz6Ll49k+O/wQquHPZFt/V+ighB6hRU5KFActFcFpjWVzTp94YCcMo8Ey/YS
F5Zv5lNb8XFgNWx8xRoxhme3wSD0r/dwK+ch5Lcida7STDIZAyWJXGz0HA7I0BQZblUsqsfIhq4t
9D5kP0Yz2/nGJ6p3v+iBlNcvcMGdbnzDEneK/MHqUx+M9fvooJMFvliAdKhRbOLCJfa1LZu9OdSd
G9dtdbLBkWTlOMapysU6JaaUSDFSxhI1PuPY2FuI+X1Gip0YvoguW8wPgAi5Fm3Wu+m/xu0jWMG0
WdzrunlHlCfcnk2xTgHjmUqrvuNlYky/QAxRhrBuLA5zPM1DOQ/DvIOfYt04Bd7osgCK2iWNK9sR
eJypi7XeE204Gukmd9y7v1cp4P8YfaU6TmEwuCdKXuybTjaVlSZIFA7mGCorp4nHHN/4+Wa/UDGM
W6l0Ot1xaQ8/9WKCm6zt578dN1hzo1HmdufU7EN7juc5+zbodehKXhYghNZP5oY1I+6yk/Rwi+Zi
ixgQBQD7dP66Hr3b2giZPLQsCn+rPqS8btbBL6maXZZt741jbklnkUXW41Uhde7wPqMxZLLJgcNU
fPGSyVdPeyS24yegh10fDiDw+BQyxjR51Zv6P1x89X7xoO6Gu4HKI1aCrUmGN0kGqX/2ZqIwSkDB
cL5FWtzWZ50sjXwM96myeW2OZLw1wOkLm2hIUzjvBUMwaLTYr0MQrt5Pji02mmzChSByYZYtznvB
Hfxo3V5ET05G8EmQO9lu1QnzaP/CVFXFtz4wfv0tnjWLXZdGu18Orjz+SQEU+Hv7Mm9eFA+a4pV3
Ie4a4XqngCOvPYkav1+hFZXpnLrj4J3ntN7YTXl+oFI9Q4ibIDpY8d+UVXgljSpWd9nX0P1Kb0hq
/7a9s628wRw+ecf6yPe1itU+kr26cbRJt13I6u2D4CGxNhZXtt2hK7BHtADpxjQkh1bc+PFfGUdT
dgHKH+qiT1f4kSaqM32Cm8jemj1z0ALOh/832MPVPvdVvG4naboug1Ud1fpgQk1uQZOFs3vpG9/3
HgiYdbyL0wpIPYc2FXnmnJs/beAsLr3QFbENCi703B+e+TfVLThIV+3WMLxk3qfmH67vgeDm7hwA
YqpXcsbGPu+oXrb3TdTqoJgwJzDcksATFPzRs/5JPM9279GiuPzjIklNAdM0ek9ONadB0aRT5jyF
DGwT4QzHph+zyqRQkrzv5rsnt8U8gE0n4U+PAJDktNo1hFmRu2+u7Z4a9cAz76mCrXIil1PxApSh
xBWfa71G7l8PXnspUwEUfxuYvp9ugXFJE0Bvz6Wh8B+snFNcDjdLpKamjGJh1ou/IR/Kcars/ksP
HLTmQ2dcwBwX6LyYd2nHhzFZOft79ta1NMuIIN2SVTPkPcnPfY4wwr1zPd0CMolg2Qt/CjPFKkQg
6jUDaPt3TDucMlr0VZ1YVKvgXM8VyX8154O+H7OZ5wZK+7ClYtSRP9ovswR3kyAGx252c0pJhXTH
x9yqNjuhAYhtUUmlP/zu0GGRYYQ+ch4wFd/UfdKq89odMVtDRj/9yR/1qIolpKu2XGkk3E8ViXJ+
2ahw3t+7dPBdyMlwi1+idfKSawaXylJIjmEROCMfnKY79brMtsLRQi21LDSmUlusdDkfpei1puxW
7UrZ61eO917aIxTtCReNz58VH/hnGmcx8jEzY/TMP5wLUfLHva3KrF55qC0jzgIe/x+b0/pI6FG9
3yy87G+xIB88p0k8de/dxrrmPGWGSSIyzJcwdA5jXRPXw3Rta8U92DXOEZcoPg7YbpUE014Am87B
lc6i8EfIOovarlUE2uWAk93ImlBtx5vc3XnIKVpMK+iEEaZXZltVnV3thtMrxMPKD6Pbob4DuID1
X4VSYMrwWfGptw3CQ3RmK9R13Xv6Ddi9qc+HrUgXxRkRz+VE1w+67ihV9nHcEuchQk6R3gIfxFPu
TK7w7iKwjlduo0qXClyB8x0M6YfPtwASF3YhhUgJQsOi3wOS8Fd/mADkvKFqziqp4yFvBcvjdToi
IoApAfSeAWLZKPw9w9uyxg6WSH6J9qMJPXmU0hyiKob4mFaa8WQoynZErvNrGgYG3QA2qs2ToB/7
m0WK1f2WdVgmz4MeUvfBJd6OA1uDEEBhQosw5OAECKIT2aotKZWQXf0ptSMmsm1ZcfI0bQ+m6yH0
dR6DCrX59+grgOO9U03TwP1qyNnT1FasuSFC6+jHFAtXl5smT/hfq6p0hhvg2OwZx4FrwGJdnvPZ
Zee6hAsI5ePhe60oHXSuwUlFJlM3Yx2u2zlDDtj82Ba7MD1gghvP1iE4fOr1Lm8M5csvA/HTdwuN
1kvpC3VAIiLrKIPGi8b7JGjldMulNiAstAJERKgVXnARgaasPhDDT+CtKi7EnFYNLTDR9kmeDHKf
sHP1fDfVCxlMGufHv2ny1m8GrusnVnb7f5jEBfdXag/OIMOOT6sQaMBLWmfpTlNbmMylP7VORXQQ
E7Al8xiOCzFBcB5HkgJfiKpBoZ5QPfhfu632uI6cgebkGJEi+uDEI/Z+gqUxvG3+M3ILKd1i6EC7
/5O96dsLBtNuKBZo66T0xyTW5zmElcdFZp1tlnlytB1t366r9fRQkyKuSScGkblH4ir0OW7l/MGT
ykRHVqAASMzckbQMkjwrDsSa9vXVP/Dj9/pY3lkeBv1tibLmHhPxUl+aZdfBWYIJAwroDpp2zQ5v
RFUzBlU5+V1H0bhRKWKeeAEDXGc3TPIIE9qQWycwDwKKPrsIw1lSeCsMYREN1t/p0lpY3jZnFdt5
7ObpotBW1UVAL1Vz78ORDWW1YRC+ScnDQnS7j91e0qy8TYX0d+8oVR3JrYBS4ILmVhcBNHa4OcUe
JfWDpV2I3PTRpAB5Wdc8KhSbCIeaLeIPE95xioWngsuejcuvdlzqR41JGemL4HN75P8O54O16a1p
5vhx53OPRValG8t2LeS7sb3/m8yD7jmM+umjrrwBoYU+wuPpS2iTPniBBmNFqrSSWQPGPRVgUfLI
DYGxH0HnJ9156ak07F30hZfDOuN/nuCNPve2UuOZvsMouvAWqvTkN4nuzyREIIZSct+ni+/Enb3E
KAfWYhV1Ep0x/qzVi95YisslDL8uglG57/zDvOVeMZh6v+mWzaKLlI7nl7IxR3Oe0njNzntLacnz
VmnxGrYh76yQS/WrS7MVpMKGwQe0DnqtlniwH2oHGDzZ2kQfS41VJJ9Z5OCEGU541zmR3lawtaao
mmX+NNT7DqWAA3oE+euQz8QqeSICYEHEkEa6PcOiW14hv6nc3A2kQFckN3ckFLCOQcAHd3xtpM1e
2z2ePlEHh/1DuLsCkfKAw8HXsh+KRDZgaZErJrxrM5/sh4pm2dwg0aLD0GoQ6pct+SInmKi377GZ
9z8empuBUMmU3TR15PwPIq4V95QfctFXcbyGd8Gu1vWnQReZnCv6t8LL0nCwXPdRzuKCMY8S4nkN
NNoY3wxYTSsWmBboyN5uIlE/iODl2XScePoY8Kz9MSisvzsZic3FWBMmw6tIa/RNa4kFKOPETOY1
qEeNjirYxH7T7I6WF0fP9llbA/MDqE/4i4KJz0o/3eGIaqdXwHKNoBNgmlhjEW2Yfb1BsLSZkv+p
+4SVCFRMYlkkP5S9tjkPrH3/SZ1aSKg9gXReah69v91olzoPfHv4oJXazreI+/gSGCCmfKUKZDgH
jfKaMrYq/MUegTQAsGwf3japDDf3prmMKJyFvc7xgEhykCd/bU4bYGv70MlWvDWm67tylpnnnrpk
W+TPZK7GmB8tgC0JaMNVN66nQkOC0OD+UZVBoIPoPjqQThn9Z1XOQWrCLDZ1gyKIaoQkimhNTw2t
O2Xid9E3N2kW86+nbzjMtwAarjDuilO4H51GouRaYnFuwpYM2YxsPVL4gml6Mz6J1ufFLDTlchh1
wYl/7eFHWNVG7mOP53mdB2XwnYrjp9e01XghyZeMM+R5oTpVPKjAuyjqX9u+dpOHOa5qNAm18uqT
bRRYuZs58XV3tglQqEnmHq5m+ZpMCb+MCirfEIbUGMwBUWu3QnkE0TLejj3VL6Ue09qWaNyaBjnJ
BFylp1rRkjuloICeTJy3fRzYmPi6frlOSoHuNmEXg8GH5i2tbqCD0FS6iB04min0rPmVy2Prk+VG
QKL/PlYBTJaAEWvmt7pjwhDN/KK1yPStbaz3X7w2cXVawLm/t8eKmIg7ssFBMSXxFw05bCfs1zHW
EduEJbxh9DIjm4lPWBeq/8gcRIPzFZbzdMT+0F6yanCTK+em7krG7MDnbphmNt/ocNEKsbc355px
Mb1E/PCfLt/XzFyrEnHpEST3v9eFRPycWQPuORfJ6N8A/9dXHPDOdot5NOu+9C7HVMSDZY/3gRrn
ZxmDmuf+mALmrW3q2TvOzdYUUTalp/TLI5YrmAPvJiKgdbiwEDW4+uqu6a8olDuL+DJaMaAnIGpn
nvCxe/AQkg68gaAZJ4z51XVc9uWhUfz85yPe3B+QZPo5S4PsY0FpAZ5PIpB0waFdHh4Eie6nWDKn
yxUEZlNC+HjBucssJAZoe4/yywJ4b7NYnhMTuqakHcdi3dzGKc0VAjmDQHk1/gl0vYPc84SPThws
Xtx1dJcs2OI8VUPYg1/9TMZAOvciYAIosxm6twjdjlg6v/Gd4zvaDBA2NVdZXJrejR56tF7N8y75
xC191cO6FahPxEOvrDd+Cw6zQOate5NdAkeIr8T81Xt28VsSwucI336fM1ljEnYn9Z+VqjV3FqxX
fmMW2b+yC9KKQXh0pXuBYmUOCWM1+08gUFLRjxyjvpnXtH2Xq+nCPKj8aHk5wHmZo7oaDLhihHDe
vXl29P3ee7BwByaS6BGYq9dnWgOi8NWR/RGUyLcsEHEsgvRrOzF4NBAnNeXKRCvyzrTK4WuasqeW
xQyYGgLUvUG4nP0KUHm3Z7WFPDdZ1lski0Gw/910tnMHdjMUc41ihoeqUvWnMy2Zfq4DB04Og9EQ
PIVNuqMWBRQyT0ew6Q+Es92CdBWFXj7rIx4uoUL0dKpV5qykN+/rWkib6Kdjo6GaCbaSvxQTUI3P
RDq/KChmSuwjH/dSFgzavKT4PdTfGPAXyXhoFCYYeUz2x0FBiPukAIaQRvhbGM43wmguqBrl23c/
2cMQvCPK3kevd3/P2ZK8BSjyt6/9bv411H2b/fCrFpG4fwxtdm/cqe6f7BF8IVOpSOeLj7wWLW+A
ZriYfEjd74cAQbpflnnO7r0pgUcIle5+RPhJ40dHbX57YfSp/JPfQZjQSJRpBzzLqRY22rgW9r6N
wJ1OZov134yrVhdrM00c1at0RwpfZ1b8yvNWMH5y3r61aA+HPBbThsxiZAN+2gGKZEmm11jlTBoD
Ha3T0esc+etCCibVc2D09iu1gIVLM7VMB/3Gi0qR6KnwqFSRLLsE8pL+FhQ13zsRVdtsJNNFnE6F
y4H7NbviDyzlDscNgI9W8lrxCmbFLsAqi24eUsn8Ms1jQdwxnzDNJnf5PGwb+M2XDnrbT0vmR37h
AX//Ep3pTY7XM/BPW9Ik4cO6SH7HcCWk+YH8CqTSU+ZP60sPFnucd7pIvp7GDPANB0bbF0e8jv05
RJKyI7n8WmtI7ED7xH3NJajj6Kc3ASgVjLjecOmcdVrujO7Ei7dMw1rotd2dcrOocWFeA7TJITj1
t4OmDedMqfkQnMaprqer8ea2uQvTSTOpBhotJl8N8+cozP44Eo5AlNfcS1JUbStbts11XJm5s/2K
76Ptf+JsTm5IBt2e56BBJmTnafptoqT/hHNMX2ihAfre/AqZPUWnD74bdd96HM5PZpRqOVkYCZSc
2+4/9wzCcNvQ2s+h5hKCuyTqiNnILKqoeh+Zs7ut+mzGNcjugSO9pNzSZv3gbZi5Sln9ocA9Q3uD
ZAr9NaRaY4rYF2Rvex2ln7XN/PrUirWzBQK4dbrJmjn4HBxkrKe4RzzBBkm3HhG5czvF8M6d/bMh
9X+3K3fEF3cdr+fwmDv3m7dzzhfQFf5yG4itOi4d0vRfqKEwO/j7kL54NBwv3ybEeAqoKvEM+Epa
yW9bunNIr6kmrk7bNPrdiK5NLkAcsGKyXsU1SPYM8wJJ9f0Nl7pCYprU7on+wGU4oV1FJLfitbw7
pgMmoiUrsrkOXuZ9l2qVN9UoES75c8UftQtTMchIN7ymycApGyxy/aUHx3fPSdNyvrOwc8jyIdmO
OtHH82+PC+XVNvG6FA0xOMHJjZogvRkEA/4J11M4MeWMERlQVS0T/C0TCrI2NsNf26fb+74783Z1
EtfcdqrW4fPkRdMe5tWw+f/qJIFFC0cfyN+QGfZLHz5o30xGs3M+OL5K5OTtiAd3mrPzsUWsXyC1
thnOnmM9gWHBbE+N44z/yPdgHd5dd/mQom/lGWEW6uRWa4B8Sdd7xJQ+uu8Upa3NC64b88qegoPO
pntW7ge3JxqJwMVLs3Ab7wzsfyg2NLZ05MZxRh02Yiw3SBE7D2yYjy0Ky1ciBCDXwrmZ/yYo01Se
dtl0lwSSzuy02sBy1qMTdyAfPEXk29q1SBs/+qAmvH3bRSqSfIUeafJlR9SB01ocOg/7RqC6+qIK
71OaZuzJq1amy0R56MKxWCPcMIHjA6CsO1lfityMl/AYalgKVBF/kw1v822izYFr2j3i5Zz4yMKL
yrXBfAkY1qovFj8ThYa2OM1OwwxGXr38K3gdm6saMakBJfp+Xzom4JjdHBmCVvEHtffDAIGBbn9G
SYJ+ELn86LMWnPo1ddbTlNX2kZwkE/85+CZJVWFudO+mJBzwRLWbr8+NyLbgFJtg7276xIYz31fE
SdEfvcLfoxsrSpYb0upzyzjJ4+DCfADJT/KDpC0sXvwUgShhQr/kRZOb/XEndFY5OvFePB7u2s8n
J05RcjGXhCFfbjhyQo+zrrbzgjVmvUkdIHaI2wON7KI8nrkVpeta0h8iM/Q1O4JewRCOTa+mNOxE
frePkKVRjx073EOSqLUuk0bVyX0c7N6fwJJUDI+qTXgBV7L7ZRWZmX53a7L6hdAo4q9f2rCppAQD
CASEL9Vl7NR4uhgw0vRm9UzbPhyzJ/+yIu/PnGqduOCbEQ/OGm/TxdhaRHdIwrMXwqjE31FtO5Fm
aJpDRMDjQtmXHEXDWk9gdz4kmgsaDdUo2E0QmRZYCzAfQdbWYEySZfFMPhrlfbMIuKCR3UUHFdpa
hU/YqDxxrnzV3hO6fKjTysDbPa7sGedxC0jZypx54cyk8PCTyp6wvSIz1D+zsBKPIfsGK3Pdqf/q
2E1+TgEmq8c0M4u8ORZXfU96G3S/XHCI4/WotRluUrXXimcUz0g5JrPOGBS6ZL1t64QbhiPQe7Ue
GbdFH/acdYz8HL7cgxspouxOK9mz3hheHLOFTokzYXwGvhaf0tHO3wnRHtvdBneIUHAbfjvDyJxI
E+BMl7dcY3GKmr5jiGptc6JH9YvgSgOBHImZ9n4BVxjL2UWUi5M96MJT5yVOBGZ/JH9G20DVeRpf
EDPM3B2lHfGUnvpEoB7UhK4FN7GDXuTSbof/K9nQT5UeMuz+4sZJ9Sc2fNRlqzbyjWDfvuERQVi1
WUQwX9k3KHfUMO7qNgL5Pnfxbmf0DTxLA/a3cXlvWu34N4gWyRtcgsjYywz0OXMoDOlvHMPBd8QU
/h/Odh1/Kae6+gzWODc/vMbdJpT83NTqe9MZCX+DprQ6tYPdDZdQJLobz699pu14Z8VE1D7K0gEc
/ynnJtwuwc7CBYNVy+Gh8alMwclXye3JbaJpLfW86/tOdyPqUqSQLFABvN8DNgvpIoIVB1T/EEz0
SIZKbPbG8UC3cwBW78af+thF1WXx8mDRWNuS+J/xLmrHOfxGw0SznGPnC4xZdSae+EDjB6pivp/8
gBVjatu9BmCBXuXpR1BZKI/t0ApRLwH2eGCM3Ndrm8hsOGUuerQOdx3Ke6LJ0wtnnKtvnAa5KlKI
bOV0BCt/QY6+M0VHs18/1Ms2qkeTHceG6zE50Cq4mB8gLhQOl3XDWH8ZlqpKnvlQI/AtRp2qMJUb
vFYSGreYPMHSmzRNViG9GzmMswaB4O5umMw1YoH7ynei5DxicbjrOh7674lLTtIN2zpyfDYtJHPx
7DnVz76zG3DoKM1nhOzguGX5WuzFgdQNrojjGTfjsQvOCNt7HqRWdA+b9AxaVBTxL3il0HrxnMr+
mRE0+4vAscMlnNTbXGDg8tlbiQNtXuK5qX+jKkr280RwZ8Q+QRMf/qww8c/z8P/lk1y8gPcOyP2v
b6bF5Khn2weQokVc6XUYdGGHbv20fgPIDSSEyn8mIpAHaB75tQXj+3F2o206rpJXuS77UIgnUQ8t
foyEV/mN23lE+Y8OoH5o0EanV2TkIii3DvMp0khI27La1Xw39EFbFeB46ftMxFR3wSnIPLP9j7Tz
2JFbB9v0Df0CFChS2lZWZ7fb7bARHI6Vc9bVzyMPMONWF6rgGZzFWRg2SxLJL70hS+LSU7WRhDeG
GRV4aZJiQMdhwIRWJkbn0SbwmXJv61Q05eehSDhlphkjYYk4GqYHdq637Z5mt5M+AstFW1+OE1yU
ySyDR4ziCqJun457ZgDC32fxQIe71CznEy7qBfiTahr8ew4ZgIqlpPuoB8LoTunskLn4yuGKkDa0
JAm119k1RkPod62ykHfdqCAZKJoBXL7GoO6HRM5fotoGHdfQk3e3meUzc3MTncrGjPvpKWMd3gq8
hIgDXFKP0IfOo60OWMDeW/hsDPvMggW4zw2h6dywdPc2XQ2uaisDUyRHwDeJczAjJxPHUWNUigJX
Xh91JwJMWzWTFZ2E9CNx6KPQWtBidvzYtoNfgGhLZPk4Z3WUf+D8FtLzDW0YPWgTNI1T0T2GCt7s
tijDHngoL5GMHLEqUy+N7h49oNG5ccs6fwgm6OueO6ExAtglmakkoskB6+LHv2d4rbXHcJMiisaU
G+lPmWY75QZBtUSw2+I53WVtaBe7miHqjyZjcL9XjVbU20rRSSLFmoMPDSyA8XvVWthcRGRsyd4H
CiKPZc+w61T2tSJzxAzht0WIhNGhcGPa6dKM82PfiX54ao0ikVD50ulVDaj2s4TMHOgJVn3rFGOg
H/UWlOummwOmEwg8cLHnAexEulEVkSdLAL5sxkQa/FA/ZuxBiy4FnKxr8pcbqqDeBuYYRlunnipj
nyFg7Y0u1+cWbCWipjbZck38GuvmU9MHs2RMhZdSQdIkIGQF3fSpSXznQ8CExyB1AMC/00WLg7cB
DAl0cxFCcs4Ra4bDkdrNsLF9VX1nEsLQ3s1di0pWhAALeTkRnQvywuQEdNxI9qalZho2shMRQzAo
xHvEcgJ1MGpGAN4EcIbWVQ7YlBQs0RtagoDpdpUaIm0bJw2xzUfnUXjjDHz8ZI+Z84vJA9QrmkJx
sLfGarT2c5FNnzjFTBOhXk4bx5gK42jlKM8in9CLlwq0YXFXuMPU3gSV3b9ywBc/vr4L9plbFL+s
1pp+A86N4ItV2gQCzCF5lh34ToKGA9upjLNor7tFy7wbCp171MZmrrdj4PvzvrYsqii2+1MBIuo3
I3R3B+JvYR7Rn66/zFM/x/w4SS48UG5AJOmD6pEZVUV6OIJw8cjcB4e8vK6dTeHP3HqWi6DDFqJN
Xuyx7LBBuywFz24MEYHfkNROn3vXbj9aldF8HTM1nVJEiaKbim71rUIXbaGsDlBtUmxTQO0q1P7p
bPnxXQXi7YsZ1k5OalkYJaBrLm62vKrGPQpWPn1NzFXUyRk0J9lNVggRyB3Q2QgdoA7HElgfAg5a
5YBHcIL8CVuw6ivituFzNCXaV6PLGe9kimhyhxJWau1pV/b2Fpi7c6fiEdoI/joC2JOOhZ+VKOAR
mW8Op2UGymQPiD3ddfB0940Yyx86ZsfDvhsFsgPIJ8AQV04RyOOIW4dLXxCA0XM7SZcCj9izoVhy
XxuQdxEsGb+TiAr59osNdjk+0ksYX1Q2V5+lSDCZsowi/N5y6437lC70j0oD37UBUhyMRzTo9e9s
CXRCKVN06iI1jI/ISYhFH2+2Ba4hdZLsG7drmidcXWog1NZs/JTVnFONMI3Ld4VCO3sXzKr8GKH1
Y+2rsgueIgSjfhHMldxpXTqZlNOGBY42T9MfOfO6EcB5pahr5kGAqbMSBlt1XwAemi2S+bmEoQoS
1knskzIpzrYhKHtaSCaKyxtZo0axNY2QuYYYAxdFigjxopYxTXdMgqL3CfOD/ILv+gCbxcrsx0AF
1EJG7Fpfel+ZTP8LNX6IozRIbyWwld9S9dGXRis5yxln60+jdO526NtlaosQUviqiiLuT1U0w85Q
gXJPmmuZwwNsMFy9enfsQE+akTXdOBKMKcljT0+kSHAs3STtKL9OwwhKYOzc1j8mTKVvDSh60aHE
K0UnNWqW5jH0R3GctXm666p26DwTwp27kwlFK/zCwVW3zEqbjENY8Su0rqAdDSszTpiEoiCxs402
Lh/ywEfQgt2rf0q4LfIjAC2cnTQrmZrnRHbxU9JM808DboM3GnAolzE59vNtX1QBHvGTPUNFcmhb
u750za0oyQK8XFZCB4iioTAnojAJjjZKDMzkbVEEu1GQXx7py4fGt7EZh5dC9FpzgMIo7+c2yOqj
RADia9RRWdBkLbNn4Jv5sBlsXhzbAF2CLRETbY3Bl/NzkXb2tKGRMIHVrTVU1wJDgmXptImSh2p/
Ck4Bncq9qY8M+OMoMwSJS1/9ak2HIqEFWdBu2kGOgmpn9j9kXWZpBwu6wE89TS3picG0/uvm0s5o
rUj9yZ+TDIB94XRfFsPoBnRYXZIqiNy1b2ZglRi7oxHymKNUJaD1B2ytRQLlsXIB7O+nsrfnAyzz
HIgsNJqNjfTo9wHmPF10x26+uzILNa+j3/axgpgQb+BCRw8t8OGYoVApngx642y4yWI4YE5F5N9D
PIwgeCa1+9gYaToeIWTivmsuIxqwNNVHzWjpVOm56YZ7u00rTpJWt92jOwRjsJ+GFA+xBsn34sRN
RfLlZgZOvuzMFM+g0UlStpZCRCTKQZGEAeMyLqXWsY6lKWyQPH+aRdlCCaXNQcTaThC7b+1i7Nl8
GXAmcqiQ0QziLR2YQIMh1o+kDt3HmEiHLAwx5ZuE11XfRKEfmHttVLQi6E0M1l4hLhLt4NyqZ9Of
DbDuVhlm+FTU6qkNKy78piPf07IKWixaOCVXOQKJLmMCNw2s3Zz4JQ03s1QHnUEVYKc8tOxtxzCG
hqSuF8/ka+R0Q6EbcNwabqzjbFvTY2pwnW76ibnaYMfRkk3XNKDnXsY0yYoo3EYjAOBN7+OidGuV
etosPBSyyh+UN0ohBWKbj7xnwopt61iFQaSfPgiEuD77RdWguhBaAPDniMvkgFxXW9/oFDPPwaAS
+Pd2GQEWgknVb4oYHPo9HQh6YkHRiFffSfynNpj9e53RjX8rCjmrLWIb2rB33cHINvNkyAn0jkA4
bWz17De2g+VXLez81wnU6OwtUly/mYZEOJnlYCI2Tjv3yIFXIW0yw3ezO3ShuX8t0Yc/EDIK1RE1
OVwSpymdJJUQegiepsrq0Q8rg5a8pAbb2zWzPz5DmENgsqVvnZQGeh4iPsyznVNXNUOJwjF2Is8A
uuIyaJ+YkzG7ACcT+zsxKwcUGxBnTDeStMufITt0T1Pc9R+srGi4sUGyN8Dww/FzLZZSBeJIf4MI
AwAyJ8nUcMt15+sf2Y0wKORk5T3YNds29oFP3wQGKEC2DTXqorivt8Ot74yAJm3NRiaTaV62lU5g
6MEmwVvpv4qR+wJeg2K8oYvff+0MB+g3JUv9HLYlWH1kcG6LVkb23p+YySHYFEBE860g+hVUnTHu
wIqj+bKIZZibGQyIf7BpwbQoBVjuZ9s3w1c02ouPyRhxcCKRt6dJFrrOXCYUtzBzAnMTs2nQ/Cf1
ifd2YiEnMUW6eyzc2LpjTNvm2HDT937MuxR0Dp1r+6V1nb7ZlJ1VcxAAAvl0FgKCpyCTbB5mP6rc
TYBKlb1tjHyhbwekOHstMOIvsomr+VAxeeme+Knjc02cQpFfq1yaqdK22v0MzwBgJWFM8rpsRp6Z
mJtXtJ4YB6WpU/5s3F7VGyOQDlEj7aBsgOoARCLqVms3weKKsI0tP4uOtT6WjA26Gs8OGkNW82DO
bvRC71/aD2zEFLFQU3b+3qhswhvTAGbpQQfMmv6lXQV7PRmQguGv9tUe3WMEC2I1o4EHkRF1f94t
ZCs6SfRg0XRQ8a7uhzY+NGjZhtRaYf9gmr2+qAc44f08W5rzMfDF9JIth5FORUzBWxaufNGBhKBr
YJfJbVA7qYW0jtt86ZmCjscMcv1DRmzARy3HDzZgDlUQJbrhW4sm9H9IJYg7oWUCTSPl+M42EKCn
b6Cw6Ug3l8XoIUtk39Q1XosbGC3AJGaSLPYrJb/9zaA3+tkAqkkGBQiJ3ib4SvVRmqlV7vu6l0jc
EJu3DewiDwWKvjryZ2GyaYaReUFqylLfWVCKsoMjuulbqgaa3HMfusHOpBjOvtGfdfZwe5fujlWT
QlPpadYJaGF301s9LSXNqWxSFGW73xmnmSnseyNc4gOy0BAl0sF6QYJN/zg2ZvpTY598bbKxuA9F
MC18EZ8b1Pan/CcMfX2hJht0zlzU6/4LMw0XOwYyctxMxK9bl50+3aYiS5+0JE7s7QxAON7YCuzB
FyQxAmhuGBBDS0OXmRb+TNFInGH6vGvHcnge43hunwvmdxCm3Lp9zWhPAhJFgf4LkIvBOYInsypg
QTk3JW6Qyt5UFTXoadALrfnGpFzPt+YQVeUdLY7ipiDVmo81OBlzH+qBBpcBTBfqPNkYfiAlMb8Z
gU8ims/gSABvt6DhZj2uWnR0sHzYVAyaCjrMVhkf59mdoJLlKXl0KXWXPRfmgoyZC3A8ZFRz3AJF
Y5SPbi6SB1g0dXw3lKkNNkjPQGElgZUDG45FsLdpK5dkk/0yGK2QX/yA/BmcdduInNwDNiOtLUAt
/zvSW0H8VHZ2HR/wwDDzfW26A/BMx6wecG6uqo0R6fxqGDameWM64MCBazvpMTWyNLyhV1qQwuFL
BGI+byb9S+uU2i8K85y3OxTqwyQzAQhzimu5QS+yiz5WwdwcrGCcun1qjhT/s9k3QGEtvzgAs4uf
DCSO0IgqinJ+iKrKwm8Wjg3Ob+Bwg+zhf8AISq2N2sGTTh/eoMtZqvvejHx3M6tpNHb/Y/pWLYDH
Zt7s91hkGVle5mjtiDzdD8gBjwfg6HrBPzWDUijicjqV9ZSrfdoRsaaODwdjIhmuyHqeURCVJDjo
aiLrSrmy/PlfmrhMQydmPmXnoRStY29YWABFQPKalJzXVKHPySUq/M8ciQYl/60URONFJhQqT+d1
6CPsfNSO9pE0nYcJVZgtzSL1TfNnSguXPJAhN2C0gsQcBmBsXZHdPKcQqSw845kQKfyYVlqgGlua
zpneeY2a20OHECb62FF/vKy2eUb8UipU4RzTWuwcrJUOpRbQ0Z2oSLzOrz/yAYPPVkjZyF/QPFoJ
1FNVChP78qLG2beM8r0BshnXoLWZSQ73cfDpP3pD3xtP4BqcozANbSuYzRzIupAsAnCzzxo578oh
qTa4mrrbciiuufGe21rodf2fH7KIkf61tZBZqlUtecl9liG7B+7KcYzoFp5of8Wb9eznBL+BE9Si
6P5O2lWOMlWi7jzJKPloOZb9INGLuyJWfXYVJRRvy7JAuq0+Zw9gpTMaiwoWW1YaVcI+FUNt7y9/
v7Ob5q9VVpLYVhtIYFlj55WwoT2sKYK9w6DoMxJc+U1cg6wk5+uvnIcznwqvHx33UkNXGAqvHg3n
eJeeo+g8hRDinhF++9Alg49qG3y/y8935i0CDgVmI8EvIVO/Uj7vUFkCIBJ3Hg51JsTZVjoHsJPM
0f91HZPdoFvY3hho0K4vmzDnOgfVwu6LG+uhmE2wo/MYXNkT7wV1WYU00hIKcuQ7qVlUGkGI2+w8
H53Fg1NU5iffHbXxZo5i06Ml6JtXPNmX7/9WcxYjKl1gIaArlOPXe93E40QhRNR4pAjda2hTZmhx
muzHXAZoKS8i/4kskH3zTfOK4u0fh47V2gq3BFciNo7Rqlq+7d8nmgEMjLBo9tpek4aXgPxFc0lo
LgVwmZuF1yuAiF7dkY+dGBDIijLFsG+6Dp7CIdHdirrKh0zMuB7BFjtVU7aFHOHbpxweLXiCDAFQ
hq6OG9xkymYgX4L33qRw8bM9PlBAZjPEToAOprN4UfVslVeuz/fbE3lrAoMAQiMwrVnZDhpuWkRR
ZE5e6CTyBYUoIA1zqH+4vDnfn7dllWW/cEPjirQ6b3WiJYLxxsTUCn2BUBvardaHpjeUc3O8vNTZ
B3Kl67gC7UT0mN5+Mx2O6uwEiqUwyt4ngibtgiW8cqrPPRDuFljHWVJIeu5vV0E5yq1rV+AuCLpo
OzU2mgczRR0khms2g2cOAE1OnTYrVY9iQPd2KcDOOQRGZ/QCCqRik2YDwlDdsGgZoVxohnfoq4bf
B7cDh2um2hReuViWf391CByWN4SCq8qIYHWB0ViNs05Uo0e7RKObmDG6LQZwe3QcbqtKj3fSKq65
j595vw7NQBuLMq4ZLJvfPnTpl1Gs2nryYi3Cy0MO6V7V3bC30Lv590/JUotBgsC6AwfJt0sFMkY9
PmFvxmL8Isyxg+fF2FdaIruy0tk3+ddKq03TVhraMV02eS1J6DMwLvmQu8UEV8bsvQp5E8azjjxc
Pg9nF3UZLFo46OhkHG8fD2YcBbQDw6MBx/GDExP8zEqKFyeHwpsZnfl9Ygj74/Ki5z6fIOYJXqpw
9LVQOAS2gPlOMngBpJebKoNtpQkoEHSr6ysv9dxSjjQF4DzXMJEifPt8iE5Tog7l6A0CNfBBVLCR
ov6/bhzcK5HozJsER6HbTECIBZhPvV2pmkSR94YcvLjp2yfkQ63DhGvIJ6a81Z3jB+AZI/3n5Rd5
dk08gmCfEQOBar5dM5roKBrLpLQHJ5wxAG7S2xRt+V00opiEOICO7s8EvFycLi/8PtBbhkE8wIhW
l4uzx9uFgcXlCYJIFUHPDuFRM3dPMb/4VWRd8Z+FOklw5Tu+v7dZUOg2cRaHD7l2y6o5eENoNhUi
9lpDzYiIXJZEzZVveH4VUlqSZ5O7e7VbjCZH1nFsKy8rRpAkLjj+D24szSsP835T8jCY0DqEVvP9
ZzNonYreb2uvHhAyA8jTzEdJP3HYhcgW/778qc4sJpfojR0XWr62s/pUDLomVUVh66G0o922+A4e
wtHPHia9vOa0tGzxt7HAkiZevmzFxU1hbcnlDrbNQMFvvLJsqvYXQs1UUWY3pQ8oEwKj7plD9jew
fvwnrItSKl2DUH/5cc98QtSPOH7Edlzg1mUJ0o+zn9BS9Ww/7O70tgP5AgHp9fIq514q2YpLNYdx
kL2Oek40F/hKFZ0XZmZ48OfsOxzebK8E8OPLK505acvZxuVbUbya6+dhuDCExqhqT8azfuxGJ4jp
YaMCzfi5745orbb/7jVNTYiDr04JROhbx4SywEXBQqPA02ttfCIaICckZ/fWhKJ7uPx0fxLI1ZYh
gBN3ONILlHW54f7KoaH+hUBiUEMSkEGzm8WprmZ4Dl9nA81C3DR2XfwHSXb4jguBuece1F9M9L2v
3GdnvicbxjTxHrHI29YRCZDzaFbmAmEA3vuCaC0TSydqtNOUgbe//MxnvqhroTTMdYYdEmHw7SMr
laWyi6LOiwB63WpDaX/yqy6DAdjQKEL/EXOY3b8uKUCUc3UKsCo4CK3uAEA7eZ5GcePhLYGkgy33
jGGbnY7e+TYf4K5fXu79GWQ53BdxVdEZI6pVJjMPtLvC1qm90Ag7D+ULaJ8865VV3n8zViHtXZzK
dHp1q/eYAjEW/uDXXtS68wM6O84xDVxw1ovGy+UHWi/Fl9KVpFdH5JHYZa3iglYJJPs7jVl63Vc3
TWE1gFZVcQjs6F8Tlj9LcdgtB7FB951XIwMYAGV1qntYiOQnkpYvMAmHhaYVXHl/66+0XmnZp38d
PQMphyRpC5wpwnI4DJ0vd0JDx+Pyq1vHhGUVODU6ZbpB1bWuT/p4MogUneEZZCNIrdry1bJc5ZGz
q33fGvEeOUj3HrOUZj8ibnjlsJ15SCy6LM62QZ5CKfb2IRM8kjEtQivSBH9xk2tOd4oW3sHlh1wf
aR6SdAhvEqxv6G/qq62IipcUETeLlyc2ZPUMYmqEficGMhEAb3xg/tHSZ1nvf+coJnsSXs7bp+pm
jWzI13SPwaDeb7M5ib/UtUKI7vJzndn3vDnyIAfAjP4uEvQAfyYtlyZ0FsxboVHHM+JKLY1cSDco
HVxZ7szHAoTKC6Qd5sIPWwUDu6iAkENFoGy2YSVVcXzHx1Xe5Yeylrfzd8zh7XHRU3aYusIBb31x
mK2MKWYB5HHiG/c1KvKQBocompeq1ICDOdi6RfRUgvCQi2bC9qIyTcLtjDwmUNbe3GpBZCB94nQq
OgSuXp/Y20azrR0XsHM1hxP2B1yr8NSZ530o6rzVdijryKcZ2A6tm1SzxEEOSeR+RZF5ar6FpdkD
xYZaYDIUw+HkZvT1pNsiJZOHW+x5dGDkgD+nK/H33Ad2sGgzdGYeiobF2400BiYCNMiVeqHuxN4M
AXETa2lBMwH22eXXfuaM0DbltePhfqaVFMdIWiAkP3v6GPafFdY1Hvy0YdeJrvxvnPorNstLjFl9
ZIvRgcVBWfoj64LBqYcun3WWw58PgaE5yH7jMOl8CrCo2KJ6az6i8oHlc4ZRyeUH/ZP8vVvaplSh
YqENuo62WRrETVWBvKK3G9i3ZS6iL+Ah3Odec+zFZNVBzC7sgse506ovZtZVByD+8qXyC/Pz0PbZ
Y0/LcH/5V5350n/6v4DVeSnv2vXZaBhBlAj8T8PGPgV129ygAFJ8AkwXX3kB55ditMX0VS59vbeb
yhUz2gaa5Eu3OmKRRQ1ax47y+0IDYPL/8FRLl96kCcT9vgrMWW9WGKoTLZE0gcaEOna7S7UwfIaC
3j5dXuvMBraW+knS4hY4TK8eq5pIQeLGmT3wAXPyGpDbfRoBE9x3KfJAP01z0q4Er7MrQm1cOk8W
/1utGGpZFBhJPnvGUCpI92hJAoDD4qUL6MOmwTVL6nU7gYuROGnZTAnI2t7Vb02vlapK2slLwsDc
jSY0yL4ESQU8IwM0GvzUXUv+Y+b9Z032JBcxGQ/jx9VmCYF0ZoHNBZyr4hlwCARP0MDHYkij/8+l
lvDzV8LTFsyvg96ZvNl04mif4zrwIUvABm20VDenK1vz7Mu08ZRV0sLMcJ0ToBEsnRAYiOc2g3E7
oOx/7ESa/l5w9KdgLstXBHHLK3v03NEzIXQJZtiMldahbQHllUNHt9KGf/Qwoix4bMs6QhgJUvfl
43DugqVt77CYcKRan/K4qSF+5+4Ib99kSBEU1QnGogFzMkEDbCD7wQ8Le1KwuFe6NNdWXo7N398R
1dNYm3IeEmTitsoU6Cd3Qk10zN2TGI3uVx82YApqWeRXljbOrb3McDlseNo667BS2WXPAD7hq/Z1
XRDJW78H0ThF/Q594NjZ4jESjrucsmjYStDG3gTFNUZ733dvUNRyjI0OFyDcOrkI0LaGLo0w5DT6
zqa2qwaXotkcIEoPCAHtL3+wc3uDLhDJD3MJ8S4Tz8LMNyaEz7wqddLD4Gpqh5ZASvaoO1f2/rmL
i4RCN8njuLfW9ZLeo+0shnn2+rqaDkERNid8coqdHkzzHXoh0/Hyo507a2gGMgYkybdp9b7dESCD
rSBA9dXrXd81D6KzunuwLX7w1FuF6XiZv8hMGEnTPl9e+M+8aB3rQYzARCDUkymvVpYBcU5H8cIr
tNEsEZuIxPfaxf7Fa1Xl1EcBDsI5YNGVRPuhTkLkDiqYMOAsR/vLgI5C/ggBJTHRlI9gNvmFGJxd
iVUbxpboDSSHBhq4fiqqPv6UoYm2iOf4ZQeXI6yDG+D486cY5VEwSpMtgZCCXhPf2gBm9hZ6Uvtz
bucZAQkHiNAOIk31Mg2xQpXZqUYA+h3ad7fI6FgYBl1+MWd2AN1a1MJcoglZ9upaH+Mc1b/lduC8
LIJmpZFqt3ESDt+A28bpoem6qDr8+5qGokVGn5+W/zrvKjGTCPtWowNf6OjIVGU+se24GfYAXn0D
3mpP0+P/ZU0m0MJ2LVq6qwSkDugOjzVrTkL5fAQDQHPL3XCwtXH82OvulQ23xKjVfgNwQajULdrv
zDXe7nSkCq3eR33eCzJMGzZ+i3/N1kax+xpw5syREvSmbUokKckLVh/QRRoWDlo2egL5hxDJCd3Q
wMRn2JQi0pqg7x/O813cTPH3y2/0zDUlBNrK5M/8j6Hw2yech7iRus1sz0RfHF8IGU3uHq8eq9/3
pm1eGV+e26fsUcMWBvo39OPeriaysZwqOFVe1c4dYkctiqAi0sxxp9oZAROJcvmVe/hMCGGEYbNF
KV5p8qy2jFOEQWuF1QwiCX3N+zZZmMIyTCSQx+w7Wpn3KlfWuM2d1r8Ss5fdsd49jEuX9N+wMQNe
LY08Wq43lKced0p14vJP91kLQK92ROxhJStOEr+qXV7H2rwp+6q+8rbPfVvpUlzjUGDRu1vtXlrA
Gcm5wa3Q5h8cPIQ8nA5+zNivHC9vIuPcSgrx8KX345J/LX/+V46QILwx5EHFdyVNMh/D2KapCvFA
y3fI9jAR2bhzVt5bqoMmjNlL/q1qqvwESMt51bPcAoUIyfEHp6CSNxG4ldZDU5k+0uXfeeY4E66w
CxEmWRTtsbc/E4xKq9xsnD0RQuM0uxYJ8AZC8pVVlsO6+u5QZyDa01eky73OWjTTwDoQgUjPIOqn
R7/PuvIW2HVw02EMBGe5H2oLio0R3yocOJF/CvL5K33cAlvSMYHaAoA+P+oqAvSv4Bb/anSQ3Ugq
mxbuJrOp2i0SY1p+RMAHigklJh5ffjZB94hdN1Y/pNagbosWtG7eUh+m08lpKtyWpVDJgKRpppAL
LtuJjxQlJcr7LZf1XT9N8Y9RhOUHEQXBb7OUWbvzByOAyOvjvLbFpRSHGiTy6xsLmbpgl2lyyrHG
GcwbS2+y/OvlN2mc+WCS7r2xVILMItdFYIp0LLoJge1JVAH8zwBVaxgVST9xbQi3HP7rUAL6DO06
bJ500QjrvspCdzxBAEAzthsRE835UuGWztr0W4Eaz65EpDO/kBY/Z4uGHVnqerzgGEhgppUhPKsA
Br8JbOMTrq9jsr38Js5cnBSIDL9wTrd4D8st99cB0906H4rSxmFT46JB6K2tENqJFU7DQQuf9JmZ
Q/jv1Q09FRqSYGpYcn1zBnNkRhgAWKhEZFKeyCHc6DCYONF8mYShro3elsO3OjUOECEbeb2l7F/n
E2EzMWmcDcvLLLjdFhSGYy0xAkB/PfsMlns4ZHr54fJrPRMc2Fx0kqVgsGGskUPUkapv81Aw4laA
UZFBWgzGnWx4qiuXVLrq6VkFc3ILNTq4hn4+s3WwpQf5CI6H+9ldfdMhm+Hi47oIRBXdbnhPiGuh
rv7vdx5RHZggY1NYJWvY3BDhoJJMufSSzh5wqFSYbYfGNdf7MwHAWeBBC36Tef66RR63tusLsjNv
RAR/56L0heFaq+2tgjHi5W/2bohJD4OC0EbIynUN3t7yXv86C4DyYfRi1OzVvYJ1LjP7TjhttI80
ez6pSU20jbP2i+h6axdqTrybcT+58lbPnMcFfsKXo4vLL1n9BgkhAcWpWHk2HKTPaWy3SJ0b/qFw
BvszbuHBtSnxuacGYSyWJp8JUtZZftFfT+00qSxh/sgl9c2xtbfhzsw51E3XLncMlnDvmzDJSYYR
jdYgGrBonNXu8qs/+9QOKT/5Ij9mfVySSZ/GMNUVwp2uOCSwdbd45qBjBb5gV1gqvlb/nzkirk4H
2yQALGDuFSASQnwqY79THgSo2EE4xE3QsRX5rnUwOFGlWMyvnegZFASCUo7eYG5P83+y43rT0//d
oUrvHCO0aV4vv4lzP4wmqMBNykQ9Rl9lEkaBMP2gazZn1xHPinx3Y3d9cOX5z1yJvOn/u8rqhrAR
TsISPZKeniAE64bdN9zpzc/jIL73yAPfNENrXclZ/0x9VtcwgYbxNWNeWDXuamcjWE/+7hByyzrr
tE2ptK4+FPlYYoqCL/CmxcwF0k6KmMBjjs4FxKUS4aF7M+5y6y7R2/4rUq7TCa8bv/8apZrABcLM
EeaZUFBBPATYFgKMcHeDbT0MybMvBzyNErOXKBfbC4teS8dXBjoaPohB0Nh49NmN2kXAV45h0qLN
ZmEADP0QcX+MY+rY8Hf4k9j+s+OPgJQKa2kyBuDyg10zoPmABK8trs1zzx5Ii74f5FTYDrow3x5I
hWgWKtONpC9WTO4hjsnkjnWl9PBkJDi/bppauNrGmCJ1MmQ3IcxgAoWFnRX68nh5O565fpc5D7sR
PgnI7NU5caPOWLxfpDczdtjHMsAkLTax+HIz/codcCZkshRt8gV3vowP3z52YidwjhyTqBVE4a8E
whOqxiUuhUE93cOCG08d+gQ3zPfta3k1//J6Zy4QB3ppXApMYlcrZwiDxtMsvWZGFC63zX4rxuja
4Ozcq2QgSslIloX512r/I844JZGjbG+YRywTAyPjZoutz8jYfvr3j8bNBr/BATtF9vj2efDQwCnG
yojMLq7PSRIV38HfWvdRC7bi8lLnLhIax9hKL4kqU8G3S2k5yoNlyf7IRmXdBLZWvcgsM+8iKvA7
c0SMXcn6Sm517kW6lFo0azgcXIFv1wxixNhiPEk9ZQWd2mskYdk2svtyj+5KfKVSOL8YRQLQbJJW
c3UYRe1WGSY+thfhac7NUCzq5kZ8QvpJXDkA75eihtVJGGHnkR5bq204RZGNGTOXsmum821VT4hZ
+/b8sZzDa43d5RW93fFLuWzhVUF3l1RjtRQ6EAmXqml7NqR7qNIE+QwxxMPlzSHfH2ljucYA7C4o
tHedPLcP/dDsYssbArtyjyMjDPOD3RVDeIv9MzZAmHN1t8u++pXjXoG2MWEVEbEmecHIUH9xBSDD
bZ3FFXJWRmwyQ0fGTSEKi6MaFgxNa9S72G+d11FJiOhGaOa/Z4gOH/sSsP7BL6SgXTn6/k+ZQmzc
aHYYfII2VmR3DippzibuaERuYFxoxtbpffkz7RLbOkaIB/5UNsILaGhr9n/49Vo/a+z7HnFXdX60
aO8WW+pZHFaS3iyxP6xUcwzdslMvEM/odyXzXPXPzZjG+W2CccOHObeH5OD35fwLH8U6O/kF0v67
aQAfhMxmZb4MUOUBJFVAfrfAvHLjQIMOPxiR5oO1CdAM+JkmftjviyluURAhYb5PSk1ipZdVrX6D
GyNagYae6ZtOLWLrqbQ6eSWMn4lOTOEJ4WopGGl3rA5E1Oo6ngqJ5ZEF49OI/JUb/NCrkGhI2y1y
oNEmMY6WoXRTZNLpcaKHjnIkMgtO6dZX0qUzhTyHcqkhDXayoda1ZN/2AxKSOiOKLPzoYMiM9keM
ShlewmN970yq3WPxjAhGzBCr0IS7C0UYo0NkWUybNBSF6C+/XN73xvIOVsdrAbLB0aKQYBS7uoDn
rEBrMi1MT6RTlyAg4mj5XZSjzMFWc4PPagbNchrzCJmWBk30eJu5+qzdwNJp05uszMb4IKIMm8or
P2y5jtc/jPEyWT5wb5qWqx/GIAzE6VSgYRUWRY9UmV/G+3QaKvd+cvXu+6y5ybTpm8Qptmg86lgF
MNLCf0VgJfZq/i/Ozqs3biRdw7+IAHO4JdmBLUu2JOcbwmHMnDN//Xnoi4WbTTShs4vFDmYGrq5i
hS+8IWtH8SwgAKW4Cma5JQIRbfuDRv30voyk/vf9X7txSckgfMwFX03osU6FNPw9cUWtFdrmmfia
YFo6OpOCuuPOqli3i0IpHowxIGBG01dvWN9ByTJDUfHEIbe+pX2AtwNwzvcKcSqCN1jYZKg/D6gS
jU2KElKFy4K0AxG4fUd5WsD/I0NCIRHUIL/xnyRMgAWOdlDFhcxfvPJJTSRkMxnhEcTkA/RuJ+uc
ApDcyQO2lphXgP4OMHkJJPT1sFGJtFPTzppnzb2MC28WX8ga5J1DuvGwyaoCMADPLYWO9mqB/RRO
P+wU1aMfgF8I+inWr84qg2cVrHR8fPOuIcsgjqQ0DQttfT8R0vdjjl62V5SZ5k14hTzPbRzsVMA3
Fo7M0aDaSxcW2MNqStVg5jGyuopHTBlcfBGxG2hd1dP9uSx/yuq4guEAtydbFH1JB64/Tz63hq8M
1eDlke9bf6xB1hMXhoGKJGbDAXzM6V7vjLmxE1VYDVCOiQxuO+P5rI+mUUAEkyql+T6IC04F4RHb
QHDHLREUfDcVmPndn6iyzGQ1UzwMNCofMFGo1i1n9J/93yg4V0ej0nt9gtvJYyZXoOZQ7aeLArCp
/sDy4G6F22i7qMoGdLuRAdMOgdaE5aIfD0tnKENMRaIsiyU3QGYxeD/CM/40RDMdrwWy8WikVY6l
QRKW0kdqqQ15P+kAtssJF+4PBd+V5FtJavVDaEOpOCdcGA2QLjkyjkOaoB6bEVoHL6nZZ7odFvs0
za21Z0+B0KT2I/Llr1fBCC3FUKu29eJYmV59vF7wEEFtEGBLKx9HKtm4pkjV8HJ/9Te22dKkA7dP
pw4G7nJ+/1n8MK9QdVNBskvQqT6kAcLoKAQZDuRX85nLqt25cJdbZf2xKVDSlSS7Xeii1+NR/+qI
noGUR2OoPQ+51PxCzSt00E9AjbRu519AbioHHah8Z59tHFsSS+4gjbyBlV5tM62Um9Kv6YZ2aoM2
GspjJy3QxtP99ZQ2FpQROEXL7YB62Cq8rmYzHqpSh60WdYiXtJovNmc9lmRPLwc9YMMWyWzjYyQI
boog0fygNeyJ1w4f0sTGVNlvf9cB3gFHLroexTO5lkEAFcLwScaRWt35vRvbjtuSDtvCYrqlFuE8
gn1xHdPOQ/iBRrFefpjSFF3+vlWSzo5qP/WKsU0t9/46bY3LFQ2yAPCzLK/hJWWsICGD/r8nFEZ5
Trs2elbrAlvgPpHe80w2qLTW0ef7g258m7+Fccp+C1Fy3env+xGZ9YVJqJhziWyiiPGT2ZuHsSs+
+9hPefeH29hxeP/RpuV9FelPr450nSei2uNm6TVNhwiI0Vs4NKhlugfUuBHIAJlMN3aJNqEbWFwU
14dq1ioag/haehqo6NkdAiX6kVNeWvR+8wln5LBWPQlR3x7QRhK9ioiwy6derTS8z2V1+nF/3hvf
1iCkUfhMBG/AEK9/zujnAiKzYuNFuG7i6J1GxnPJPj61nVw8JAiOyQcpDYu3V1mWSJFjoSzf9qbZ
MyeJGNGPgFvYow7u+zgqpknQnHvCgsP9KW7EjegxU/wgsaXKsk49JmsiUY3KxivmUHK0QJfsqhYt
R4yj9jgqpX+SfLE9RpylY4jB3sf7w29lYmwqWkncpRQo1tCOeAblHsll6yGiMfuubHSIE+V4F3yI
ULBG4KmvNMSGDF6NgxKlKiXWWAq+iCFywDs3+kaEZxBDEsHCHASXsLpXR1Js9B/h8Iy4ULs6aB3d
VoWxq92mL+q9bvvGEeYGh8vAuQKUtn4mSXYBcbUNLK+hALvXht2ZNKuzLex1XHTz852cd2t2Bhck
lQy+NpHy9V4OMW0rFStuPdSboW9XtYLN0JhPwTeMOhr5/f3vuvE60pElPeOhYmutR6O1X6KnWLfw
yrrW6QQJpX5NKrwuloSjMSIbPEqG9lyhC7VzH2syE7l+mKm1LGEz01watKvPCNAl9osUKhFcv4Sj
2hOqu5LWZbNNDUOk/wWJ5GlOzeHVikM8FgvVnL6gCC4MLmg+nxK7afr6IZhn00QeuhRxkzL9ASm9
oW1wfpirMbInjBUkF12osj40Q4qMXRMAmzmZSTEu0uozMqGB4kt/MgtbGtQdg8mwDb80XqWyEVJ7
RtXsye8k7U9iSEJ41EZaBp5CweRjEfjIA/d13gH5aLpXa0CK4mhB2UAQsNUEhY834VvZG4PVo/+n
J8B68SlzNfiJ6OyE/vCnCJG686DvtYaDJYyWuzWqk74jYSM8hraWocTsBFWoazvb7PbDc5RBdVIr
k8jJ1lgXPZ6g/CHK5iGoXaqviySD9QfnrS48IZoOriTMalgnMfetbxOyyXsguO0fQFxE2UKUbsB+
VRDi9mYIvMe62sYvcwPKBunipnoMiOZONIziJ2AezfsJbunX+7v+9kwTLy39DuIPLrW/l90/MWjU
0GibE2VGiJk3QTRQHBXxmLMH5FSO00BYdH+82zNNwEEQyFKT7qA7c32m08QIK4yAYByoTX6IkDU/
aLX4X9t3ww7C4vYlvB5pOXT/zGyU5TzCykL0WrzQD+1odXgz9Sjj8yYe5RBfIG2cqtP96d2GHQzK
KTYl4nlKUasItI0nmOkh05N9KqhDpJiXfkzqneCG/vDtjUEU/bdgTfP25uLPs2loqZ8sLfM4Hz4r
PcK3362qSJQfpQG94kFUQ3k4wTvDX72NakTHfcSv0Y5PUVs8qI1sVR6hSkJJChhbbJf61M4uBr0y
NsBFNmu2IrVlZad4hi1SemUZP8RWSkU80JOyQ4kHlK3LRdNVXlOqaf+B2GKWMQUw+9+l6sORDaOq
RZA69GcBTwAJ58wqGY3ercKGu1VqpBY58NTHdzjA6K6HTzMp3QchNIhCgXeH40cAQcInPYpRyQzS
oAsetN7Ebw7f+eCPrxuJ4aolurVu1UW0HVU9bOx5QIPQmTHEjk8U/csn2tlReliqSzMCLpH+XqVR
EiJA0ua/CoLEo6r50rMJDP5DzY9/kAcLU9MgDESMLPEPa9x5phSBSHccV++gNmtUnRGC/yy1kpk4
IfZkI9Nr5aehleb4azPjXGdTFm8ps/sYqvI8ZnX53Yw7s/7ZpgVFUcS/rPBBQ0NweppFIf7cTlPo
u1XVDMUR8VPr1Mu50v7CKSd6RUI0S066jmT02cTTq/ggFhyZXzk1gZr5CmWAY6PegOlqZ/kVgX9U
vZqhi9NDOZZd8SGuIKk54qiZ0Q+5oTx6acyap0VgYRRHymoZfUMt760zbgB+5HF40RGZ8eCAT162
KNIntTRdcI81TScPIeO9T9teH0BI5zhLmBiB+N/0MtYvbStj8UVlnNq+Qrn3q6DVTU89XErGj+lc
ypZrwoNR3vtRrJYH+A9Z4hgoOZufhwAo4bu5Ak/4WUeYu/gRJIkg2bJRt2elRomNWr9ojLYaoxf6
Tmj9YLDHsSO6mulXqw/1HKnxOciKmnyqAVNuIw8sSLhjT3qED/dcNUekE3n1UrOmASDGmlJ+6ZvI
GL40mtDIdlrJ8o+gUsLmoYhyDEGCJkTaaOT+Fc8TRqIjFiNLOGe1SvFe03SuSWiYhnjEp0JE2lFH
qnfMgPu6fIi8dltq8RFStLqkxoe2xjsdXN6cXsQCW2RnLjX5O657Pvq6eOsBgEvb6RlvLWz3zACn
KgsBZ4W/1MfHIkumCpHNPOycBHTFT9+vdWpDSRaXD7lpjb+txoh4o4aSz06hasQmPTQ0wTNaSAt2
in1rhAEpMc4hxSxCt8kgcOrjaZZTp+nNVsJk21R+1hogiANtH9r7WIuivpSFbZO5gVyLkZuPQpSd
payTMrBqPhr+UWnFnwt8jR90rN7oiJt++ixqra4dzBjU+gWGTz9dSkuKmqMxG77HHZwM78kkokcM
SMTilA56WztYeXOwjHCisziGUxa8E6V2UM5pKg6vKRpMv6DBY7irpkiROrOmd6E7DH2Ao04pxOg/
6nWXOH6DXOgJE4L5carN6oFVY9FpX9PHqug/ZfZkirl0mGML/0eQKHr3eRTb2vgN8aPDnbbp8ADj
XfDxsa5l3t5Jyxc/PfAgELp4sn7nWH5Iv0ZZ7D+PUZt/kFJZ+qRBmAlOUZhG3jA2meROBX5nD1VX
1fWJP0LxepPMyy5qjX4NkkF7wevfEHEVQv5t+BE+AmyngHj92mF+XSBUYureUJmB4OBYoT1RedZU
h2qL9bGL5PgPdAcNEyqAcKW9AFJrp6mHXEfFHOSFTYHEKI/o2wnFSff7QXJxFY6TY28iK+TiXlmb
bmDpZf1hyFq544qcgvw1EICnPk7zDPUc7sTiMUKOiJIzjP/BoeFiev1cTxS14kT5RW+uk3+9+cml
Cc6DC8IFdO4aRVAV/Tyh8WF4bZXH5xDTsodZzLudGP026YRVDXWASBFCxs36WlbUl5agGJS3h+Kl
m+rkG+5jWGErcispuIYZ4SXP0Hu25boqTtjhVF/uz3Oj5UY5eulQLyUU66bCbialFsVpZHp+GwUV
AXtoHtVMVn+oqAW+JuqkfC81LX2sS6V+jKLAPDaBrA+2UWvh96DPR/+AHyzeBNhLSDtlh40wEn0o
1CRQeJBvoRyCHsnm2AnoEvh+5XCzlcfRssaHXKynB7HPtbcHd6g9crfS4AAQLy+/55/grg0wMmxL
1iIm9X+u8U8ZbQKV9OxzXYV2HunWx6nwu8/3v8FGeAc2WKLmoFEuvoFd4C2FHnIyGZ6FAolLHaJ/
59OXPd4fZWOvASGBZ8CtAgZofZY7Tnhr+exoIVWs1Cbv9zETjwflKVfU5HNdhfmDqpX9O7wkh5e5
nqudI7URpKNmplPTkiECKesuC4KNsdzWrC6mQa3bKOBMywA+zogr2vn+XLc2jgLGlOxnKWGsQSUi
/GNx7GTmSv3T9rFrJ+vm3cdTwHqS4LvtnOPNqVGfoj6M2sRNgC7HTYNdBedYksMfaqBXlzm19JfU
n8WdmW3tFY4qrXrQR8vtdL1FgUDICS8G2MogJP9NB+lJ64fp5f763WY5aIPQosKpFQ4dMkDXo/iT
Lle9NJqe1gjiQxwHAi6zocEituWZpk/hDDK75/6gt4uINsDfhwYWzMLDuR5Un7G9T3pqtjJuWahv
4uABRkCDgdBLh//PULTl2SG0addnAbOWyheHmkrmFIVHhD8VO1S16ZTFfrhz7G4/GFVFoGi0vTnb
N8BqzNyikNjd9KoQNkUF2eCRxKbaKTPdbnhGoduDFhFgTApp12s3p4Cn4kE1PG5yXzwAyg1SWwk0
AxswIettlEuRZn/7IlrQLSiI03DgFbkeU4wbTgPWfajXykvYzCmQHGItwdHbatgpp9zeXsDSdcRk
0YJCI3TddW6aJmxxT9K8bvGnsNH+CcLzUKUx0OYBuLo7joqJuzzBO97KoDxdmrpjvXPO/wp7XQdE
CviUpTa/1MJvIBdiE8W1j76fpwxGLrvgTvT8dUjKunswc0qkDrhqK3NSUqSPPR6nDV5SIs7RcPij
9luIuuzgtgI+VWeobZiIiSi5Vg9VPBjKYRIGnIskTCb3CNIbe5BknwBOh4m7cBSvv1Q6G0JJiKVS
tJDmQxRLGfZiWGm8eT8ssR/yT9S92BOrPThgA2rVkaV5+WLG3CY0CewyIh6cq1TeUzBa7rnVh1BQ
6+NIUTZeOAXXU4pxYmkDEVaEQE7sdNY4fe3nwYixXQmnDyoRTOV0oSG+i5R2V+BiYz0VZkhjRqRa
wpJeD66IfaAkOiD7yqBsF0x64rSTtndzbNCYAXYingZzFukHoO3Xw6CO0hh11ZkeurXtI8w8pjfh
pf7cyALqdOQlk0BhTWzliiydEBLqS0JWkOSCMkD5FwMJ33t9/gGdC1QbldeAmLKIpcJGaqHNcNSZ
c4xEqOmnBzOJ60vZgut2cFKNHit66aCQk67+pvc8RxhOhWbXuwZPg3iAlmf9MqUW3S0Mc5UnKyPL
J/2ThcJByQeTbmXO0bzFPsLaCSO2Fl+jG6tBOYJJtUY9ZX3m8zdj0zO7Jj3gaK2cFWA4b7/ckIGk
B8KtQ/VUXr2AhSX6ejASekYw9J2xNRI8B3Iclqpp72rbnBCQXeAxf5U+VsXLXk65YrG6JHhoRJca
uOaGRHI71b2N13UhTf1vlNWEKOjFlaomLJsczaB2yuwYjH7/McZaaGeojeiBoRDYWDDYPEurGMUf
orRMgtD0OlEa8GOecJ0k08H6ktrQO6uiWQ9p3tgJHzaeQOhLHMcF327KawaTP7d4kkkUL9UQOxot
nYejOGAgSUNhPNR4Kn24f91tfTbaOgaGYuyvG1hgJtZjrw6D4SWs5dOM5bYD+Mzcefe21nJpwXGz
8q6zj6/vACsFMRT1SLNRgbS+Fbh+W/h4UlcZZ/lSNoPgYSXV7ymMb2wW+HXqwrMjYrl5MExKfGlN
3u2lI6YfUSkEHs5vGMhZobkTim18Nm5vGnFkQHDP1qEmtzs4vVy00J0KcxKSRJN/CYowPtHlSR/h
UmY74LyNTisgOcSAAe3zctD0vV7SEZuHAHNC36P6GzyitGX8BiipfKE+ZX0cwT+6edJyIc6J5SZy
pj9XceGPx/u7ZyOeoVVLyk+9HdDE+v0i0inQhiuCS6FTWscIPh4e5ngaUSxBreBzSPnBwr0qTELH
kvOACE7Ky2jnkttY+0UHB0cpah3oXq5WwggzSNUgsL1WEufJtkQhm0CBCtOffPa5UkM9LHZu7413
m3xeRgEMQAECYKv9rGpIiYajJeCmM0feCH7jQ4FrntNHU32Owmq0cyuc7Z5w83R/xTfOKwz3BZUJ
90W5+exDkGmlNVO81IzW+DDoOKpZuZXunNe/l9sqMEGyDekkUpklSlx+xj81hBgWaTBblYD3wShK
2K+jTdVLWIDayQDGwAbLLf4nCkbyIYYhjb2VNUXvRRxIf8jSrM0fszCJfVsnOAwJqbV5fCqirMhs
8OWIzJZSpUuOJfQtHi2BEEnHtpUMH+emWMRJqAssCp04zs+HHibruwZiJcolXSoNsJtSnMJCfTJx
WJ+iIXnXp/QZ7B7QunYug0D6CI3BGs4S6Gp6G0GvvDRD439BsSd6aes8ld0Ev+7mQCslbE8TJNjn
GSUsMOLDYgvekq8CU58qFS/aZLEd7iN1fNUTmPxOghjfiJd6J73He0LHuEzL0pc+DzPdxUo1/9gT
rWH7aJZEGq0v4F2lRcBKnXrMauCYVWs0btZbZea0GNLpdhtI+M5p9IdeeGZ6oP2Ir3R22I0VvZxi
zJ+1IsS7CVcGHMXNPB3lD3mM+BCQcQUX1Tgxp0tOpvIn01r5TxcA8C4n1vgwBF32HXnKxLJHytmN
I9K4/gnRWPlYZ1H2k5am/62rg/qXmeLCcIm7eP4EsQp7PJOp1ohwdOY7eLSwuGJDSI8Yh1Eh9Ske
4JWJvFQKry021U+ZYOjhztu7cXMv0TcALBrPCwf8evtNndkoUtcJEM2jL9Mo63QHask8qGoe7TyA
W0OhKI1cBnE4UdIqoqhwPeZnEKiIeT4+I8RSfMjx27pEmL7uPBIbZ3eBNMroY0AOuHlrafDFPnZy
ptfSMTkn2H0+TTHWWfdviI3r0FyoENqC8qPuu1o7HYsp3OwN08O7RPjKB6wewsgSI2gqiknKVJhF
794fcmti4FBA/oCqEgleVp8rboKYBh/l7AkBDsHo+8dUhrh6f5StL0Xsx7pZlJkpeVyPYoaDVEXg
xb2hkWY36bPRVbvhF3CyZGf7bc6HGxbC+kLIVZZn75/bT9WFVNdD5mPgUX3GiRKr09Lf64dvz+d/
o6ir+QiwQPM0B4hGJSx1EnQwTjSOIqeFAHu+v3RbE+K9oia8yN6gcXA9IUzvzQRbP4ocEtb1DbWQ
341gxD/fPArv72KMtzDTbroNmCKbqVCHlhc0fXZQumI6SkWRv/0UQSAUeZTA1BFSrpYtRvshw+7O
wh8gMiUytMG3zlhND+3Oom18HzImWjKLeOmiRXG9aK04+1nW1BS0y677mAwxQAFZQUeNLnoV7AQx
W4Op7DTwVWC6bvgIst9TfmlJbCBj+C4Ue1C4TT/a+IvtucNtBC8WUGCc0qhfG2S61/MK9JzIRaZQ
n1L+EBycPumP+4kZK/ZUCGULIKA3f+YhvngSeffz/U2ycT2hlcynI8UhdFrfFaGCllU2U5TF0Tqz
hUnAG3QISxWKbTl9RNUk2PmMW9MFjQgHl34B/13t/TmlEBcDzvBQg0h+gfvF+rZv/NmlF5Q+CSkY
TBgZ4lPT1yjl3Z/s1leFJkGDFMkpysHrsdEpi7oluwLeO19avdcIdbTaeAT+oco79+PGIYfepeB6
QkaAutZqsIYLxJ+NwgCVF+iHWrGyJzOT051RbqeEJAUldarbS0dxvZy90mGz2DS+ZwF3OINsaOyu
CYv3o7HrBLLBWQNBjBKZBkvHomq6mhEAU4kudeh7eUWhxyVLn0J3KRtFlDEU8xMpRT04WMjqg9u0
WTM6RYYVuq2Wao5BrqoSHx6MsdH3YLa3e2r5YbRU4WLAWVsrgIhoDelNHi3xyRwER+qeyU+kRtUj
XsRSieBe06qOPAV1ZKcFBqmH+9tqc/gFSEXZmst2fYZGs8B6Q5R8L+o6LXOwzp56hI5Af9pC0BQP
/SAqX8BFptGhHdA4e3OEoYqEeRRGUO/mulpdIEWNPSauGz4S4bB+VMGy3Fws+0PuW8pLFiR7fZyN
XJcHhbzaRDqGfHedbtV1VdF2K3xPVDBV79UWOilSB/pp6nA97aRWPGhSjB9IaQ4fcDLGaFIdypf7
i7618Um4QJBQMDVumhN4LvRNY9WCF46D4kzWCHM2bfODnBvazhm7PcnLA0rJlDtj4bGvFthIGj0o
hkLw5BGzCjUmnzbkTPl/7CIamCim8fAsouXX74Axt12Z5+ayqvF0FKUUQ8c2jw9jgoZUh4mKmyaD
4kYGco73l3L5k6+zS95v/CIWWU0QU+siV9hBzPNn1fdQANadSlfUx6CrcscUhfy9QAdi73Xd0M1W
oX0vZ5Uxb1uBeMCpWH61ljeDHVjytiyRv6MVFlQvWj/r2THPuvyL0bbKp6bP1dQx8LY3nNw3owKn
6qL+00Pde1aKhurO/cXYuuXAQwKqXkQtQHIvp/2faFNLzDkV65J+faol2bEfkuRV1GMZ2VZ0+r4M
kyiVR7jj+XdRsALVRiQ/f1YiQ67doTPi2amEUkp2tuBtZQcIKuEIp05b6kyrH9UkixRKbRheHIkv
U5e9KxAkP0VWo12mQEoPhAe/cdue3SCt0q/3V+S2Wsg68B9yGNQibpwB9VwOFT2jWhhI+mOXJ24S
1g5ApPQpLUJgb+hunu+PuHG2gY7ggMuzadINUa4/QRD0iaBUleVZfggA3BL7Q5hK4u9Smt7e+qay
S1DJc4a+MS/I9VBdOcH3AmfkRUYmO4pQdy6Ur3bn821OCKbJgstBdGsdeCSRQpBKCcYDpoetKYkf
GQZUw9d5UEg23r56GjR3/hg6hYTl11NCgEpW/ZEUOtABFYI9zV30cDQcn/29HHDZdqubAzA2Fxbv
Hg3MddtELGCtm0JneZmmddG57aGQ2f6ISYaN/dRYOKIegUSXezN4FTF/3DusGzcX4xNmkRPwf2v0
B7UPkxCLe0Q0hdk1IQYcZqWt3MLoUwfS2p7S98ZLABCcCRs0bKGzrO5o+KeyNC3JfNdowyPJkIq+
frTX89yaFcUWSFoE5Dxwq/dm6gX6ACQmXjBZenTRAql4zSKFa1gsDb87oDT0dqw7t7BJMxdJgo22
+4C5ZCMHZHHGoPwni039rsxm/5FKXLpH7dw6CyjNIgdD4QVrk9UaTkLWWQN71BtLcUDoFeXjmpqk
IyJzvFOd3RiK7iD63eA+FoXQ1VDiDDxCmXTFCw1Q9Id5oPNByUwT/pRhk2SH++du6+WgNAvNarm4
kNZYDZdU0jzMyBZ5IDurP0OmoAQG7lhM7DglRz5Nc1GML0o9zOjuBzXqML0Fe9pNErmmCtvAZj2M
YimmO+/7xq41QU1QgmIvUa1Z3XGon1RJFkDhT1Wh/jKLwZdRy4WX+7PfGMRa0jrSN5SpbjplYugr
Es7NuieVcuBIVAo9YQLdf3+U26OxFLSAaoBj531eh56NX0mduqDaOrMonwW9sybcuyIdqOgc/4im
QN25TG9vOAZc1FQppGhoX6zOYoLMpdFIiO3B4/OfW13NjmNkla8FuBF7nsL+K1yj3LFirdkp+m9O
dXnwqeEBzV5f443kt0os9gYg93E6ASkqaSYpuiNDuKUTqbxdFQEdd40mJ+8GjfCbWyexdDr8FZhN
vx9PxehL57ofjDc/7Wj9LMUoGWliYsDVXuxkVDapERke5GV4XqISvMvr+acl98Xb1w/JUgpFy66n
4756BlWj6xN5AK6Hfrb8JHcWsOi2QYG2FqTjLEbaTpXyNkyi0wiRBtE8OsZo714/u7XRx6EO8woI
ATLosR7VhxGlCacX/PEixOrkoNrzVv9yFdzQwsrWeY14htcdP4AZljw3JT3V2tLdqMAohA1VHhYt
+E/3j97tAQfSBnxh6bBZ5CmrKixgn47xR/886lH43DdD7ZmlNOwZbN3e2cswPLHIrbGIa1bwpLQI
XMLtOxemKpSOIEmFCyURN15RTvZaAJuDUfcCX7mc8LVaMmLJKldj5p8nUU9PTVfizKRX/jmUqj0Y
8N++51WshGYlbX1iEorl2g19TcL2zMz0OrwIkwloL0SewziIXYIQUj2p7a8pK4fRLdBg122xTtEi
6rQ2/5HPVpwfAkPL0fIfx+pLrhXZf0NO0enYzd1UUGlIi58h48IVq4bKd1StM1InnivAsKNiCsZ7
JeCbyXYQ4Fxrp3OsGggdRV3qFHmBvG4mI43mzl0S+C6P6fRFqfzqv2FKYtD3ALs65KMAdHCzT4ga
L4xWR0GNi38450N+yDuj7Z1y8Kv3mjBT4srmIMS1clayL/wLKGTNdd7/meOgPoMr0iQ3zC0Jz/ah
SyF8iHPyMs4mNJg3bthlwRc7HTqzVBrXORMMxCz38UK6+GMTuLR6ci+XATjcH+VmC4HA5ARyBsm4
QBKurhkxFJAoaEfBa8CEfVLFUnHTWeqeQp83/f5QNyfw71B/1SIY6QbLaobIQGga6AyjbqKD0tfy
w5xneyCCzVF4B6gnLWWBdUw/p12no+9BMW1IrRMSksIhh7+2M5eb1w25FuRLFpFPUPg3Ve9ytuq4
NzXfo7koH3yjTR1JkKOvvtXFF7Ueoz2Xg43vRJUb0dwF+MaDvnp4aIU1+oxb8QWLb/RqG9E4+WDx
7DDs97KiW0Ank8N0ni4FXcxFBf/6KSikSa6AZQreHPrVJzJLpXWXYto7qY3n3qa40fdulHbpANVx
Hjgqod5eMA8MXmI5Hl/kfBRfR01pQ7zpRqGzi0KOzQMHN/9J67nea31tfHJuJXRWlvuWz7FaG2nW
47GFyuYZWR4/i3UXfYdcKe7IBilbn4Ah6HbQBgWes3ohpSAR0kq3IFaZQkQTPgwGizdZIcWYarhy
56Qfzdlu/Ah91gn/K+Ec0LTHLVxqzR9ZZCnhs5IHQo/2e699xRMIxlSIVJRyTvKknmz6j61xGEQu
z4cexZ7E0UKtDp8lf0w0xGIyPUZDVm61kxBFQuMASU9+5KPaT07Ta+AVkcXMueGQF1QOmtFV1TFU
0Kej1C2CtQBnNP+hClzBffN9ec8reusrEGrK/I+8CJnp610jaLGk4WNAHTdWQy7baroofgWh9P4t
svUVFhIS6kEond/cIn0jD1re5b5XqUL+q9OU8LGU0lG19ajX34z54iQAMFueVoQ4rXVKJPWIfFCe
97007hNoh7Nsa3KavQNJ1x/uz+smUl+GgidBpYqa4U3XGxX1zld8uhNTNKrOoKP7kCWpeZjEuX/X
UNg6CTmmOtWo6//dH/mmOMfIiwAdlwsF3Jv6cB+iVCmYg+VVFhBFu5wS7RxllAUQbqwcwUSPUdZT
4HWZNh/grBU7kefWxgEtQeKOKBRXzmrjDNIs8pw2lqflfngZQn12UAPIjvdnubW+IBhEirZID0Cf
ut6eiGXOveYLlqcaNRJ3qDb2p1QL028L0essCMOPejAaB1DemysGrC8dp+U5ostBbHg9slAA3sJz
2/e0YVZOZa2IpxGUE+jiMn9rxYD4nbPMyaCXRu1lWep/ir+N2qPwt+xX36yTd7ks5g951RnHuuz3
MsuNr8ZWBRGyKBnflummpUSH5kpwQU68+VwpwcL4zPod+b6NrwbnZslLaC+TK6zWTi/gPo4qAnRK
byZ/ArkfTnkPw/ZQ1oP1fZYyhXtNy8NTlpT+zo7ZmuHC4vgL1106RdeLaSSCabZ0wS5l0Wkn+PfK
4IoqdBz3/s5c5nAdWQNBphZAgk5Pilr19ThWOyc5bYPgMkP9OoAzP89Zf7CidjzjbrLnsL2xoguP
CQ4hpQ5282pFJ2WKVDkMokuolNUhTQ3rWHaTjr2OHn9SKrnyZDOrv7YQSHY2502GuZBU4HNy/Ljm
aPpdzxMbEgsRyjq6pDoYv1HqtVObpslH6JTKQzrXf+DH+zsFl7839GpxAXMiwIVDBY2p9Q0+ZTow
QyNNL1ATSv9AbVlAQsgsgsY2BrMbD21TZPGxjeJCOfuj1PSXDEQbsLU+DL6kOPuO9oRK3C+Y/LJm
92qUlwfK/tiGyFan2WlTNK2t9GxTu1GF4CQJo67YtVVrJteYJr4fQ0VKL3Wvt+WlCWu/tQujxT49
Qv3yt5lNcAkEK/L6sqtluyys6AlsbfBVx4H3qx+Iw58oEDHsCiqwXnbYWvIv8BbptxynguCgIwYU
PmkazrxtoqkvNGjnJ4MNC1l/FvXJQWi5+nh/v25+R849+S2I1Zv6bmXlUjekaBZQI6fvlc1SK9mZ
bA2a3WRBqZ+GCRs3Z4QwquwcyY2niqSagXFQpUbxlx3yz/2GXkuEjnkWXmKjS9tT2icBOMYmULWX
ImnqRzb88FMAL/2esLiT36HtSl/r/vRv66Ts4797aonHuZxW71UkKWk3KFF0meKkTZ5TjWcbPCMd
e4gkXEt2h6Lq7Aj4KP+EoT5+GHEuEl0IoE3oSJXRv869Egs7GcltW5ufhbohuHuk/6DIrK4rfRz8
oGm5Kou8afoDAzWl01clzJaRJqRkW5kUaSdJ6svWaaZKS22t0dXcNlNV2skqt74TkGIEpRQ6OTdI
FbUDMEE5ILjIcNbdpc15iMvJf0pTMFZ+puPUKuS5G42w0RKaxr/uf6JlqutDD2CRvh96j7cJjD/1
xVBbWXDJ1bqyTWHS3vkE1TvnYCMSRV0cFxNQamzKdV99MskAIVoxSkCmCewJTRRGOQ7VvHd1bg+1
NE9p7YLWXgUvpKGN4VsJT0QiW4e2G9VnJZYGFw2LaicO3R6KYjvTgqC5zp/LoCOKiYPgEmdDi8eV
qLpZPs9213d7XeHNLUs6i/cWZpgL2Oj6RaiHNMwLjBC9NE/0B3Rn8oPgK9pHRcibpzEqUAgT8/T/
ODuv5biNrW1fEaqQwykwMyRBigqUbEsnKAVv5NTIuPrvaf4Hv4hBDUo+2LVVlss9ALpXr/CGQEUh
9NLPGkwvIyr+ur1Xdo8ziH8qCdmJvNIbaPEYSxONRGbQFucrY86UHLgVzftOLTKUTDCPLe/m3Eyk
7jfh7R1mGvV6qmNj+lqbmuL5ul0ZR9bUe0GWHSxdKbBZuoKnqnm5OkSROORuG3+gwz4DZS9i9YsT
9d0jkproT+gTlnC338Zrf3JzdBCNohIhH8eV3DTefhLcJ0cmiEoaMnVBgL7FNeVHDS79ez0v6tdK
H9pP4+IU1Sc9G2uUS1p1UH3Yfhn6OoWgKPX63vmEAk72ZUVGt/BLZ1W+4xI4VkG1Dtpno/GWxE+r
th191ZgUM0DFRhtOrp0sdBWURlzG2tQhBHtcrO3UdLDxhsx5wRChsEID7h8+U4nAwTZZk+4b44uq
eCyxP/yF+e9I5V84zRlvuFeoOjI3AQpACbD1pcg+ZUvb/lKytJ6CGh4AAHn0TtBGKpPMOOdVHXVE
xqX+3rlarfmo17fosmVG+YHSUKn/6VyrfgQg2hkv8Trn59Ls1u6x7ebsZ5sU1r9pnEy/Dj7IdSh7
8z02R6SJF3fJDXbnZOXf9TF1zotw2qAy8/X+j1eCkQ1kHRYnA85tjBkWCqeJPChcTEBv1ohpVzWN
zqlKZ+vD7aXkj95sMjnXkK6ZjIecbZlSdS0CzEqfhmPt1Y/9Cm3erkV9ur3KTiRD/ZNaiLkXAtbb
C9EBBIvfwJyFtMSHv80oT58rL0ovFdY5B2nmtTYpQEmSTJAtgAn40yZA051Fz9eKs3BSvPZ7N6nr
twVm4V8qwiAvQ9NP7yfRlN+1dkyb+1RNJkyWJmNozpPpRt9uP/dO6ODe5c1S1qO7sJ0cJRYI47El
PwH7Jp7dfkWDCF+WCxNf52zVmf6PZxX2wSfdKWJcl3YMUQOE6pXag/AKpWprLQlbtLbOkBEgdyCA
/BwPog8wMIm//IeHlIM42pQ7XDGEuYY15inDLE3pMUm18pdYqxz+WKTRV6b/8+qbdKGMgwi5t3dd
5CuZgQAauULcEAuRdmJmGyaUu6lvVO6KMXXifrr9fNcYM3YU9YrEpVs4z2zv4QWH8t7RlyQUSQRF
GYDg+Fk1C0S7+8hE9qyJiw8KHMyfbRXND93YFEitdfi0nqdyaoO+VzPt0q5je/Ch906V5CZCZGCz
X80JYx2qhBgSsn9dy58nxZnupsj1nvI1P5ql7bxqKbhHsUgeIrtTb++iIhntqm7aJNSTUf3mCN24
9CssyNtveue4eAjMwmMgWGAYtjm62Fm33uqZcdjqXDizsZ7SIQoWNVuCKIdyNaD39OeRCTgH1ywt
P1rs21A7zRWqmz2mppVVFCfTjtU7W2Mgb6PycRDVd84l2FqE5/FcYMVtcwExsUxRiykNm6VTHsfM
HZ7XNFOWoCDr7y+VUuvDwQnZ6TBQFEqBYon+Yaj89rM1IHq1WOOEqEYh3rVk3i+d4y6PyIqqYZIm
w6Nld67ChC9ThvPtj7mzO+WhYZ4lj87VfH7UV9spVZs2YmOUd6aTfh1bpf6gt+2/txfa25u4SsBN
Ab0OFGCzN5cclNEoj2eN1vB74ELfVeAGB2XU3iIk/aCVkcKii7h5k5jKTMZKIyLUOkx2ZhREk3Ni
mOKIBrp3BLgMJAAGFNrVJlEsrUqTnocZ+vGlpQ19x+zauZh9kQqIjGoTpAJu9cE+2ftW1KogxZg7
XuOw7QrdMmz6iCSKGX0QzVQGroYvjF0vR3bOr9Fyk3FI/jutPGhYBNZNzQ5jw+hiuylCSLxzdNGH
rs3eI5M//E+YFsqP0EeQ75r72DwZ9BsdnxlG/6FBbQLw7Jp8zbIRNUknjZrvHVChn2ocDy9V0aO5
WFZW0/qT1zhHyfj157eYy8hsArliYBn624PEETK7pVyKsDFcfIiGSDujNdwcNA72VpFzM1V2yK7n
Nq43kOw6MR2yqUpPGboo56XNmz8+mGxjg64Nnxoi91VQGJI56fsWScbVLi5s+OJOCK15yAVsiz89
mgxroJPIITBDm+34shVupnfTlIWOApa+KbrmLOrySF3o+szAnaIDxHHRaLZvp4Hl0g9l3GdZqPbo
v/p63659gD6G8z7qmcz6ejNr4jwCOTmCYrzWYG83MxMp0gI5J4IkuZ0F2xRTKEumZQg+yJCJSKe7
wagPYj412IIkfqatpjdRZMV1d0c/1rZ9RZ3V702hD18q5EHH05QNUCq5TW2GTWNX/mzLXsNEqo0R
vEvABMRPXp0mgF+Bif9LG3J+b6GfageQIsz3ppekn1rNRi+l1T1R+m5dGvNp7bUCz7++d+0zWqUG
kPIk1pc7vle1BGmxotxuRaNbwGDuTAFDWyv7wBVSmqXoSjMN6kY1/1qNGrr06FmEnKxeKADNQriI
CVn849t75ToG8Sot8nZ6Z8jcbecLwOLBUxo612PVZ3cFht9nvW7yoHZy7yCY720YybWH/wtW50og
p4mWZFKMOQ1nBE59EKv2DzMX4HydUbzAScGebe7+GIvLJcg8lhhLFw4l6E0IGYdeM9qcNBnkiHbf
LRBe1NrDD27WlRNwzvbg7F03/oCrUNDZFHdgmq86Op3oUTqqslBza6s4pXli/syEHWmSDJijFMsN
dHEWr5rOIF6cn3rcIlN++5te5x/SbIN0B8O0PZnKLMmVLhrJP5qsioIxWuLP9KKLx26Zyie7V9sH
UxcDsjL8/oO19/YT5SZjDl77NaJcAMRa9Im1q6LwAol/lBrKJqq4xVHDdy9uS6czmzqETvz2VedK
S4lTsp8iRITPs1s197VX9gdx+zp/RF6bZArVEzpCKDu9vYOKxVg5t3Ye6koZ1EVZ3kX03321RdoF
2MVBLq7tvD88h2TRyiNdS2HEWZErVg2GJtYHHWWAJbbvM9Bvn92k6qKzjAbzyYo7eMfuSDfHF22u
PI0lqCKRpkVQKfgW3tsTsmFBBFH9MVPjI7GUV1jdJv7SWZYTLCCgXJybdzLHRDx0zbjLYpwB7lbg
LyBhmAhgy9QjD/6kIT2nntuhGd7H0Wz2ATivsT6nQ1N8VvFf/B8+wOX6aKtp/WDpai9lrYWJQ3Ga
OWcbil12UsfUhYBYqE39UND/UkJ8cooxcF3pBxUhxDKfy8jucrCZ2dgdbOOdvQXQCEUQR5aeiBe+
/eo2nYx0GfgMGmogn83S9HwDHekDgT5HqjhtXyTjVZw6YTqAmNy8yNVIG+5xgEaeK+YlTNGL1/za
Zj7mo7hSiUcAnWhuD2lraR+tpjaVwMgZX/idJalsOrC8EjWvZYqCzFGrlyheTUQ9YKTP/jyoPS3d
zhxQvRvd2texPSgv3gA4McjiqhBBPC/uO+oRIIyL3ahrMKh5+jPvzYFR5Gr/KIfV+GTVy2T4GhC5
1Fe7JM3OuT679ikeFKs7dQWUrrM2tLZ+mkbGu3RZnPmvWhilGYzTEt/XtTX1fplq6re2SaN/yyay
nzV7wcXBART7OZ0K4wcUegSF+8prvMeoQrzZb2h8RpclX8evYk1KxSeIo7RQxEo2ncsBQu2TE9Md
9OtpUsTJw0f5CxmWkl9WjMYelrxQf7lR5Uy+Yor+R9mOC+cX7GaMFgqq6D6djVR7l5nt/JcmsF2/
uBDgLfKCxTgqd3e6Y1QxQLR4CprsV7fsYic4EaEF/iC6GWlmeqWnzBRxEKvl/F72CZ+9LquZmPXV
u1Lph1PPDCVwnEE/iGavlfV2x4F2kgUVOK5rAH6sG2U+Le4DoiWGefbiMWlObda14nn15paTpSdp
/Jh73pTdlT3ZAQr3Sp7ed9ksLL/vvcm7A6YVLRfDmNCgLx2kVXJEci3fojXvPjE2WYZ/VU2kfYBQ
Em3vku3yRR2srsD+dU2QjI8F/J5ZGdX6UzO4Y3Op+3z6URYO9gDonmv1O9ddvXf2utjmSSS2+JBZ
SvaP2+DuChnDzEv+tbnjl/flsgRK50yZr6Am8DWtVzW/lI7aAxdfUgqTNTHL6ROkcg7MgjB6FY7L
UIdTlw54ChNg5lPhLdp71Vixi3M89tlBMNlJfCguJLSHY05iIK+Y34a2Y4t4zjrX3oOuYpHb6mXr
+T011mnS2ANK3rWnhEz3YNW9TceyCFTALWfAtB3PRbUE7ArFfUiQJ/AzG/TGlJf1KW0GpllDXQRu
2UVB35GOqnozPaK6Je6MbjmC2O7kI1zPlCP8Fpi+VzgSNNYzRh/8EKhlp6nN12dFn/szsyjruR/U
GVX70rlY1lEjeOcy1aW2BWKQqtTs3kRxB9yAZzRys6tedYm6TA2y1jMvUqrx7nbOtdOu5KJiZkgn
hE991aqYK0atJj4AD24+9x8R1sHzN3PBYPudsTIDtst8/ZilI5L7TqsyyYQQNqSfh0lZvxk64gkt
4oywnfw4jdTqjxFm4P7JYiRDkkr6qlkzY7kySSkRVxHFOU/LNTTmqTxYZW+fy8kZ8Q2SyBXOi78o
ywWSPd6GmcJwC+Ds5yX3hLw9Bi+ch9zBjtlK0qNMUNvJuiWzgVm7Bfr1CkEHMn9y+jZRHuKo6Oaz
IWIpmlh6FtgV/soEod83iAZb4/JjttL5X2JR/4l9w3C1yhcN097E6L2zrUVWe0+2meunyGnGvxeA
ZgzznEy5uLNgfp9Rk3462Dq7v15Ws6TbQKq3cxrayZOmx/DTm5VIBY6UmbaVFR0gAa00nxYDGwvI
n/GlqTX1cY5iXfjUxVYAH8x8nvBKCTplVN57xqxcVndQX+Klm+7Boij/GGY33yWFcqTps5MWI5jH
jUbtDAx1W/0P3up0XgLkmDhSPGRrmdxNjVn+m81z/jktFe3gJe0cZQgyUomJ7sl1uzHJWzglPetB
nyp+FjBM2qAeB/Eh5tI/Yh7sLkZD3MEEG0WGbXu6R9kd4zpbeVjmITvRgsKlBVeDe6TYrMvtj7+T
aMJVJzRKhNa1lGON/hsiMTwXg+Q50FbcDurFMg6q0r2vJTHO7Ggeh+/29gbiCUmnkooaoQB60rRr
cTZpEd3FJEKnpNaPMHZ7L5Dbji44lLSdfipUFIE9SPQwl/Zwssiszgom6j5qGn/eRCWySxEwpjEa
VtybxqYZRc5cxPLR0qV/gpmqIr3sYvpVjOlBfNt9KoC6tO8kT+wKGtBPjFmHXHkwmzF9Nyje/EDX
svtWaonj394WR0ttPhhmM1oyxxnHC1GWi6O6tNbgEn+Jo/SPZc/prHMt2PyPaSnYhrd7wwEDOEHz
jR4yLHkSf1gMEWD2Mt3PDkHk9mPt3BC0RVBCkAU18zMZCX/LhBTR6xmYEvjm+RCfO3PNnpNyzE6O
tX5rh+Rfs9Omg4t5503+vqS7yQGmarXy2Vq9B81OoYfhbje/1GinjiSn3RGEYO/5aBeAWXlFO29T
rlZCbFTMIB4a166eFRxqHvO2Mx8ru0N9doonLsHVOeir7T2h9E6QXRf6altAK/9w7bshcvFYVfPQ
TgZ6r/WqX2Jrqg+25U4cwQtTCmsx3ELndrMtF/xbta4npaxHpT+tyDKeJqPHOM9M04BS3T7f3i97
60lRVolhQ1V+OwOGHRwNY4W6Qz6M2SXtp/XX1Flfzb7Xw9QevYN6fOdNUp3R6WEMSrq65ZunWlop
hZBYkyRBk9jC0qDEeOcOackjM4rdpfhWr/fnNY92rlN4i7ANQoLv9GRU1vJM18f+MLhwjW6/xB2A
l4UOGoJdKHEwUt/OAyy7wPXMjqT6qKdd5qVUgmauzNMMLuNO0ZyFQmSFWAtB7VkYTf9XOeVVoGuN
8hjHdLxv/5y9J2fsa4NbYC9dTaKMlvVrT4dcherpeYEAd09Op5xjOrUHqJSd44j+DDtHXntcf/rb
cDOKMZqcEW4fXmjLU9PV8b2WKupFrHFxFp31YVbq7AB8Io/ApsAGFcA9xLie/ulry+e3EKd2ZYGw
/aI8ZF0Vn72lyj8yixAHesW7L/G3VTZP1qhlbeOWpDyMdpZSj2Nr6Wdem/roQgNeuv3F9ipJ8Plw
X/la0s17c0UMUbGaPfZvD9A8nO+YolsPE1IUpzGCIUAq6hkfWhzbHvto9v7S2tx0gnQ1gJK10R+z
3KkuIFzIaQVlxlUtbQiK98wgNWsWtQh72ylCL/aOLJh2Xy8Sd1K+Bur+tmJV1MyJs7KJw86w5tAt
ANG4VtI/e175H4Z1vFMoAaRJki+9ebcTiMKsbQHRunMCBFP3qvtiLF9uf8HdgyBV32g/0JjfXhEI
EXjCjYBGR3hW+Yuz4J1l5zgNZsjgjkXaBUOeHPg07b3D18ANfIfraasTAjhJmx0EckNziTt6g3qN
OSxvM48gDd9+vN2lpKgE8Y3/2xYjNeGzQL8M/WgYeMGy5JhtdGr5ECHfdpCvy8+xPd6AOhDphkBy
DexmgiZqtaVWQ6C1uBsGV0VyZcgviKhmp3KYsq8UYNaXPp7/Q0sacKJN8gmSRbI53gazaUZAB7Fo
onjSeHc1klsnJx2WgwHEXviiwKJdQjotZ2dvV0GhX5ssl6MO8BgtEKGoD7mu5wd3gLa3ISkcpRIB
Vkyw/t4u4wwa41YPyTJFWGvsI1HVgqLtx0XzbfyLxH3krMa/DMgYpIpVm5uT6JZR3JXFasm+1Tw2
PpOA3js5ngOcVu6NxK+LtfylVqvozrQ39aNR0N42kyLK1DV0Ukhh3/5oXV+TGbcu5aEa1SVcXVH8
9CrdONvOrP2HA+sA3WeKhyjhFZoQnSwxqU1BQ6Mu3ZOEUfmprQ53TV+NlzxfKr+s6+yAa7b3UV5t
39Buo0vvbnYYyEYvESpwMyWaRrQfNSwwMYI455by0XYX6ApQsv7D0ZVkeJvylCbdtjPl6fBodDzL
Q0eLzZe8FmmAErf4uTjr19tBYufkeq9Nb1ahKt3u7DJbtabLgLkpFUpJjBNM8WiksfaMMZqHvaQV
ly92bzbrHdDSo8Jn51hRmxLg6UTS6dlGKCfD/AgH2Di0ZsC3viZUMJso4KoHr3N3HXpgdMIkzmTb
uTDryE7azoIlL/Jm8kdrci4Ttu0//vxdSntAsHsq+dX2XSYlShKrOdLERCkpZNiMqNUCGJR5bxQi
O98HXgxNEMuPo3J/7wFpLZLPeuDcrlozOsMuu4tos4qhHD8x0Gqhm4ijS3kv46EeRr8cARqHM7gJ
gxG+KM7SQllNEinJuqZt554gK0iN3WZZaWNOVeOcy8wrIx9qyjTTvU0mhiWrMTiBISqjOUhm955c
EmnBMIDWvGpm1+4cW1kN+7401eW5o/sAI2A+ys53n5wCj2JBgkF5/rdBzioQSGwgqzzAjtDuZzrT
IZ5Z9Sm2oXgYhaKDBy3jZ9A3s+8lw/ig9l57Gia3Pei27P4SOXvHNgGI4RXNbrIGZeTQug+FgpLJ
qUyAMMALt9L2VNmLY98jQTQg4qi2OE7rFCrnBpEWcTGAGrh+rthTdvCTdi4ADzQ90BVZi14pklhA
K8Vi5dFDvqTFRYDSeTKyWbtI8OB/+Npg0qTaBQD+K13gcq0jxMVS9rmjJmerb7OzMrdHBKSd+hrp
RPSUSScQNtzeaPNSRUbX4kth5yCokraJ70dVy4EAiejUrNnP22Fj7/2BfOPV6XTrrxh6HsV0XdTS
mdeG4q8KpCGaasRBZsyLP7/LpI+fhBlJcvG2c0B/okWbKlYQMUuju87oMsU3bdE8jd1qGWSiiWb4
uZWsf91+xJ07lDSbqEhqgtLSFmdZI6be455KqYQPw50YFBG6zhI/RpmL9QUSBOHcGUeJibGDI/Ag
lBAYCPmUW5ubO2mgt+MySX7fKJV5ThvEl4I0QYuF+UdFOQaRcwgHPL0NPzMS8XMQLlZdTgtIDipm
xEWv5qZygoTiLPc9VI3cH2BB10ErxDKc3aSYPi6rp4A9ETlIUS0d5szHiiP7TntxZrJermV66ZE/
+gdrxjwO4PuKr2oP8+RD540jLnOAoO6zRrhOMBLC4oOUcu96J2ShO4uYJQikTdxylKRJ26ah5awk
NaLys5M/tUvjXVono/NcJl39kHi5x/ynSe9uf/S90AyE3oWfT3i+UlgtLEjkldYi4q3r6Xlojf6u
TKMjFMHeYfUMeiFgq+RScuv91lmoS+br6sTVp7RZcW+pQgWniulz1FhYnNRGftBXfEVXb2odLtn/
v+BmV4kGj2GIB6ieOrVNf70rAynQ/T6eAQjyJ883F4yRCgBvvh6h8+WkTEpuv9rdh6YFSJSi30jx
+vahcRZHRwVeGiGjad/Piicu6RrrgdIalh979dGk9DpEwd9hmEA+6iIZ+Dpp/O0lK22XjQmaMfiX
jLgLjybKP7ASznZUHBVB16HizVL65tHqDICRl0nZZtepfqzlOgUeakoBszvjuWNOzTsuj6SCZIf9
7TfloaR0MyM7aWGx+aYtGTbTTb7pnOm8z8gDDwkI5eymUTH6hd3VH/OY7p+ndBhQFfYfm+JKxjCI
Uo0jCnl8W/jlneWusz4koWGUyftkXqsnd2ib9SED3Bod7OC9j8k5Qf4AfdlrKaxu7CZdwck+zOO4
eDairsdNJZo/FHWfHdzXe0tRFaLY+0q+2LYaZzNezEwUgFttrzn1mYvJEFIF5y5H/fr2kdhbiv4X
VmUujLMrepsqqkaNe5ix6ZIqj4umFL86Y+xPzmLMn28vdX366IHRayAFk8J3275RMZTKwrUDxJra
U+m4LSxjii95NOUnmiTr+fZyOykf60n7NWmCRu4nf89vp0902ZLGE5q5SCW6n0dRRf68RqCRlVI7
j8OwgECzjQuODMsJo6v8qcHGKphzzThog1zfJrRaYB7QCQFgjjvK2x9iF1MyNiM/JJr67INXW15g
2NSmyBY4gTkvlp+2CtjvarQODD12uvVvl5aXzW/vAJGjwhqHJQ/bVVU7kDpd01tn1crzd6uLRp/f
iDUdfVrPEIhLTRjhgKlAEw5FpF46Luaet9caR4Fj5zbAigbNC8QPOcJXkgbzwBBrpD4P9QrbiKrq
7LteWdNLNs6Ue2XRPBpjl536cXT5aCK5y+pJ/Q9bX6ov4pBHjXtVw3emhl0FeyTMe8sJokqoX7Vh
6AMbd7OD77C39en1SOtk2rJXkJJRjVtaSBCp8mb9GymFSg1c1GhOStc4LxWdhIMAsvt+SWBIVpGd
xuN1cx0YiYlWhaUkYZQNxUVPNDpc6VIa/qBF9qk2IvNsCeJWrWvJe6ulZ4sFkTjoH+w9NZmMxPSS
v1Jjv9186NS7VRfDltPazP2mit5+Py55dUFWo3s0yeCOBMZ2F+T9YtAJPuiKyuFoWRYVHnFTc9la
VqkWnxYlKx+dSUk+FmhDH6Rqe5cuhQ5yCyg8EEE3EaZOhtxoMLoNywGlCmeacBmsZozqqiFbKG3H
6CQy0/h0O7DtPiXoDon/fG3zv32tSUzmn41oDglvnL/OTdL7lZJkz5MVMayN06Mu9d4tz6jmlRsD
tWl7y+qtKNW+cpPQaW3c9yakYrRy/LrYkYUmf7liHJjkwUK17FfF8uv2w+7tZFSckJSHWUI83/b0
rLGmTe9hYxkxp8JdMNYQudQ01IbulN5eLyW2WaEudOeCUcD0jnaZ8akasZI/KNdlpNzkOhr9WNh1
iIIh/rz51nZrzUkxD3FYMM/2CwQWXppJUQ+SjN1VqDKBcRscmi16y+UNu4XLrGhJW+MXnbkvLZKE
fx+8050LiTod5yzG/PQRt/vWoO/RDtIiR62U1fJpE9FGTNe0fzeoDT7OCx2CUHUT5x9ObpGDfUU0
1a9G0KV+MYD59ZUkWoW/eGxGH9vQIQ5WG89x3CBaqz8N1Si9Jes8V44udXlXbj+DbNURRPeMvwry
bC8tNUpx22y9QJmS9Smbk869S4fUVO8zcpya1FPv/4lLdbROjjurj1qUN9/jfoie7LpwyxO5QP3H
9gPS/pwsCsF3gGVXbcwJHkZRWQqgMiWeLnPbG5cELP0vvajVj3O1Hgnh7W0VMhcaiugkSF732zDA
VnGUEZHnUIeXHlp6hPjQAIf2w+3NssOPQ5ufBAqUEtXi1TwMvR8loQsWh2WRFa4PSS75nkS2+aVb
9ZadUEaoGUJNir/rg6PN75TFKO/RLBJjsMJ+7Z6Npc6ds17KmgR65/w1cWwQAo2rK+69YxWuQFRo
XP4B5e/8EGPWq3fazIk/2W7WInywluVL7UYYivrMdNz+fkJRzDvXQ43fmwUN1fVXzCemyzQj0XC/
9O6y+otZ14+g+7zYn0Ytf6mWRrffqUk2NLRhh1jc6WAlvjn8R/L/9Qn8dKC1InbOXUOKdIYv08Yv
B29yZ+uS/+p4MQKbu4pkjr7m9br0MHTVxQhBb9vPU9dV97dX2bmTmBsSMIlWNMe2cWr00hoBAOYu
TVarj6KZ2ke7SruwWPPyGfbhF6+OtH9ur7lTRFAWEUrAhTBO3E64+7Hp9LJm66Oz0ARzaZYPLTPg
EwyS9CAA7Fx+QAcgHTNLRzJ4G7q49LOiXQENLW39s/HckW+aLy+YfXjvo9irhoMkcWc9eDv0DOQF
yNBbhtLfEuglcmNAJSUQgchYIFBKyMClLRQaVrFiiDmAbqlmX26/z71FGUrIlImC82o2iEtv0S7D
GD30qaKd10n/4SRr59tLgzRjsx5ZQux8PvgbvEuYowTWbZe+ddIOghLziUHUE/l2LKM3/7ZlBnVq
ZAdfcCduAeakc8s9+Zobvn2jsWk0sdpK/EfdohChYooHZtA4uEh3XiGSneBgUReRYO5tAmxCwm5s
xqtCZYhyaXW6Ey/25CVAoD2x1udG1LF9uv3ddl7kK0KIWpN2LdiIt4+GYazVoSaoPLST2aJ5uCqX
vMkYD1LsHrzFnaWYqwCFkFwIBiyb5yu6JUsQLQOw0o71xaF8fTc2RlIGbXEYuPSdTybTXIoXKS52
1f+GAmor+moUoYPucnUeIw06pr2q1uhb1ihsP6WM/CkGJ/2WluVQ+qY2zjk0rcL8N8+z9h0Rt1lP
hoC5fG5yHY3nOU7ci7m42l9weVw7SLxG9yBeDXCElKnvfmijrv4y3NjGMKXOphcXN60jd/K95yLJ
0uns09K5arWa80CHYFbysEk9gdj90pwirEQOIvLeKq+9FboeWK9uj5fJTWTNMTW4Za7FfTMhceMZ
y1EvbG8VUI2wwkhQST/kvfB7oIq1OHWNsQhBAvZPKbysoKv7I3PFo1U24XBoWWbSuyJMLaAExmwn
F91u1f+wuWU4krwDUpztfQI8HyY75JKwKVUlmAz6Rczf6osJOPUgTsgf/DafBCtAkEAM9/+JW719
baBG5q5bszzUojgVAdWEOEd26X4aNbuMT8ZkOReUf+8NJ08OivTrI0yWT9v0tXOJ3crmCHvkhbY6
m3m4VmaFsVOq+oY5LmGiDMtB8bL3lKAWGWA5Emi7xYUliM9VVN1FaCSQ3O6SLuuGi3BmNw6KCgL9
T90Z0SswSyMK+3mBgHs7MO6uz5wZ0jOZJOS1t285FfnEJJq33DdW9WiuU/xM/1T13c5K7stkzp6h
sakXGGXdwcq7LxlRKzD9FA1XvO5ed/oUnDgrr6q2BnjEuz8sGJ+x7+rN0b69Ph2oAnH8MJhhyas8
qJqaYuhQ8g9TyNh4zC/JE8y84e72y7zO8GAMAEEibsHvv/IOyYxqYs5bQZhGUq9CvW+2yhM6BF3t
j1FLbG2TPnpn03g5GhrttFQlWQE9ENTrSC63+0iocTV0Rl6GNRIUX6JazO+KIrPVc4la2M+kt8aP
fVc5JxT2h8fcUOI8yKuiLnzbxVXsP3xa2nawqsHQXJPpYxDVGZoaBb3N5nOblM5DYiX6CdZx8vnP
3zhgCYkSlXngVvYJlLHeD3ZShiDTC7SFPfXjAmXd94qm+yy8obo4oCAPhs47nQ8EdlB+koMAZAS3
8aEbW3q3ZVyG1Vg3l8WO0ZjQrPnDRKf5NDj6r6UdvLtc9IgyFl11pudxNAve29B8aXYafRNZt2zO
rTJF6BU4eShokN8NrWsEGbjeg3C/+6SgEoCSgkS5njgrphtramTl4eyJ4iNGp6Pnq/rsZX6hNYlE
mU/LU93Hydm107L2q8aevqw4GB6Bk6+zRglolTb2AK7dq2gR6RN0dWzuQjxV8tVvDGf60eTQPpHO
nONzpeX/5TAzPSMoa0Chr2hAYkBLeCAvkBRirJpcLtfHqWPoH+RTZLf+kKdjHgh9FNbB8dn7tr+v
LP/+t4SB9je+Rl1WhG6trM/m1Noh5sXioPO9uwrVLi0K5nSgn9+uMtMgjcs24tN2nlWFkAAjdE7T
ePBOt8/o7qcDdILIE+C/K1HfRJ2oNjyuuMjU24tl/EKJ6gdGX3pQeUg3315sJwQTDYiD9GBlaai/
faqhV+fYyY0szCddzz4zJ8n/1nHM0N/nthPdYYRQP6jqMN/fXnbnGaH2MdIiLsAL3rZ8enMxmVJb
aL53AwjocaU6CKKMFliq592jXg3jQffnuveLeCnCkCjYoh14JfgOrHNsUkGv2a4muuv+1E56++Qq
vQIq1q3HT6uqj8alrdIi+V+HIlV/Kae4Nz//+YMDlpXChbT3rz4uikp6ztJp6AKIfgeltT41uhiB
ydXxU+IMR6JQO3MznhsgPXrU8N2vuEIjAZHRCMozrjFgkpVEzWlMF/NJuGt/Jxwb65AkR3Jp0bsA
rxwRYIX7mCux9pW0bjz47Hu7Td67oKskeGt76yLSPpgmjZ2wTnI6msVgKuXF6rzlL9S50tM4mN2D
12jxn0sPgneGLwV+QQKttr2PGBW3KC+ZWsVxVJ7MtSpOwr1oJXD/dHwae++DkTnVwbW3EzBIUjGk
kb2B64E0QCEQDKPHqEyNkG9peufZW+sjLthOWsgqqABKCQWpmvf2ACeeXnoUSgieWkoaQM4Ql1Vb
otNS4ll7e+/uLQVRT+4iiU3etvQrAC21syLi5K0T/Ke2F7g+5b0XoeY84iB5e7W9EAFFCYINDX6J
aH/7YK0Cy7hLlCws1RmnthR0Sw+A4N5b0x8ruKo/j7rUZ7THACPRHdjmKHG21mYq9CzUu7J9YMzt
nqrJ6B4oEfNzFlndQe679zJpwsl2NBX7FSKuQkRk0BXWG6cuCZMpWs89qjqnGnmh8+03ubuURGYy
sd+hnBTavCgpMumhUpKUNGuln/O50/7u8WE6eIvXex5CmS5766h8EuU2u7HrYs/LmjkPUaUnv6Ty
POs9dMjbD7STZrGMib0MN8hOzwgIvs3G11kGgeEAm9n8TpYz58aLXWj9hvsB+bD2zkHS1Fe02TzZ
phAHN+f1hSJ/g4PjF5U9qnubjHLOeqSEFjJKyxrYMETx+3lUlqeM7x1MjTdbPvG89nH9QltnyY64
0PK//7beZ320BlGnZcdetcfVPrZRGHTJR/ROZL5ti8fc7cQ5Zr4XDCB//LFZl4+9k6cHJ3P3I3Mw
aaHh3c5+fHsy+//j7DyW5ETatn1ERODNFijTtFpqebMhNJpXuMR7jv670P8v1BRRRM+mNzOhrCTd
Y26jtD0y6zlfP4+704Js+qUtdO3Vu/ZPYZxu6Qo0ge3xchTgpEVSZwhZTbEUeiX/lzc2iuVHbSMd
XGx7n1JB4pJ+KJHrDbh75dFLTlcxVNiV19GyunNnTJVryYsDb2qSz6Aox7PRtcYRR2tHIIVpkmer
ZGUwfrYZWVvrnSJRxgjqobDeT6We/soHA/Tv2okYLpQmMecQsZQ80Xmr6qvTWcmJh6D3zalNPrVL
DNYEccdXl3T4WbRdABwRWt/gPCJtGApJM4gLI7OeQW6l4YcFWcjWl5oG0PD9A723o2AVAB9HhwGC
4WZHTVElLOyi0yBEPFtz0ceyP9V2175eApBZcVgBxK4kq+2eSiwa70tSpmT9fTOcUyQdP9uIAw/o
ddjTY9nl5PaQk0WEIqEWHmQQqrJzZFEeQm8WyOatlL6lD6LqnDwNlmWpsw9q3k1olmnREvnKqjz4
NZ+qASmnQknQFhvTUZ19DSSb5qoK4m9uYutVjC9CWpSulIAM9CejtdurWJb2WzepFZSMvhrQc5xD
81zl85RcZXnQQneZ9Vg7uABvnxWU2VbOBekQe3db2zRQvc3LIkuDRlbzIM+mye9sQ1y7RTvaH7sX
PthxjglKOpTANpetGjpK3Q5DGsSAqd6Vg66hVIZK1WlGn+2U1Mn0ZBsjck4Q3P5ndzGIPAXbpNfv
UjSMkKSDo0efaXMjpV3SR4aBgCw4w+7ttAySZ+W5dXDv7Z0FYlS86OjCEzduiqlIEsdFZwNbyLN6
eDCsRrqiGWYfFQj2Vo8xEMJk8dDj2HzRZbCHErk5uquNYvqxnJhe28HYdERkHbCybyM5ChAg49D5
AoZ+o7jFpT1CTBmJcpaqe1IQiMeynZLlNCiDv2j27N9fp93dAlaSrhl1Lqo4m0/YZxPai6sTk1g0
+R/UgObh1FnFoD8KxSoUv6EYXrsCdUHhOkVWWs9JX9jv5KyDwnT/t+x9ZjR51zInAdFN5kHNNpLs
GUn3GJKQb+tNGMSpY51THOoOpr07FDk8PV7OyY1qog6KBDIosN4SrODgK0JulacRnS8P8xb6vvcn
treo5JWUTlnQW5BIjDWKbEkZKVVnFN4EpOkxSsEeOEmo/wKEeQTv3V1U8CEwjch3kKTevBFqhaI6
JTecb8JRFS4ah+JR63S9uqJzvGTeWFI9QJ0q+jQXcVqfqrCJrtlUaUf1mZ3vjLjyWvxHz0wn/noZ
mLR8lVFDr4uSyTJ5ubLgKAPcKr0OxVgfPBm7Y3G5kh/QioXh8HIsVfQsNV40AfBm9Wo6aXNyLPh0
mQIJ5f6C7tw7tHqpNzEKLfTt943GRo+hEbN90Aq85HlbnUM5POKj7L2BxDoYi1KN4Sn8s8x/Feu0
eYK2C4EiMFFr1V0EKadf+EopPwA22W81pSix6hhDtXjsy6HiMcR7cPqJ1nrqnFBrrz53ziz3Jx35
/mvZdJHsj1U6ZoqrKTO2qIqOarWXknk3LuYm2Qrgsa2TPlfCef3RBgJDMkzujS7KNnLDc5wOM+rF
gWRqWPLWtuKKPMqumSmMg6O9c9gYiquTZwcM6jbXyIdEG9QxEUGJvviTIvWd7TXQkb4nvTSdNT2c
lYPjvbfxoLhAGiIkBvO97pa/linuFtQ6cqJvXCrmp77V7UstRR2iib1zkE7sRN+4eAA6Jf4Fk7md
XDWXywCtjy6QHSXPUuGkD0uTmeWFj68/QZmzAvqaNXaU8AwP1nBv05PEEMeAMiL2Xz/8X9NESwro
Rs7YCToepxkw5qkzku5ghnsfc1XG4knnuuS9fTlKqQ1K2K3dNKfOa9MF1mSg0S6lv81FTw/qCntb
BRwp2HZyplvSFZqaKTL3ncCnzUxPiRpXj5MUfajUofQLyx4PtIH2hgNGsYbukALYMS+nNiI+VI3A
6YKizHW/5bX5EvXQmyV9yC65Zhw1sPY+JSVjYjA0o2isb8IWI8msRtdzESzo0vuZOoY+W7LwC016
fcsInwDKQZQO4fjfYGDIV9BSAaUVyOEQPirVUJ/SKD9qKO9OCLEHmiaApG5UDoFX971uU+bq5sjy
Jmqzb8vK0d0Ffd7P92/42+orE4KKA4GbmvtNqTAbStBRlcgCu+mWs8S9SA8stt8Bnc0vbdtmD6IO
5VdXQRkUOQviZe7JG4RuAYKvrqOMi6QmVDYiZeAtq/69P7O9XQgphbokkRZtr3Xmfx/jHMt0Fcps
oIHihYLeuKVTz+doHmpfUoqD73g02mYP6nXR8iyggj2UifGmEvnPtM6y546j51XtnJ3uT25vhwBm
I1anzIPW+mY4R53hVRRRFswDPIMeyIEnxbBPo5ITcH+o3ZkBSgaqh0LsTQiJD++CoDGbUZck55xo
qriqbdR5SZrIpyaehvP98fauX/Y9bHZQxre0O01dHKuwKbw4mSLOhPJVEK6qyvdH2fuAxE6IW/BM
3/a4Kh0rX6cvEYGzB+dkQMM9zVQqr1GvNv9hregwkKHSbiFI3KyVTclYjCbXYZSqybkMk1jzpWmZ
Tog/D/nBYHurZSGpS2OHKtlNsbWMFquJNO5CKZYhKSrx6CUWQs7yQr/OKtsjBMre/QHqBmQqpEEA
dOvv+euUgTqBeVLwjM1OXnxu8q51EdBNzknVyp/Rl1lOaiIdwVZ3BiVI5IUhE2b1tlEW+zBvsrVO
zgdog1KgmuyKzuy82ewiz5RyzIz7pv12f8vsjsoduSpD8XBvVZokS4Vjai1p0BZYHSZk0BdBi+gs
mth6RKanOC9Lqbx+n66CnfQmDWWt1W8ynGpwlqFKGwad2+xtXyzxh1RJMj9XJ/0ALLZzJMj7KYbB
LyK32C6lasW6M4T4Ek5WrNjn0BT1uygDOflQmqQ2B6nFzkblPlmxH7AiVxWNlxtnws1DaHFIPp4J
60cd1+Fl6Ov2YiSj1Lr0WseDR2dv+WhCkKKt8to3sGM+4lIMAxaP0OIkL0nwElH1OLpqsTqcC+Dx
ni5jhX1/z6xne1OQX9OBta37JyDaLJ9a2/1gYtMe1IVSPVvK9JY01jwnFr6cVlwnlzkqpsuEWden
+wPvLSZjkh4gfXdbl1KKps8AnlCIQ9gr9fDrQfo3H2ExDaYZ/oe1XEHrlP25t2/KU7NKyIA6fBJo
Zhl3Hhr5VetVWhVTDCuhVD3bBQ/9wbu0807wAPKuo9gOWmEb9eE5m68RL3S4tddiOoV4svHgOljA
vVHQESPBIuLjDt8sYGrW0KI6at51blR+Nq/lxmooDm7tHegZ542WnwXxh8RqO5k0EmOFdDZAPoUg
whvI+745dSU9NxzD1MtQrSjctqiLylVgAvlRpBuxvyQATWRL6w4qDPs/ZwWnrqTp1Qrt5eGEnFDm
IBgJLzSwHtFQ5l6Bf8YbZSnMr7iEV98KdMrxjpLyq6Dv5vdZ3T1FE6qR97fx/i+hsrqque1QxmJn
EpxchYRaZEbjzZOevDFSKWFLm8IJ2jDq3jZKo5/n0pjfodwsP8UNnvK46HSv57kC0pAdtgP9ZzSP
Nl8Fa2BzKUpqvU0W/xJozpC1pa2L6Kp6GVOp/g9bj6iLm59r/xYnHIkWCIphElIq6fLBsOrsXQxU
4eDs7lwUGpG/gqvDKpa3LWAjvmHOEbrpAeCz8dRq9q+5jbszoXJ18L7s3IUw/rkkOEYrb3s9an+H
CkNoT1YhQ8ZvyuqnHpfp9JDbrXgrw16o3DbOCzAvNaYXvT2Z0uX+TtobncIv8q5oNQFY3wQq0WJX
raBcEUjUXmkAA7dJ67Y8K80UX7NaNy8NvgMnlYvsYB33vjBlSHr6XMS8resv+2vefRQp8yxySt1y
Np9SS7L92AqzC5Wq8uAe2ek/Ax4AHgEVnytxu0NRcuEWbscoyJa2C2S5a7ARyXMvb6Ppk4WGv1tg
l3axYrwiXZqsr2cJkoCvjwAvDhfzttWPbcSIeTdLPA/ZCYbKcl66BZ5N1yY+K3vwYXdedG5MfibU
A8q8WzQInuclGoxN+FCkDmpMkjG8sa149hq5mf2Mvu0pHuXo0/19tMMYXBmQaDqDHiCt3BYrWyLv
MhK8CDKuIdNpiSy6wuZi5vlpqUscXgbQYqhXa1mpwBsezQ+p0cVQ8A0zHLzJqpSvihJhW2Db4295
jEXtqxlWDF5T59KbrAojAc9aRaC2wf3KugzLFL1PlKnTcRPqqsewzBbZRZYjSs9d05bf9KZU5gu5
VCZcmvDdT9pFdXym2dV8waI20Vl0FFP9WTiJfS0Mc078XInK5wJ6YO/3SEOKX5THSe7QclhOS9fr
0XWqy0j5qqrd/An/2fYIKbFzHFGMhZpCe5ePue26ZkgmQnBM4sAQYX3JcWo4Dz06eEKq0v+lFQ2Z
OSxiyDiJfL2/gDu7BjoCBRwU64g8t23DOFTqphhpcqlVXAb4SsLenOL+PVUP9DGGqEEQNTvCzu8c
TOJ3ePTYioB23sbWtcAyp3dgR+Z9VJ2cRch+hlz211rVBCo9orpMUTF4rQX+bJjK/vv9Oe9EMVQL
VtNCYEwreOLlFVRaQ5pBCyVAQ4j8oU2s5CyLpTlQAtkbhUoLID7iGJwaNhd8leOR5czZ2mIbysjF
x3fwS1FMB+XF/WFoR6zlCBin25CsXXgeYtCLxrgUuZvPUf6ziMsjZ4udBAVtIy5sLrQ/EebLbxat
OjXsfOweY8d4qmz8iJJWU90WwQS/HJejfvbutAhm0Y+BtMMmeTmeNuIU5RQE0UUnVUFqd+LjJIaj
Xsv+KA59UIe3mD8vR0HY3+gjnnrqfaj8+9EsG16UiUR9fViB3zGwTt47ovAtesNKobGDREK8aNS7
yB2UknyrtFpoy6MEyP31+5uRqBZBq5IBp7ycVVwqaprXYOZEgf1ZU4HIjptDocG9OwuWDSxgwjJQ
KZtRzK7vqxoEUqBHmvSW42T5KeJubxY7a1G2nCyfG6XwFGV6vcj2H2sqeDcqShw3JaRFcuCKZcBG
lYUG5lzK2NItUv8e1uC3+19yJ1ihQ76iguFk0Mrc7MIxtrWpyfMkiMxq+F4aRc3MkvbTBFD6YNH2
DtiqtA8VmKbSjbN56gyanXR4OuP/SR+icYJOFcIzi+VLF3df789rdzDWjHrwuu23sQKEe1vSMh2z
7z7qnhwjid28l+1zhTv3aeJbHPTKds7ZOi3EBSjhU+Te7JVk0VUxaiUSNXk6nwkk5ocFLql/f1Y7
q8UoxLPEbtDttqFl0olxmpUJM241Wd5NLW44Jt3AN307HqE4dza/CcaGyJITdhtsmTLeQRigxAGN
FkcPUjkTqW8ufXMtbckx8BY000vDJv3i1It5cOXvzRPoKKQNekrkpZv3q9BKfGPwGQqmUTSZH465
8jFMx7Ty5Vidz/c/6l7OCZ4AZApdToqa2zMgiSgszNosAoGG4UmZtdDP5Em4qdVJ58FSw2uiOJ9I
FPFANgoHUrIS+3afHRzFnS27urHh/8DzQ6tw/e9/5Q1ozddhkw55INQyeihQwvEmsOpnI3cI0ob0
KEbZWeGVRLhecCvGaDttVS4lvU6sIhi1SW6QFknib/Ikqa1vKeFM5JKY79osTvwZQuK/97/5znEB
5Ad0BKwK7bXtc1HbI495qOdBmwPxY4FD4zmSre5IQ2kn+AOcRtwH8B/jki2HXc2XzpBgaQZiHCKU
iQeosbzHp6IF5Fcj6e21TZtf/8PkqDiC+UHo9CbxjdIKPbRGKQI9lNvHXG/yh2ZM64P0em9q5CSw
YCnDgfdZl/ev7QIOVa8yaS4COkPGr3ZY1GuoWNl3pyo12DQRUk5oD2dHmPW9lVtbyhRGDMDHW11c
YCrAF8O4oCqe9aessRJEN9XxAC62cwHQ6YFmQEcICYdtfSyk8A31SJSBrFWl7ALj0b43aVsO2FJG
h6ZmOyeBgjQnj9q0gvHK5vKuOyK0QQo5CaHp9FfbGtsnui3Dt9ZR4sK3NKCTHj67vQL+cp5K43J/
w+wBgPkBEKFoXZIwbHMUPVQydo1NF2eZIKcsvZ7JLjix5mcbOylGfLVRLdeBayN2rSzK/9Vwrf+y
xO30T92pdkptuYsUV4JrHR682jsrwYvNEVIAee1ArvCPR0PQ5KdFaKnKkT2fLU3oVzIf+eAz7FyA
hCB0wP/cSjeEMAkIv0kNTBDL1ZVvLOXwBnPEHmu01XodyvXBJbT72blpuYSAftw6kkuGiGAXg/zo
nbB726am8UzsX9tn3FZn+5xMsrTgHzhlst8i+WwGmjCbj6itouJu9VIqPyx5pl3B4CNneX9L7H12
sp21HAgtDYPtl6dbquKxVCZ2RJka+S8pmeG2S0h8hKOhvx7mzRdfH4DVRvCm+CuptpiIN9An0JLf
Rqg7b+ymH84axYfPr58UvS1oKJQgV+uql5OaYAyFiWqIIJuz0p/lJCG7QmAuV2frIB/5k+JuOjF0
ylewKUn4bQiNy6Yxx0mdB50I0x9j0Szvu1EsoTtmTvagjI5+ManAmK6e5mjv2KVxGjvKN68+Pg4X
Cy02mwT5FquSKoXkpKWWB7WmjLoHs7DPfLBuK6htVpsjmdDbbeNQrCeCWNO9lez38guXWT/Ycgy6
3FqvzTKbxZfZNH8i9Kq9+pFjJDqUxKMQYW+K4wOvehEiPh+oOGi5hhwuD3UpjvA3t48co6DDhKol
Drk3FyNl8lEb7ITGBPq7n9kn8pUgLvulgbezXDk2+9MgozF/sGq3NxFwMFyduPjA9d3UjDLe7LRO
J0QJF1N8RAlYhdFctm/NWa+jy6Alinq+fzRun1VGJJmlJg8v4AaubJUNCZqhJ8GYRDhtj13uS5Wl
HNywe5+TXQHLYsVB3IRdWsll19KuD9paRNemLJXTnPf22wRvtTOpQPdxlfN8/VGkbY9Q7p/Ejz+b
SCVOSFSUhWw2SQvVzUKO3uL0sUehcP7YoGz7e6Rb+qD0jTgjQhi5FZzx4mBJ9z4wtxxApLWbQ1D4
8mRUtj7yTWjmUEnPL2HshI8EL0dlkNu6H01DeJFUqkwQyttrG3zHrGD9kAaVJM39ZU505yrxeH+K
VLT8zmo3yDL891h8AICb9B6d1Ob59TsJhCGVVpWdxL3zcqLI9kVdrsZwB8IhetA0SfFHxHIPan97
J4SjCWaT+pVBfPRylJ6P3HcY1ASqHS3enE/9c9ao6KFH0T+pAOxyf1J79xqXuUkNC+DwDUKuQMUF
Zx7oA7LC5SY1moYrTWw/dMiOHWyUvTOCi6OyIuTWdGyzUYZc1dh+FtDuWFR+7xhAzNEihWFimfGq
stxF16WY+y/3Z7hD0qYqAnl35Sjz7G9z3n6WqlEuSbgjo55CzwZo401TKL+JgLz+NvK26Tw488rF
iLLZcckV9fBUL4v9Ds8tifZOEdm/7v+mvTOzLu7KwCUq3makOQqIdjMPcdCOifZPFtnFsz78B0PX
9ZmmCgXEEgj1NheUbAmmRkNrwDa6MLBGZFgcdZifzEY+ksz/0xB7GRWwsEjgcQHSrrrBc5ILIznl
cLGnWSIwc0XN4U2dj/nsLlrdgtHIImzSIgtZr3PKE/oJN8E8+qeJyhj2iNp+Hcyqfyd3Xd74nVkP
2sW22PKU6LrFdJe41BUXCUeNHswEKvZsd45xwjGnai9SL1enqrV1QTmhTr51mjPOntYO9AGUaQG9
5ShJaXkLeF3NnRSpHQ5u/53lXCW7qJeiRHUrlIroNLGeBIJiKp1PSi/MJ4Ew+0FaunNSGYQ9jM8H
d+H2Bow0oXZZpyUB5KLOxy+cnoC61I/GMMoHb+bOHQQ4F0zIupS3WZMaZ9Vcr5gXfZQVNOWX8d3Y
qfGTtSzqz0KehoObYXe8tdfJPt0R8hqsAsl8izdaEogkJon5DR1OcR2oXr5Dwdc+eDf3lgtdDvJC
cqlbloRUOQPqGDE6dY3c059TphMM9e5glL31Yj5oEVNpuy1y19GitCXMy2CaRfqo9Gbll5KqeFDD
qoOkfr05N4dvlQwnAFilw3mhXr4ZJXqMuJAAcIgbY/6VoTXp9fTvr1Mveq+S7PSNhVPUc5cemlbt
TBLVRPKptStPOV99ObLSKTQXNcTJHMpAxhldz+xtkqfNd5FK3Y/7l+bOLgGkRB0BxhefdKsyZDba
jLTySieQ5+SMjUPZeb1Oz7jIWqlxm0JXDxK4bQGTEh45LGEywibA3cxtJS+ZMGijjWwHlvsucj98
ffP24/uj9tgmsrkZY302/yo3OfOgV7Sc7SBzv/34FLlvQvfg5tim4zdDbF7e2azyenEYoj29//b0
6Tn1nxfvu+weTWWbG94MtM71r7nUeiNmY2agR8dV/E+xz2Ry/yjuPfhixsoE/msU6Eb/fzrL+d07
x7u8bdwjGtrREJt9XdPNG0LBwufuj9j71LlvVfdoGjvXELbP5Ox09aBvbp/nTNOWYkqqPFhiqfTM
odAuq6PR6f6p2TuhkFUofq19jRv/K1MyYLwuSR40rU7/JIqTABto0wPyeCQEszcUETokAaJXOjGb
awhVtd7BxjYPUHlbfuJXGYUe7V7zWwID9N/709oJJpEbAtJl0IsnnNyMNfD066mBHW+pjuJJmca5
8cK8VT8moZoU7qQqJVq8pTh46feHpUSLEaFCB3Fd07+2Xr9y36sZlHZjT0Xv9jxalTvEwjjFky4Z
XoMmXjDLo3Nk5rj3benxgSmGpUAOtJnvzB38/0hq49SbfoJ75adCw1c3n2T1w/1PuzfUWtKna7Ny
XbdxupQZ6pTlFoFGVxjoGWFf4FqVLk75qAGmuT/Y3tNFNAPGG2TXrabJiAH3nJu4vcijYX5txaSg
nqy11oMpGuMhXSrtqsBNe0qLVD+inO9NlAYG5D8+qm6p2svF1MFlz3pHzGrYkKrKWl9Ocp3U5ySx
o4OXZO/t+nuozb4R/SiialLAJNh5ei5Suz2PxCa/Fy3B0aqOw9c38sHX41n5p7S8Undezk2T2rpK
CjwuemX8nehD+Ea0yREUkCiGf2YTeaxhFNuFwiOV3s09icxOQhMLSF5YxYb+KSd5XkoXLQYJ1nev
ymexJK3lhqGadR5STUbvxfhDUIyBtoSxT1HknqX00nwxa9usvDky5Pd4KGlfrTaPLBfeVtrgVpFP
hi/rojWf5yVrfmcQ4FLXthvnU5QZRXF1TMRMLppdK9GpjYuydSXk3wOhKFLnO3kWyl5cTONvUy5s
/H1KW/6mmIWj+hEY3PfDMIYfssFc2tOYq0Xlm+qEPYCTRsMbaXLa7lw7qfbNLqRp8PWsj2qvENqS
+4IX0fFbox56F4tmScLGdlneTqpWmQ/V2MOkGCUIHZ4DifqX0VK2+BBSx+XOCM1MuahV00KunRe6
AAOCht6clJnwulCyJnc2OgAfC6BYHDfnvGjfQmfDx7oWtqiIXcvpnxw5S/TTqVyCeyqi6csUTdln
bilredc6Fl1PFyaJMP5FynRCaKRV4u9tWifjQ17pziUfYCQ9SOrYRidyRSX1tEy2xSmURWae5DzS
8SjRI1XjXks0ySu1NHm7gEYRPk5i7f+4PSbzURVTop4iSWpA3Y1pMXxOZ1Jof7H1vHheyrr9WKW1
+YR4Y5S7izlOzTMhSVy5ojGXb7aROb9Gc5nPzoRDmtsnyEhdJcVsrEsh1zn6meMwvO2zQs2exnYc
Rhd2c2T7VC1GksfcyCJ/yQeYyZkz6stVxnkxciOZV++ECYQlfGXu9carRhPfzIrKZ3vN5EHJ3UhU
te43nZM8FvPY9tjKZ843FO5G2+umwvhcO0ZbuBZQMPtJlcYxMCplFOhWwyj3ZB6a6TrE5VwjKmLn
eoJ5TpsrbufAy4NGVo2dL0Df1Q9KFps4u/FY1K49RN2/tY6IpBsKyawxQwTP4LX1nMuPVbcYX3op
jIEXGmnhib5AstPMQEC4MxjK6HmgVNG6uW3W0pdialTTiyDvB1LVLh+1FAuF5wIT58UlI0gHNiXx
5cOU1M3nYW6NztWrTvta1eqinJHxNcvfGJ6quadi1XIU3+xcr8ARkYKhNsjfLUx5Sqd2EWONbHbt
lO+neJoxqAxHstYmO99/RfaHQjoEZDt33hYkkg5FETkyPMhwhK6aF9ECO6MyzqoUHrl0rRfn9sYj
3KBzioDPLUUjiRewnnZBu7se639Xs7JfSk+j8PUTWqWBucJXyaRtUTVKkLaDy0DyqA3sq2aZUsez
7dT4uarnLq9/hFHEBBjBK0xBeftY6F2lzU5B/pghVPDGSbTxMtAfny6mNhFX1U4yPehDoZxKWZn+
yzbB+JuqIM12MDibgmdRgz2kQpYGRotzZt7pjeyqjPtQSF33ejFgMETAIpAlBrl3gyYqzETu4oUy
sqogeZCpnCG7my4tXiwH33QnUlxzRuBm0HlosmymVWVTBJsakpvR59ozJIfwk1M79q+cuufHulX+
baZqPhjz5his5Dbk9QgPCfVvXCjazB6tGnYWVmVz4rUrjrlKpPQ0S8Y/9/fnJj9aNwrBN1Apyihw
+7eJ8UTLVDZGKw/MVhXf7cnJ30daZ4LndNLuW4X28aXP2pJ3Z56+wIVIq9P9H/AH1/ziHK7AWJ5K
NiyuyDd5jWpKZongL3CJVKSjv5bjH+fGaf9Z9ML+nxnrvFdybmeqmzdN8ZSZTWw/zXqlSX4XS7Y4
h5NIvsthIQMIGCmb3P99N4HR+vMw84PnQuf95gBjCDvrmOHmQRw2hVeoGu9Iu4yaLyrn5xBZ2sm2
J+GFYXFEz7sJNRmZTAHuwgpQRgT2ZeRXKkk8RnWfk4aE00nSivwkqmq4GJm1vFETYz6q3u3sOjoy
SGwDWSZr2O4FhK3rsI4ZsMAzOyhneeLWqj5AeBIHhYw/9/h20eFok5jQ5qbgvClk4Kk0g/+26HOr
Szi46hjBB5jU0Yh8Xesa3sWwtkuXiGXl7NZFjWDynDY/1Cwt38tYhH1SjUSf/WVGb+E69Eixu0Vi
tPFVc2rrc9625ojNSJX9AIwivgs1BBk3T0zvNKilspzGWlt+FZOElGw1hEBnkPNVBMaMTaN+4Urp
Ozdtl2l438TUgU9WC2WZHi76DS5hj0nJFgzo9zqKjMklHbASD//a1HG5DIbOjUq8hd7yKmQfG0TG
QleZ7fHr/Y15836xPWCl0hFBXxH2rfpyexRFbE5xgWlCwlxP5hJ2n41Eyh7+wyjUWGmWw++6uWdl
K8VbTRZ5IItO5RlJpKcmr480U7f1uT/XEN1PngeSkNveY5KmwhQgloPFCpOLEOF4It6R/SlJe9Zf
Cb1YqPq7OOkSPAyN5UfcWNq7EVSEf3++N7c9X3UVayLyg6IKx+7lVzXHUKZOCqokyfT5hNUVb6nU
gnyQtcnPbIk9ydtzcBz27hiG4yjouNveEDc5ac6ywpqogUTF/yIjHx5SKbItl/zSOod6qf+AfZg+
hUi+H9E59w49alErbwB0CxHwywmztSoOWVUEZj+Pj40sBtCMIcZ7g3MkLr07FBLaFOwZ7UY7KZUq
0r0VGIfUuU35XIrgQSFFMWWLfRBH7iyjLdO+R/OXohzdpJezIouItBk1qGBunfIy61kVVJllnhQa
WV5Vx+WjbIXFwaA786OghPYQqFz6k9tYr9Fqk8h8yQOE3LsfGn6nl6Tpu95N1MU6wm0qO88D9TKE
qGi27FiqUjgjgxjYNA1po9sMhvJgNk3ulq1A+jKZZRcySHpqst7+PdKI9qsERGdmyu01haJ1kYrF
eKAK1q1aqIsb1vKRVtZObAGYgGoQMmAySNbNA7bqUinTxHuSGBbgPORDcy5LJBDPGIeUn7Caar8t
oNPPU4YCGVouYr7eP82732htwnNk137m5o6sbcBUDal2sKiZ+Sj3xjP2J+i+jjk8PPxzDsK2veHo
GlIMpil+K5xZmXWx0M/Mg8pWpM922SJrYeTo2laDOC3W3E0HA27r9Ou9udKksTIFAXfbEm+HqnBE
3oGIDs3qLSi16JR3VYyql5Gl33G+Gs+i7irL0wpn/hR26fAAk648iJH2Nj4NHQQgiCNv3WfVSRJN
rgPhys02eczh1qEKPdRuJ+XJwf28+4nxZSNSJRYDmvjyYOdCXmo7G/PAFmZ3sqLEuaDGI65OFVmP
3dJY3+/voL2pUdvXgV2Cd2KOL8dT46kaR7OHbR3F7Q9GMhYPXW/9szEMjX6wnHuTY/tw6Ohnoua7
OTA9VuYRBmkZSl54t2dKtlyUWq0vJbI3Xm9N8X+YHHkGfquUNNm16+T/KoILpciscMGHo+KkXJaw
+DA403RKMNz98vrP+PdI68z/GgnMkhIthENBB4TBB3SYUfei7oY78VHBdG/FyCcw3lrptsb2zKst
HkOOQsY9t1XplqBEn0Tb4VkGt/Lzf5jVikimGgp7chsszLCqsXoGe5fKRRckFofdL23utxGTP+mg
krDutE3IvBICNLoGf9T0Np8wo1QmUyVKgz6Oem+0tfkxruzlIBTZ+3qrbCuhubGTV4+tmegdYGtU
0Bftc7rE2WnqjOVcLe1Rkrs3IRIc0g0yq7Xz/HJPDMIho65pA7eRQPOKcnIANOwIH7kTW7ERCF55
BsBSbJsg2Lub6VTjZQcdGNVduY1d3Z7bB2Mw41NsU55N6qG9EBAeXVV7n5IIHYIQKNNbtYLcFGBW
eNQQfUsT2EDyfCUPzzwxZeX5/kbc/ZS8cGCQgAPcEGNac8LCLDZFQHgNl37uUGwdrCPo7O5rQzQF
n5CcmP7g5jlFvT2eWmtNOUKnP6VtulAoleOPs7akZ4JLkbqob3UnLVuoVYx9ix22VR4wn7ZN8D9v
3sp5ghzDw3cTsYY9arEkPwKn+k6NTqkamhO19FQ/DylCF0CW7BzOuYSMg1sWTtNfyjJHLzvL8AMm
285zF6BK/0DMfVRT3Nts3Dn8MkpSt1SAZojSIlRpAhSA8R9Hs6aJYVrSc56U/4zhJP90kAL8MdBy
OHg59jYAVwPJA3naLXlcDW1T0pxKBJM8mE9WNyZfEcI5Ej7bi6p55YGGwYbEJmaz/lidqEVW5Xlg
JVb0K++n6JsjdbOrTEgoAFCbXGfK6sv9vb13jJjSqvi0wo23l2ynY9Bkd4iFGbkhP+XKnFdu6Fid
7gL4U/+5P9jeAq76gvjO2FT8tvh7s2ntRc4ZjB8DYVtLxuqCGklIfNzE+gXFqfjtVMujT32uPUi1
1wt8c8GvSHjySyQUqPhs0BBxJSIkX7kPaSjpH2pF+jebhPMbo7eYHLgfmoNW5s6eeTHeZjWbOFQH
Z22Bd0IZhFuo3fyPs6ipf/+T7g4D0x6WEiHNTQzO9Q95NtYy1CFK6UmqYcPTxD2IZPauJuQ9Vp4u
wCL9Romf1ZTpW2KSN8TqMFyRsaKUNEup6ZuJMBVfMs1EcY2iN1U3brqmcPFwSoSf42b36nY0cmiI
AwMfJ/3koGxeatnKGi4/Ysb/4+y8diTF0nZ9RUh4cwpEREakK+9OUNV0Nd4sPFz9/1Bb2qoElCh7
ejQadat6xWK5z7xGlPkPzUjxqLY70wPTXL79tcY4B4MN7mQ8Z9adGTnQay1pkTHturz80pY2Vaui
hHuaTeZ/iAyWRQRFtfSBNvDwnua+1mUU4mxUTD5WVmo8R0kV+NbYWwdp2145aCkKctVQlODkr0ID
TGYKyWzQ7DMavYPZNKndv3lalb9qWVQPY6IEZyVrBBIROPSdIOj2V1UrOsXFKVE72L879w87Ci9o
cI1onDjOyzBlaurKlhSCZNWMwq9dPSmeMZT1LcvC6fT6UXl9KGB4L4cqMdHuZwcQXjQFsVd2nfCR
RMufJI3E+fWhdq5yWCnoZFKHcRb8zcuhGg2r6WYJyKNUAbNkwX4ZoyS+OmObXgS6+3dTdISd2N4E
IJcAo7JfSeB4wV+OOaqxaJOippQ+Bvj7BaHxibxRPlKc3t6jDMNmpAC0xOXrlE2LQsuYHWqJfW9P
pziMtcdmkAo/kArzIW6aI5mKvfFUhDMhnLNpqci+nJaailKbFco+cVQpblMpwaM6ROmTqvUm+CVs
mV5fur3PCJ8YoMYCZSTCfDleYY5O2whY0E3QWx87SUmfWlkRB6Ns9yIWZNia0PHViGjWaVSsk8ub
SG7cBkL//6HIHJzTLhofNTk9kCHcvrmMRAK6aAOQ3azzgFSnXThFwOcgLFX/mx08uTyrlY2LHYw0
BVDFvRoG3afYxo704BjsfUvGXIhFZDy4nrz8luA44LJrgOpKTLuuzTgqD/FYHeGU93bIX6OoqxXT
gyjKJ7VgRxqt/C5Up/RcRdN0NpXuuwSs/iBi2hsO987FGoOIcIOvTToCczQYENKeqtYrBslKXOxR
wvvY7JpLw585UMfbW0HazkS8CnCzDUDAbDQlGOC83mpFjK4ZWUBsUOhASHIMPkowAyhK9sn3vmqc
o3vsj6Hky6iJmhO4KPbPkvRv8jvYIh0JVX4bkqkFG2IRQbktXvOK19Mf+VSJVOEWlUGiaEF3S8dO
eoATgk0aVqNfiefMnwj4prVrj3mSI4MW9Af7e8tbgfJNr5oTS0i5GFy83GS2mhoDzQboo2BBPoRp
mZ6Hug8+oZDVP+BIPt8B8cIiPcOwRuS27KIIrnlh39iPWWlFBwf7z55efzEAPfwikmJu49XPMWTQ
UHHbw+VGLqJwOzMPai9JNf025INdu11kFLGPtWY+naWhrErfHtGXdWNFy2wPWJOeu3ZQm7YHVBxf
81Bpo/hdktSN5bV9gtudlc9gr+LIpsI/trUqH0xhOZXrGfAmE4NwJQAbXQ7AX9WkSNhRGTtmfnPI
/U46RaRzh34VjGO7flQDtKOcDBnCqRoKFH7rI6XknfNlYN+K+8MCkN1kJFg8O1MSqcXN7mvpeZD7
9qwYmXGpy8nxqAkdiYnuBLccZg1tTxITKunrG5LDJRVhiH2QSBz5OuEC6QlD+6qPTik8Y5pnTLiq
EoAHUgD9kxBG/gWW3fjWrw5Cl1O2SEChr7J5V8vCzP5YJl3xKf4maj1/h7iCubRdjbu6qvNnba5B
gclztuCxjOvrr94mYKE/tRDQIXwvDgTr5goTMzGiGc2rI8E0KsGNPdM76h9pPYznXMVAl+LpEbX/
z+3xYqchx74AaHmgLIiua4T6aDuznciJc3V0RC0fNNWEAtUMqZ7e68bofEHM3EZCLOti16xt8a7v
Ktl087xLIj9FNO6ZWp4s3QXOROdwDtLwY8HmfZJNVHdnvZnviR7Uo/xjsz/50UheIOVNZRdJt+W6
/ut4UKgex6yU7Gsvoq8J9oUX3QrTc4OQhNc2ujiIWneGIy42oTMDft8yxrCcbILFjveKFuj4IbCa
xqNDjLv8FEq/bFF/eutGgOoMOIGi2iILu94IthXKvY678LXUCo2GVhp0D1qvfpOyQH+XI4l6BxK0
PXhSN9EQfi+4GuMoTOVWp2b58pOOeSV6ciPnCpZrutq6sD19QrtyGJDOfH1+m5CEoSjTweGkmUh/
Z3W59V05hkEzsuVMVCJ9G+3C8E4HA/LP6+Nslw2qAiS0hWrEB13rDfYGp4lalXUVQ2b7iZ5JV6sD
PRXMcXxuK6EcbJPNpY36GcuGXBc9Zcqpq13ZqoMtcrWxr0YX1u+dtGzvBICKu9CoypsyOr0rWWX5
ZI8o6U9aflQ+394fiMCQ7KB0SF17A24ReubIc6tY11yTg2eEQ7LvtC07RjUK4weymTzKjiVC//Wv
vN04DIvYG48FAdImWO/qFk8COBbXyJLmSwq+2EO81jmjVJ8cbJydBYX+SxBG8YjWx3rjhHmIpqXW
Sxx7+TMAbfU6xLJ1xuy98PtqzL68PrOd4RZrGcSggItz8ldhBFqYebmo7l8Tsx5yFzJh832w0/hp
LHNsHobpzXgo0BHwMllE2vpLR/flGZwa6JlUApyrPRT2R0lUspugKPoN2DndHaX+9/X57WyYRc50
Sf251tg3L4frcJMkV1Wca7BkdANM7qcp7ZRnTbKEWztKd51lrTu/Pugmkl7miAwGnZ5FC2AdKkJD
AZ4y1861zXUnvIT46FWuky+wjxmUUXpFIlT6YWSF8rPM6/bIB3t79zA88IxFM3C5hlZritJvN5gm
V3nNpM+TraV3AZM8qFrtjcK/HfFf3nEO47Kz/nqf7ETTuqC1nauohf5VoFB7K+PwzXVHg81Cw8cA
1IJyxLqcmofNGDoS1GwrLijDS4166qr0KJreOd8vRll9MbvW9ZA6P5J9k9OchFOBnAw02aXqcPSs
73w2YNjsSd4EVmd9YYcl214P0Wu22ln4SjepV62zg4MLa3cUlgawq0r9e839GqPKGSQievqz+XxV
xhSsfDi/2RWTxaFbZdHHgVjBg/ByCyihouSiRkpUS4ovcxtkl7xWYk9Y5nAQtVL85d/1MoYjTl8w
GSgrci+uIQNqLgZ1jDHkbgbberZKEX7rUUd5VmY5StxOSxGwiotYH92hzJHwAxeiZl+K3kCwIeg7
EyRkFAGb1of4DrkY/Dx0ipLPkZQl/6ZqCAeEIw2aemGSpY+xiTadHyWd/D+5jMzOhaqhfrBaC5Bo
QVkP39Kk1x8jO88mN9epP7spIS0W4RLuMRag5thz2rhXz5nSCvUTQXkuuwYKT/0JcXuLQDPL5cQv
BR6UHrbC9LomqzTfmXNayOQ8kpWdpEHnZXM6xf5Ht1O5gr0Q8t6k9ai/s6eO3KgJZ2d2o0HM0xNB
rnFvNDV6pP1oyz/L0Un+jSLNeg+BPAz8QcLNwDXx1fkNL7T4kGUIGl4Kbv9nFLiC0h9MC/yl3Emp
5vV4Cn1NpKL80fRd7niDYeS2n/VVMOCvakWfUhtmjd9CvztpgT10d0E3mo9mMRT9e3O2tY+V4Ywk
4k2gfUtaiBjU67UFuBOl0mnotDF0TaQ+pXOqxOIhH4cm9oZUSn/EaKLFdwXKcqNrNUrtnLFejwrP
diQBiDRGTwQSzIiiXaca4hkLPUX4wdiqladnudCvc4NuGJJhydcS6wGByWcEz0WK5064RtPapmum
US/50MqszktK/uPaklE9o4stpb4I4KP7JrGbzEqZEmWIllf4aaoBQtEwmrR7K7fG+lFS86l534Sa
/LsoZ0XzUoGwh9sLMYt3apCml8QsMXAJKVxJLoCX+n8Vi917w5wGiSeaAuKIbo/l+9kaB8s1EkfU
d5Kqin8Ru8iia82QrIcKo8Y1Yjtx3plJpcrPfW9SnyE7aR64cFHpAA5XAcmyMusn/jtRClOqz5MP
AeTS8kAOZfcUcq2Qj6CHBMbz5Yk3Y6HIMMzi29SGw72iNcHJMIv6IEvcu45t3hYSH6KtDVh/4ioe
McJBSKcbYh+Kz0wzukv8OhiOXJn2hiIJpvqwqOLR8305IVwgkWqNM+TzZwnDKdIPkBJxeiEVag5k
AXaGIs6CL0+5ZqdYL6tNORiJkK5B0mpeIur8XAkzfNDa3jmCz+yEdZAPsFfggcEcdn1btoaJ8R64
ZkxE9O5kTnJ6Mkoj+ynlYfYwYBxZH4StOxuD94ywA4X+pc2yirMy2K9q2RfBdbaa0c+x9PAFx+yo
CLc7zNLoWCwPtmpnLYDhDH9dgg7CKT8TneM5NXb3Nmoqrjmo+v+Mvk7vzCnX/NwMy/teTL8A+WV+
OJvF3VCpndfWZX/3esC3E2VSikXSjwCavvo6FqJNgufPHNrXxqzwegidCLC6kE+tZZc/9Mk0LgRl
R3CRnf3EoMCcF5/hLdkz4EKaM7DF147CqR8gtnLu55BOdydZB8d+u52oyy61fSrDi9r7six/xXrT
bKPDaFTqVQnDrHOjcAziL7UMG3gooib+WQ7BkYjGdnZsJxrNlL/pIFKuejlkWEAvHZteucbjYPs1
QqOnQAXCnRSi919fve2mWvBLC72a2W2VpAIbtKeO+cCVlMX43odB+4V4+WgUkOD85BchDFMhC+Gv
5VNugBcVKtuTLWjGJHpvixNG3uZZlcPA9NoILQ13Givr37RoFV7FrE1sV9Zzyz5rZVAlHiYL1meV
PljoUzWLA38cQsiYKFqOvE2lVbqppjbCjzrc5TEILtXnGF76iN11SWiEarOenqVmMN45NT7Ql6yY
2h8ZWOffSpLmXwxnCtWLQ1nbucohJg8PGhej7uV0cXmEnFH9x2xrozljbDJ8s9BsnO4qxJqsU0AJ
7XuBJ1MM4Tdr5nOrZdl5VoaeNlpdGtZ1oVtXZ8VJJts3ezRa7qWu4XkP0UDSfUPPYseTpaFDPwRz
nuAUlSMYW4Ww6kcO27bEvCQXiauCujf82JZa1a11p/7YNDCFeZ5tcABoLlqKVwYdWTlq/ZqFKHtf
R640tmXgSo45qa6ehanyfcxLswQ93mQwPFIt+WXEdRx4vJzp/0LaSPq5iB3nm1TZkD+csMjuG8UJ
6ktNdFB6mW420bmDqP4rzZUgO3fG2H5Q0qpLsKOIy9EtIMtlbql12sMwz8N8r1VOFD46qWT3XgAQ
6psxxCYBYGShCp476XwfydOQ+TYqO63XyzWW8noXlP+02ATjslii3OgrcZBKEJy16sF2srT30P2Z
dDcZQ+33nOX5j7RttXssb8rhpGbh2LiWlYTiLkkb+Q4vVLl1OycHPDEU0j+qiSKlrdTGj2lwpLu0
V7NfXd2Ib3WBaQakgQ9IGpVdEOt3WaA5H6dUm5JTE5ZdfFruXCi/Zp4UbjQn/W8WXTwmWjcr7/Be
MM2TrfZd9h5TMrxle1iZtS9UafrUxyM0nTzr+4uUTLF20oO8RdCgip1n1LckAXF7iGk+mHN7ym01
ia5FpwWlh8tn9SPLYBO7elwb7blxZjm9s8xA/12OlSN80i0JOFjU6KmfdTPktzE1grOQw6rw1Fbv
Yr9oupAtIEtjPbmDMjYfAvjviyV7qYkHOSTidtuiMSx/kAMtdXGBhK09zlJ7Z/bZ7NxR00dPc8SX
91lIkc5pMIcPcxk4j02pyx+niKbgXRW2WezmvZl9pnmVTaymHtYn0dp2eGksrfkBHwRGVAXNsv8Z
qvOg+LkjFEL2dDLEJYpB1OdxU6fu3Ioy8iLFrgbfrvr8boyVqva56tUPrRIZ85Mjjc33ujSdXxY2
EdL9OPdyex9FIXG5FMbl/RCZkX0K22QAJzNqmeLCImif61TL4FjCv5Yuk4TQGdTEwPmMF944fETl
i0+pJuxwzidPyXNJoNJ+RKM1bt7PatGEXpeRFN5YFRUs+tx+DRCQMy56MVefqrIW88H1vHl8uDbp
kHO4AePTzV6FaCbS3V2xKG0hkAX3IZST/mQblDdjUeiuQ2B8EMtsnp6lZiMvfEqaUxQ4VrHMIEdY
g7dwisME5norydo9SpmzF0IePCii7MyNgju1ALgG2NWuwRRWH0iQzDAky0OR34m0SE911rYXUcqV
B9//sBWibd8g3HDBs9KAWihSq0oHDUvDbOMhveltnE2+QIxPwlpYy97nUjLXv1Ul5daMNHWg05FG
07tixKanjyZFcacpQU3CKEbrrrMWW903PsN8dniLPPeLowvUm5cvfqBHeR/peL9Kmd3gPKQE75ug
6z78l1EAnbLA1LLXEhmOVs+SmdrUETq18iWEkZ+4y/p/Xh9lbwv9Aa9QKYcUu66/9J0wuqpA3Ec3
yvkhENM/mTXh3Bxrb3bMXWYCGYseqkWlcd1I0ZNhbtAqTNFshu/VF+TR0A4kFzPsow7mpva/DMVk
cBoDPLZpHba032V0YUEklAi1hV1tfXcgB50z5Pa+lqVpfmbK/bWKQ3hSEoiBgyh0ixlefgDYEipB
9B7w8ny5Q/reMsqyCjBlbS0xXvIiNh1XE7JTnawqKAJXo6Rqva+xXfttt5WS+q1DYQiPvwA2aZba
ELDbyLTcUJGMN1Pw+HGUwWitsrG2avjokjhaY5icrDBRbtVs6hdqJ9KlxOnv4KRs0o1lqGWQRV4a
LNbqOyDCMVFUYCGw4ISGlSvZk1mYqTsMdOvcKKBgUzbzUfdsb/nB9tAkXErbGyJYi2w4usvoZ2OY
bJxgxHJDDMK8aESAl5YC6mfEb2cvHaKLEh35t2wvSlQCsBog9QMRtrkcLG3A/KsCky0ko/yMeZLk
hmjauUGupamLjYZ8kK3vfWOAZ8Dw6RSS1y5f46+UBwMzOZBaoKijYQRf+iiUPKwzAjdth/yxq5J5
ibSrgzLn9tpglv9/UGqdLweFR0nvKYlxfEez+GIgFHw/iIX0Jw4lkjdJD3sIf2OMRpfS7eZVBa4l
OhsS1q0fVcJvahbPcpDWBzD/ZSe+THmWURZ7QrTQkTxblvWvr6hFHZS2gAlRy1Q/4HiZn5veKDxk
TnTFLcfcvCTR8E1SGuf0+g28Nz8Se4JDerBbylcVcc3jwpjeMDBPnxJ07n9YsfGfRqEIzrJw8nnJ
X84v71MpsHhPbj01fChXdceN72R3r89lby8uQGRQPiB3N1U3O8dCBnI6WEEReyNKCSdV6fRTFtfI
+syNeerLN1Nv2R4L7AyS0qIfu+alWyWwIuCPMPTyYTi3Mf5tVVNHPq2N+mrNVuz3ejIdbP+9NePi
oqNNpZT3bHWvFVX5xy0FPYGxCb50aqq/pyR8JI67d8hQAoWozntFZ3C1Zr2ixXONIu4tG0XugaNS
PNR7xIdOL4+UaPe2P6ErOM9FUpCr+uX2oJ5ACx1/jxuJdR+7Q1fhwlensB7QZwrcFsNKYNFldk61
OPz2HzbNH7QLURVv9mrsMqYD2HSgr3F1tbymai1a8/p4yqyWqHaMU8kjFZZ/vD7qzseF9gC4CaQF
rZp17JznEVJdA/e0VMX2QyahwCAsKfmBMv8RFmBvKOAVLCA+mSzmKpRFNaQlFOXjzrOeev2EBYyi
5YXf4ZV2EKbvbEx2JOqG9vK4b9Aqmh00+pjhvqYWynNMhfG+RrPpoLi5O58FPrsoNoIAWC2Y0cI3
5iQiZdREAdbIQehi3BF9arvx6FreGwoTZDYlnVXUE1dDBSmmRCkMtlvQqsnjNGbG+yCfh9Ft03GI
D9KpnY/HXcINCdAHHsAa54cYgeaEA3LmqpnK3qBF8VlT6iOG4M6UOMuL+CSnGnOB1d0xmelc0kxN
bmUm/UibIvdHKVevCI0PBxnEThyEFhRgG9YInOzmahTAKcU0hTeRqv2vEAGgmZesVmjuq4B2XYTD
HPG+Kizrf9pUyPU9KrnJETp476NCT6GbsPgbbxQulF4T8KeLEJt5cwK8GYVnXSqPyI87o8BHWdBF
hLbKJhNu53IkN6c7kiBTcO8MY2R4VlLZR3HP7jiURBEPchY7itXiAcsYWxOBOyjTsYJjcxY+Z9AC
D56XndsY1CO+V3RFTDCfq1EUOzXVIZekq9rlhUej1sE5Xpmpfwn1ya4S1YuwLXgXAh87CIN2Nif3
vPmHdgMeY50OqkYk9zH62bc4DNCrM6TghPi/7XfhHB3ErTufkvIy7w0KJJgHr7EnodYPKmkBrsyo
F7yrB0v5CUMuORhlJyIhHuEnMtQfhvbLh22ORdxJXRDeShvL0pMiQvW3kZoOkj9jVttnWCvVeC1D
qjNvvyX/HyWLziA4qTUALSv6urRVoBrtQOXPidLaj6e58sdCiq5vfsu4hW3CVsRlARGtAoVBaeIM
MBtOBVWMoy4VjwKgYhifsdBS/8O0SDWWNiTYr01vIO1T1PQDK0TSMOww78ki826CiEpbOS6GI2Xo
vf1Im4oCEEBkmO/LJvorLB9qw6mluIlvqSBttBBp8gcRGL4dS0etsb39uJTRAOxZ1ELW0ZatKq2d
qTPVuyIIHymVThdJG/59faW22GqTTjE9aXhJi6DS+kErndoYTOoBN+o51SnR0vo9slG5V9SDdhqT
VvjE6RjdJpJ5CuLBQJ5zejMaht+wqCOgmYcGj7pugUax1SVyQM1nkHNxzTShXLQBwX4RNtPBbtn7
qJzuRe9Q4QHY7EwpduSkQFE1zaL2zh6T6TKmdnxALd39qpCRgZDR/UPCZZWOkhrQM4ZGcJMrRfWj
UrXO5ZzPrgUX3uvkLvMHVMW8EiUat566/L0I9DczmJavCiUExD3abRs8ZDxNfRbKVQyftizPMSVb
UJfl4IJ8yQ6+6t6poPLI3QkpHvT16rxHGK1XXVOHN9CrONJ1k+XW41j/mJrDZuDuUFC9wc1Rtdvk
xcLSIt2AaH6DeZ+cVKTRfG2MIUPH2puxq0isgLTkcFDuhKCyCpMXhTHNyZQcon1XfwQ4Y31BnQTF
BMeMzIPQaPlCq3R/SYUZDtQBYhqrF1bidFt6ga6LlLX9WZblzp0XHrZaJ9JFLir71+vnfuczMh7D
/QGibY69LHVJqMoI53TVnEcoEKvtg0ah7x2YreBgd+w8eSjILEMt6PENS7fXqwHiwsJ7BFiQ+Aax
no9MglOgnpDm/A09TS6o3FofX5/jTtQCSYUXgVoG7NV1xV42Sq1CQZY0Ry3nU61WMfebnD1rfSMj
dJs0NNk6+bnI8uHtUQutFzQsYa0secLqPIx5LnFKDHQQ2mH0jTCKfOw3s9OYH1pQ71017FGcNheF
RupSq6umMSfkvDKM6+lW68K1YnM8VaoynpPCNKHwa6o4d2Zp3VQJ4JVfjqIz74WjdV/f/LWX0JAG
EC2g7XNVSUYcZqqEg0bQ1Y+RlDYe3QL61mnwO1UxjJYxR/LHEarZ6wPvXOkMbMKOWcTPN1u5TGdt
qkzqcVGuOo/wxfXHtkri0+uj7BwY0lhudISeeDrsZZP/9fAXYSZ4o+g3qZRYPilyN5zVcFoENQ6F
ZHcn9NdQq7sAO9reGmml3tqxMn1HmTPfkrujnsTO6VjMr3UyskVm9Q+x8K8JAXONqmYp06bDkP+E
uxt+VuHwXCpijqueFHECjdAo6EGbXfH59Y+5c9u9GHt1PlRt6muZoulNT/PihDaXRSGJ1J3bQ3Fj
vu3BFtkS6hfSPoV/yv5LaL+uNpYiaaZGQlkK9GcYAYgIs2vSpvZX2iIYTQ4dmlZuA0jKl6cgZOZO
pj0YYTk/Ih2YHwFa9vbSoltAMxGdZ9RSXu6lRJ9ZfVwfbzz9CPZbdIgfTXAZlatrQ/fp7d8anjtE
d80AZvXn/vhrnWkxjZoDRANxoepHQbXsHCWIV8N0jP1MGd+MreJLI1eyvCtc9ZtKpIOMEejUiVpM
7FS3SNcbL7F0yY9C0zjoau3tYDJSokYSbGvj4K5GIhgiDcNmrQYpAlw0iN4PUolwetQB3xmskKZr
HZvB6IPNSt++h4k+lnYe18I25qF8Po0GmoI3OZ5NYEfitzyhd2OoVfc+sZLsYAvv7BlUWXAM4g3l
Dlo/Kcqg2VMG/PjW1337Duko/V8RDuJ71Uvd0Y26O9ZCL6VVaW5BebZB/7ozUdNpLWN8KALTuCqA
966dAcfy9d25NxSEDwJyg/LT5qUsAtp1msK1GrV99DRLw3w2w7z/lEhCvbw+1M61SozLzQ2ZhV7s
OpxLi8GUy4AqYTYaybsRYPAd4JX/sE6EpXw5FfrUzjoFlI+FLS9dchF9n5pWeC3go8e+a7SDCak7
BwBIAs8t6Qy8mPXRltCRSwKkHm6DPVsS4OXKqk/lwFVyHoELxZ5W50nnQTgDM6YWlvkrKHRUfpNa
k3+0M97fpCblBMLVUNJPTT7yR6J2MHFIkfoGMd8s5P+3xmTA6RwIhK08t1G26hAQO43qlPSeEzlS
7GNoxYYPy1z7jWX6kJxlI8CFIG5tUEivr+LOhqFlv8T+MKFwkF7dnSDTOuDxsBnQUhUnaF3TyUF1
8jlqhnevj7T3dfEkBUCJnAaJ1PLP/7o4JTsNmhrJeERYVOSNQbBe7NFMLxg1lNgA5rmndeGI3SMu
i6+PvPM8AqxmUanQL0TI1Rw7q62DXC2xreuT/JTwPVyRpsMlacPWzQu5P5jpzskAEwxASOdF2naP
QOdMODeBGu9MPTyVZTB/A1nvHITjeyv3hzS+tIZ3GhxqFM3gMeNbMEPSS3p1+CANqJOhvnsU+e8N
BSYGEyMwt+T566WjTmiEoUxBoTZLX8RhfYYokrkpjP2DtVrivlXiBhN36WBCtuIxX77t37tkgnkv
qwEWLXoiDRez1cQ3VULJynPKID7nY5K/h2tahf/hHCzoJ0TBCOA2aBwxKNYcJjbjRoAcIU2N3/Ng
fOoCS3x4fTfufkxeHWT8iCA2dQS6AkCIDSO+WVKYIDcX6h6So7o3KeVRkL238ZctSC2bisXmkWuH
P431KUYAaMo9E8LszyzIZM9wwunBEhRQXp/aH2ek9erhn0BgBKma7bI6aRiKmeBUkQGyhsj4RtNB
/SpAAb+XQeh+Nao8+jRmAoee2KqjHjn2QP23BO310YZYI3tyZ0mTR7yDDazVi+KKIEE3uXaDJeOA
x2577hKr/9kbjV0BqBEjXKfRELlfq6Vxr8+FfuTVuNNhoXbARBA14n/W5Uneil5HNia5FZ3d01CX
8n8q8t5fpZXUvafPuk39p1ZHfwZ78Fkb7GY+eJT27hK0gJay00IfXZ+HxrBHqxYW9P7ZKL9qJj3i
Mg3Hg7bi3qmjfwlqipVbZKBfnjpIQm2P1eBi9DsVgC7j5jLG+WfHGcUdwOfac3Dkvnt9s+ydA4qu
C7KeDtYm0Z7JPJtAp/XXW9IvKEfKY5Um0Z2atd1BwWTvGNgLqZgQjOLTOj+YQwoUBFzg+WZZ+mFL
uvJTa7I0RNxsLh+GpjgSHNt76hwAhH+gA9AEV58zcvBEMY3FFD6qq2eOxOQ5MYZTlWTrrlwN7Ret
kaZTlrF3X/+o24XUKGbBtoQksQPjbDSoPWXJTd06Q3bC5HsAAG6PJxv3Ym/ssEwVuREd7J7tdBmU
PB5OJHJum1b7LIhgkgRbWCloiztV0n8NZqp72RyquB1lxnMTlIav4q56UBfaweExMidzUaymZ7E+
HfZkaHU8YNuil1X6DShPZrhDPM9QEfEWOMFLhvSc1CkKBK0jDdw7hvMlaJrySWDspLoNIazqNX0W
HV29W5Ue+l5QKxbuiLYDIkUEXVVJCslnjMT6AkqwoIuOlnrgG0pf/MZlrDRgSkjJczO1xa88nAmI
9FbVvqfAP2aXzmGeHTxy28uE34TIDYxfskoqai+PuVKOpZR1BNNy3rV3Wo/GqVnDSXx9D24PNmUF
sANoFOwpNFpFAqiqJNxygty49VJqR16VxZLqdrqTHzn37G0+UjgwxBQjFumtl3PqlDy2O4krOo1i
6T7PDNl15Gw8kUzKl1zWpnMXlvq9jsbPQaiyO0+SKZBGqJduDIqg0MB87Gj0g3aE2tCDgaoFz5ik
ILz0+ifdm+Qiqg07CDzypt4itCbJYVIS64VRfo0gs8ReETiS7tuZVGAJNwX2FxE01X0yo9t6sG22
9yetF8IVpP0WpOc6fg6T0Ex0VvAmtKnxpixO31uhFblzOSQXXU2jgzfP2rvF6KpS3UYhZZHnebmm
gGmnWJSLDXqvJY+x2g4lROCqaCGN1GjA482Y1ywuLBFvLm3IqRkdy59W6jT2ybK7sbxCN5nqDyi8
wX6ZNRv2bDTEw1Ovza39tY8HqT1RM0vyx9lSS27FDvymT35nSHe1mY7BBXPrOHWbYFIcP9LxwDuP
wmm0U96DykfPNSgal1JFp0GQ6MXjYPZJix9XYCL9pSrBfZ720CZKeza/0o22Q1eORLFQf0r9Mai6
SPZA8vcVzP62/JBZMdKiwyhp5QkRpjw+1TNcD9fKampmIe8ithZ61i/wVg2xsZ7Gn8Sk4xICEXA4
bM26SRsRbzL7XwY8AdUfjNGiw1n3GYc8tifLK5oZP1nVaGuYgY1UDP4sNy0Mk7FPTbeajV71syYw
7bPaxZHiZpWcj5zfSK9uUpKP3blDEV/cEcdpn/OikrvHHOpK5Yuxl9/JdPhjtwvMPvLndlC0D68f
gb3Ttkh3LoJnNHHXe6JD4IGXi3b7lISaT1kHa0LCw4sY2vbgEd0davEu4T5B92i931ua1SI2M9rt
zpyfucBqD9GV4L7Bnv71Se2drGUgbAFpb27iLgMG+5zHPX1NlB40t6vN5ANJiHlpR7v9ZQj5CKq2
9wJQKqY1tmgCb4Ku1pp7MEMC2nRuFYYrBaHA1lHiKB3cWHszg8FIjXhhhG5Eo2SzM2kjYN0+y0nt
DbRj/U4RrUtFrie4n47UxPbWjNYUgE3qvzy7qytjDHTExG2sdDR5ri54Kgm/TPvmQ0dv8/T6ou0O
hSIWWRW+ERslkJCHppeLKLmZctffh2iE35RKa07TZOr/YScSIBP/azBrlbWjQjGBX8+Ska9YFPpJ
alLdFWFUnyId/tHbZ7UUgWhNmkv2vZKLbk1z1KIKNeUpH9Hik4YxuUNLLAjIv1A7f32wnQseAi8S
dJRH/qhSrS54XZlQnViMBTU79bTZsTsXrkjnotBQXVpUpJ9I8Y9wEdtsjnYacFsNxgIJnbb8879q
C1VWIjsqEyrkox7/omMjTqmuCNutjRF/bQr7Aa0KEzwxbFbH/BxKnXMYF265t8CV+OOoCFPQR7/x
5Y+w5JormaflBpTaolpTCOlJcgakSKtIZA+Isdj5hxB+cI34PbBJD5ub6nMuyzlPb4xoy8FS7BxU
4IqLidJS+6S/+/L3jEqu9mZcoqI9lqjhocDo1kmpukZUpyezDY7IVTu9o8U2AY46m4yyhLz6AI4Y
AFNZRBORmqhuOznjnehm202qyPJTQ6R3plVWZz2cw1M6zwl12C64zTaWia9vwp27UCVwBOdK2Mh/
Vz9E6Q05zm2ytOT/ODuP5kiRNAz/IiLw5gpUSci0pFa70YVQO7zPxP36fehTq4pQRe/McXaVBWTm
515TlvLaia3syavM+Pj+KrvPS4eVuQoTZdQGTw5WzyQQZWQMRHJ3gyK4lXfE2NnEAR2ZlGF068jx
WsQAKBGC3kJaJBnAuJj0ni+kVTv3FtgkOk4MB/gpp8+Lnl3TOAg/3MzLnITI/XGZWMUa4LJ9qRG0
t6kg56M7R8+eBO50U7W4muktr7bA49WvAEYEC9/9Q06S8dNOnPFCHN25T7AtsrZ5pKcjoHRysiut
WYXSZflN2UhdCUzvrkKDuvRjNTF+jrU6fKxGt72wf3a/LJAV9hBTkG3m+/boVEMWZxWA+Rsz7ozR
V5vBtWDt6v1PcsT2AS5E/rnJpHVtpcvdhDw+pV6tR0M6XNL6333+TY0IWhI3uH36vnWb511bPq01
KPCE03K8ZbolH22ZySuK8f4LXYf5UnjaWRbJB9iwxFzYGaftsUQIOnR0VCOtnnElbFY31QIDKdNj
DxWgDmDloyE0tC4aju+fqp2V0VJjWrj1xvhbJyiN1kkGexSFF5mWcI56W9eRNznzlWJCN87R+sFh
pr4kzrVzYQCZ3bxXNs7hWTfQQKHFSWsWzTBzOIKRKQ/2SI/j/UfbOaZYfjGSoTtB7/GUFwr1yWVO
iHx0DnQ1VLo8CXvTOA7QwS9s4J3nwaqPNjQXLs2x05wpWdcUqCK3fgvqwp+NXn8USa5fWGUHUYMu
ME+zgRFZ6LRCx4fVEjir2FGHY9kUTKJTPuaaO5AWTkmm+KtsbfNehZO14fHbDvXZdGiSu47GTv7v
uRufjmvYQ/iCTXuybxCYjZ1YFclNTLF4bFBg+DwVjuWnznpJX3DnuTf+EKhkotyW7WxF/V/pBql9
CeYNlLdd47Bae/G6EMw17fugV2sX5JrXiUPbrvFztulcBHU+jA+e6I2f72+o/R9CSkzUhbd4Ntd0
uzEdJWHoBr2JGEepJguwvjUyn0ZZDOd60I5D2i6BnulLWGWz7uuxaf96/1ecb2veBqojfzjm505r
S9dYLf6/SiTVFpFnfg9CUa6N8rBVXThBuw/MRuOGIM1gy+lv33zbVGY6JpYSFZtbWWAkXW74WWNg
DVuCnrhGIkEXV02qKrnvxKOVHisr6W8QQoaJ/f5j7wQJwI48L41RaCcIo779LSznFcKyEmZnQwps
u2nt5xyxtw9V0o4/csXIsHFazY9L2S+RbNC6PuAQahp+vaZodL3/a84z4Lc/5vTFaCrxeIUxotdq
/TG1HBS9Jm1x7rq8nYJy0VwkmiAne27y2KIL9u9XAfkewFZOICKKyEG9fRnd0BpyRP7uBllv1CRM
ypg/yOjvODiQ35ZF631YxiY+Iui3qdwp3g3vQqkv3ALnF98GNSflg7DubIZrb39GbrIZE1smN4Xl
iOvKshclWMtskBfWOU+D+Nv0KjbcIqOV02/fCMdLlUmDTWLO0ISdHFym1cjjatmpjyia8vT+5907
Y5upCK1lzyQqn6RBKaJCq+nN3G5Vq4TD3M5X/TpKH9kU7wLvYm+pjfENeIbHQyH27Sus3TGp3Yk7
JbeUzE8Y6oWJu6LSVyM0cqFE2V0LTCZIwc3ExTz5XE5u1VVdF8mNyNMBKhqgSGtQZ7Bl1qVx2+5S
Gz3ApexmiLLtnL/u7LoAQDCnNqK3pZo+IYxjfq7safyA45f37f2PtbcJNzy0s+F1bNrxb5caYgWH
ezuHvWWO08FsY+XoFGV1ofxw95bZ2DFASUkmaPy8XcaoEquJpyWOvEzO2dHJTFXcL8hoJI/C0uTX
rC9KLaiclenz2HbiNYO5k18hPlUXQdp4jRUQIJYMDJ+Xf6qWeciPyUiv2O/Eov6ce0Kn38ZzMyB0
1GcF5i+iNK96Mos1HNeFzuWQ2snvzMz71icWYUWTGtmcB01fOmMoBgX2/OpYWRrodJR+10iDUP9Y
1vyIR9Ec+7TByvmhixu2s4oopggmT68pjPPeca4TV+3MYExTuyaklsYR9mzVIQYo7T4cxTx7Bxob
xYghA1iie1Vf3c+5VszVHV6+ArVqZDEPi5njtThglHVdOnUFPsRp0/x6LWzjxS5xBPDjWibxoZjH
ar1yykkZDppokO1s1bZ070j3l+skQbDT33RsPhhKAyZ6mRT5pXfLKo5So+9/UsN76UFR2+Je70SH
YtRUIQIE0V7IgwBDjoZVnKEO2SPC0viDOiTPVIUwSdME41l/0PF78+taWxDCGnqag5liNq/0/rP8
QqDYOQeggbahqapZFFUnuUucMQ7W0fKJcnMqb4nrWPqWCZCPlW5zeuF8n083KPg3dxhCNQRab/sx
fx26uO8bI6n77Mazk+zAPGH2EQ1fw2pVxQFNlLCuStQXnfTSwudVBMgZ2ixbw9CCQHlysUi9kUbv
uOmNqRbFlxz7ha+TNuWIseuuiLAWJhaLNrEvPO9OFMaSzaITtYmyQ9V5+7yukcayK0xa2WkzPLi8
lGuk5x8m011vc8/8wVhTuernkUZ8I7sLF/fOzJSeJT10iEHAClAyeru6Z62aWQmZ3SAjWntohY3t
FeZMNN+kgIM49ObY3KCnqQ8+1OLqBZyRfJSGRzGJZmvhz1pvXGWpnK7fvw93thztmG3Q5BK/zgDU
TpVUa9aroKYarDQJndSPuZzDmaHYhd29992xNuTSpQogrJxsuAwpOX3N+xRNgcyGUrrKoPSqX6qR
NH4uPe/AzPjSZH7v8biCTQ1GygZvOgmYab5U5eRCVEQTRj9ygWhRjMDaXa5ol1S/95ZCCoIikup8
U+N5+4ULAfyMBIttrTFutZj9hGOvjfhi18vV+x9tJ8OhHmaSvElPbP4vb5eKJ88FnGISxPIlNvym
9JK7STajYOyei6sMaph64fTsLMk4cptHbuaUdMXfLplg1YLtnptgNdamB4wGrE/Mn5KjlyLwVliz
cuHA7GyWbcjLhAZC1nn/rsmNiQ4GOtmZpxOi5fxc92XzAi7bDlauSd+aluX/uJkAJ/NmN7IUNNOT
m6kEDu7Ys0ftmHUy6EfdflCWmuJ5HsoA8WURzG37zw6OfEXNpiGPGgVy8fbJojZyjO5ok9PNVoPo
Y0Lf1QliDoTzf3zCLRshR6UmBQb39hNqydCgWrcqkYEztc/UJg2MvHHDTRPvqslK5fD+Lt3Jgej8
Q+nZkMQ0u0/Wi4u4yh0xK1Ff9O2L49YycAvr0kbZ/spb8NvGRGa8wMiQrtjpsVOycc2dwlWicqj1
q2mRddCstRsMTW/9+7FjDAo/ByUIrhL35IQv8+LJ0mMpU0+a+0mB8FEZ3rc879wDBp+XdOj2jtxf
y50SSnMwzDbzYWr31Mv8NLW0q8WoRWilpX4AnXZpJrH3JgGjERwtJhzOqWKIMNJhceLZixZznXwk
ZpoblF7NQI6KuIDV3VtqYx9Ddt7E8E+bU0sLjUNDxDMalmJ7lqa9NtuZtyhhk7+/C/9M6042CDtk
A6AxxD7vwww9Z6twUozhar2+tpEal4AK8ilyGd7fz2pMXjcVvVcc8LLOf/am7Cd/ovUMUEkunEjT
WNz1WtQGat4lxbP9rGbeKj6hdGyKg4mZjBqgTx93YdWsqvWIc5p+5daF9TU3RTMFFtic27Ss7Wen
Wa2vKLuSu9v2WhofaMo58ZEw3/xsS6NCIHR0xX1MLZR8d0k8Fx/eB/Ze2QywLJh1Lc1CBwy76k9K
7Hp+awKR99H6F+73YR2FeoDFmrxkOJYsfmlNqhm5fa1OQZyp47dCzyd5hcSa9YV+HEGKCgWpfCNF
hsZUtKTwR2dYwB4sTv67onXOeOz9j7GTc9KG4N+tfiWQbPvir5xzte3czlo0sFO9sG/LqYjDRUNp
fZuCUXxQNCuARH6VUHwvnN2dHUfTFeYQBHtEzE6viUEjgVKx48UUw2qOE/+LsEwH+j2LNX98/yH3
GmEbVoIUF1VQ1tti219PKVpFgDMzlEjBwe96obaFIqYUC/k1O1ApF8UneE1Bn9rmg1kbr6iqdU/v
/4jz58XRBXw64wmTydPpkKDCDlFaNZDESrReYAPjDeLeWT8ZolgvhOrzex7U+JYaMMKm1D19tVVl
1k5iM4+fmH5dk90q12XRyd/vP9DeKi6yfy5L7HRZrBUMT1uTvuPsqN01y2RGKPLqlzBf2vmti/QV
mm/Ms+wNIHuS6Ii5Q+UOnBVoPVc+aUzNXotxXu0A4ctyDIBY00JHGUM8UM2Kz7gLrFdLBi02WzX7
FfJq9iOfeg+wspp+WrARuJ7Yzp/ffxl/oMFvLzXarIyc0A0luT3rb9KuKXW3ntIbJL+Hm4ZezeKr
Mq1+j4qbXFNWII2qQw28W+pkpO6t1k/VWkyHNlec0Bod9Tg60n4YU3uN3v9pOxuPaQ3SHIxrmHFY
J0EylWs2Yw6D9Lw7jFfYDPbXVozHTW1rZfjvS8EaAPKrUy+jmvT2nLmKyxisRFZFKFIN1VLiuVB3
8aE0iosiRjvbDzg6TAzCCFjO01lnTVoAIo58NIH0/TrSQq38hjZjcRUbcnq1UYxtA0nxmvidFcsH
MD7j6ANpEq82bQ1xJxKkL2ZzGE0gYXR7wnn19O8tEC8smF3IMj6Caut8TBNV0NpTmq7wu9EYPmHh
mH11+2pKfYNZ9vWiz3kZ5kmsba2XZn7xLMC4oWpJ+dhuWOzQsFdk6AdFQ9+sqmYUMLXEai3IU6rx
KpjB0P4tG6v3R2LI73lqUtcXWBHYDCSWvAt0DERiutFN9tylq3cJpLSzQzZIJRU23WhGQtt//+t6
VJh4FUOKrkrlZmOgz2t90IFtP81GcwmftG22k2OyIQ3wkWDigDXIyWaUXmkZsUf5t9b5iyaN9GpV
LBG4ldGHujuojx5siBBLetXParFc2J/nNQx8QBoOjPsQ42GA+fZBNWAVrixpDPdGoYZV74kQGnIX
JJ6HuzC8EGCN3SVpnr1HNsjwNwtXZLdOD0UyOVWhIHV+M6u5e+iZv0TCHrbxvJzij3UcLyBv4iq+
StuGvkIneyDC75/LvTt0Iy1teTLzBnqgbx8cqZxp8WI9RsFbFOw7r6wixkCx93vB60L74dFokv7I
4CMSoCazaxyeCIorY3Tl0Nem/jgVuftFX2vrtzk1E2Jezkjzfp2US/CMvdfFMALoPr2hnb5MZwJV
c/o4qrCt6YCHAJpDcDsjB2xpXtm+yDLdgbuzzv11ayep+lnLBtO98Mp2rhew1OxUMEHgqtWTlKHO
VCqjoic9MbwlmHS7fDRr0f4zJYMCie0IY2Bjqp5WZKIonAHteSVa2kydQkvx0o9zgh5d0CxNrx/R
Cm8/vb8XdsIpm9+BnASZ5rwrkpTkmMUg4sgosP4Me6W1r4ZqXLwDYCTv2WW4//n9FXeuFxAw7P8N
YgQt6mTzDVoM9HxI4qjnQuxIqg/CoF8wl0V1oXf2px97cr2Qy6MohojeNmw6CUBW0cVFtgglmmZb
uTdTr3R8itFVDbJ2nr+z4VZMEABcgUBu62qJilzLvk/0bupQqdv+Fb8Bo/Nh23m/YhslSN9UbO3e
KibrEUeVefIHrcu1YNXUGUnlSlGHYz8qtXWz6C1dM2egg/5LG9BzCfRkmskB4jbxcGaY+49yyjA0
1Zc5BttX6O1nKxtoqlIkpRX2M5SSh3HsRiAIsRTfGbcglaTPivlp1FaGS33r1Y8Kk9LIo59FwSIU
0/tIVqLe4mCmaaE5mnZzz/U9iycmVaCsXZlXaxhrJbjv0ezWJ5OUWwnc2iug4Va10l9nRY0mv1t3
Whoqem/isYa14pUHHbV8IvUH0KM3C1oRvevNVoDfgSOCTOqqxAK7lQ+dKvqK7qnD8DQt1c8SLsmz
RNap95VUGe+zsmsTRGe4koN1BsLZVJ77bBgUVAC3R+eDAeDti6sNjQtwBvnIMGuczjymTE3Bua/5
vIb1us6dX/Ujwy4cLpM+ELyX0V8THJn8ro5TN3RT2+U+quJShhj45DKEDaGWCLKsHgSTuSnhneiJ
ovpO0db/wZTAlwmx7vzL+5v9PMRg/AnF3YXphsjnac0+9sJymf1ZkUoz+SAUPftWoid/VKsRreLZ
mo9YLVzKu3YKnM1ulF1PHQen+DTGpIJixrJ6O1pQF0MlyexMdK7MZrGYSQLw922jT36VvYHhGd1J
l0+ip/1S3kJYKoYLr+D8vL/9MdvV+lc6gQwRH0dxYPcXVRLWeBIeGrvTD7N60VZv521jqwhdm74W
I+ZToqVjVxysSTcjjZszAN6v3kirSSssLFfvuHJQ7oWButj733jnAQHPksRwyWwDk+2K/esBYeaJ
TFajEY1cm1exrXYh0gZwM6ZLmrE7K1GYAxXgH57yVFg8Eza+CjmmOxKAetgJK/8o1FS97aSVfnv/
oc7iwh9VPYA61gZjIz6cPNSkZO2oJ17U6srHldd6o03DJ2/I0BBcjeRSUNhbTmewRkDgCc/Gvlpt
NsCScnxO8ds5rKkwA5IJLfDy2AjMar3kwXn2JrfJ2laZkHcC+zyVD8f1JLVidQWjFzvV53gUMfgq
BZ/Ttl6VS/ITZznMthgNOyQRiEZnjVZcAhOrRFYwsoosi69rcERWUNZ6deh0e5DBunT47Y04jSTc
kmn5MMi1viAWt/eCyff+sCAtAu/J91x1xhF4mzqRy9j6PllMp7wagdR25PZlfdtyhV7ILP5o+7yJ
vjw26YyBKwgV51lJZnJ7VwB7vCgtXHu47rShXEODGRrEYLgYI6Aq/E9qLbPgwHmyNkJNjPHPoZ70
SDgS8nLqFsnnNksn8A3tUAxQ60txqed1ltrxM2nAMNYFBkyv/+T4Ku5K+FFwg+2AMX7S8QP45YzG
P+vfbqsgfQhVDOgnWffb8+TpsNVQzMb0te7ml7ZabDBWCzP+BIWkz++f3b0n2mhiQPpoP5wdpsbw
pnhlnhGhdjIfyInlbdZmevj+KntHCKETD1LRJjN0eoTI7qqKYoVdnU9FUODrc0V/tfVjj57q+0vt
HSCKenAhcHOIpCd5nD0NOC6C0o8GrVYT37FG41tL3H6Ssoq/lqASUqybkp7UNZ5B8NmMTZYLFcDe
AQKoh/LYRuPnod9+QA2DLky/FjdawAdunqC0DSCDDWNOI7dW1AhH0kvPvfMhaaVxaikJzM1L4u2a
C3YZpOa6HVHSuGFdV921geR09P7b/QO5PDmoVFjkKVxOXIinYzWz11wlV7HHS2CRtUPYrMPUH8gv
8ucKQQFxyClk3VAbukFgg2Uj4Yl/WNk/omAKhGbNrKYL0DJXrJcek6dHGSNp7gMRT5JA1VaxfPCQ
xUk/xE7afBONJZTbVSKMFSyek/wcTbMix1bq9YjcrjcEqoXVmRkrGIZJHHcw7ho0o4zaqYm/iNrJ
f7qyKJ6xwjbcEGWfxb3WTTyPgqnvxhfVWcCYzOY0/ZiE2VyC8O9s+k0AGejHJuhAz+DtF1Gn0XWK
CRM2x+37K01NhmM9GsqxEUV9fP+znCUz9EMYzRHlUTUkMJ4sVZdL2tsKTtwLuXYAGMTzBzPNQ5gv
65WlV5RMyIgd3l/0vHG5rUrHklkn8/gzFAYt3KK1kE2MkOhRjtTlNeUA85vnRtO0m4xUMglqZnr3
89hZD+tQVPcKDY0HYRd5ZI8eRBlh6vaLhxxveqGe2zkOFm8dvRpo/Py6k2uAwGWteUsvQFfs5kes
WOvTkszd//PeKScg4ugUxKfJc24Mjsg614uUBo26HIGgJojL1OzvHAgNMsqVofnR5QWC4u+/+51b
jlRkCxAUBBt5+u3e6vWyb/t8jCOAyYx6POGF6+zFwWLn9WHKG/VGzKV3EFoyf8So959RsHx52g8k
l2xw82y/4cu7FHi2eCSXloxa4WWBkpfVddnLFjUrrbzrvUoeBjnpx7a09AtTir2nB5DHPMYjJYP1
+fbpF83OS63LyABdt/+yyTk8WEaj8uod1Pq0oQ47rRx8CsgpmB31Ijp6537HRJNwtonC8Au2k/9X
Fs/zLm5cl3Fkbuxd5PKG+jF3y1wLhVz1x3nVlZoKse9+5euUsvEK57/OSs1bEB2ThmjyaszXgkHm
SxybJCm1mSWPM+zo9sI22buCPDjnG6//jyjQ2x+69AUu1yOpa5313cus5w5ggXyhDp+MZLoQ5HeO
HFg3yO1MHbca9uTIOck8K31CGaCDamVSKqzf9qzK/97f+TvvnvoJgAAwXZo1p+++TrVSVZSGAFSs
9jXKW9rndBHiqMamogai+2eOG+xl5mEbogPF3bPsvzBE30596kVTUcdXA0Li+cGpZF9dqAzP5S5Y
CIypoQPeYjTxx3L0r0216khxxDmJS60J/JhKbbFdehDSeMEdQ2mevXgZvw+6iTgugUC86mVm4g3m
mfSenTprb3KnzcZ/30BvfpT+dgPhUerg2tm5GH/2yxGt+PhJx2L50KnxeiFxO+9EbC8AtAKRDDQU
ycXbtTqjdvqmVd1oNmN5NaXgnjIYyL7TeO11xW0TQLQwfI5MhsvqTJNK1mVxYRPvnBguNpMu/9YV
IbC9/RFt3q2F0g5k+ITbe9NW4KP1TXyDau8lX569pTa2GRNKdIjP0vxarv1iVeysxhTJ70GM8oBV
ufji2M2n98/Mzslk44LV31jy3Ngn6YFm0UnLwM5FgzWYhypOmo/rkDoXtGR2TiZrbIBIsMvn7eHV
ZXBp9WS9SFGtX9RU5NcTbiGPGa86CQpP2t/ff6ydMLBRkDYxA0IhLem330rklXAStXajZgCm7DtT
l72Us5PP31KtAnJlNl76uval/DiX8JCDEQ3VSwdkb9duzF+84lA7QJfv5Ecg2uwMXT05Ecqf0wuz
ufiq71ss6dzRqHM/pgRIfch89cpAou9vwQisN4uLidaF83OGx6DQ2FpLxONtSnV6/S5rjPaVVK3I
S2l/JtI1fM2aikOuoXJctaV4WuSqBBZSQhfC8Z94e1IUwJbgzG76JigEnhwaBzM3Z0o6O3Kd1lkP
5jyYxw6/V9fXR90Y7xC5bHvfgF963XhG/CkVTvwp95z1wzIU8aUjvJMM47C1IZK5RDZy49ttEVNi
pWUZW5Fe9QMWenwff4L4ENrIohy1tm8PbtWvr+9vxp0zhkSig5IgwOBzFjgXOiD5rrKjStov3drV
t3AR0gudmZ0rA0VpMM8QvzGzO52BUlaWsNh5NJFhT1apc4du+CKX7zhs2t3h/SfaXQyQBtMXAN4Y
rZy8xzzZPMkX+tF51UQ10i03m9lt6A2T+e/ZOh1ocJqMtLd5z8kn69XKjkt7tiK6OKAzqlYcF9Uq
LpyQ3X1K0gplnrCISOFJ1jyrlTHFS25Fqzl3xcFV6wrln6rMP8adlougW7X8TmZNXgR42KYfZAu0
ya/nCXfnWq1QZP73NwynfXMOY3p+NtL2nGYYyqVgp+pNejvSWGr8Cd5dEaqja8oLoW1vh8JeAV4B
4O28tUiv0pxXd7AjhfFeIJglBXgalxdKor1dA+kWwC3EYkLpyac0cRka64ZVGOND1jOsKSjMbjmC
vpH/x+uDhU8823BRSF2+3aBIGbZWW7MUfIDCL71pjrx89sI46bULS+29O7YmN+gf0PRp1plmvbK2
EEQj1VGqm5H1QDrOl8xAd4IJojJb84/5AP5gpy0Dj1aJCx+cI5dV3k+BLXgcxKsQk7/aC1LHGtDU
n+RINhpH1VpiPN7URWiYE02t97fmeTDnl2zgvk1Glmz75N0OCRNzN9OsyAFEdT8WxQiyUtjJiOG1
U93pi9Av1Q97S27wp+0kbP2lk51jg1jNElLESIepdg1vaZO9gXJ1TDCXvJkNeambe75VaQ8AS+ej
/rFlOAndNNHHynAzJ4JAMIZ51SdH+knWoe5BFL7/OneXoiGBcNzWPD6dLhuzaoCQtOyoxMoS1rSK
GyiSpcduyNULFNHtNb0NxjwVMx+yaYcc9lQtgwyMQTNWnZHR9s5BjefxuIjxVctm81DkDi3R1I2R
zuowaFjyy6C7jQ53tj7138bvt23Q3G9PpZobSgr8x4lmnInAQCT9M45Z2q06xrj6ddp0tRp9I/0C
56XMN+p0+oA2zyWswt4L566jGwZk5bxMHKHK5ZaZOJE6aNVRh1wRmMZSXms68/r3v+1OH2wDF/J1
iS0bR3X7LX9Xbg0IYzjfdgToGgFVBMD0H2WeLhQtrvKpBMFwpViV99z3sx3Nc51pvoSmebeW6nTb
u0Z3JbMx/+jIYv79/k8zHf38a7C9ERFBThDh4dNzbOYujw7mM4qLxBtfSb9a82mySk0JDMVwuqO5
2iiYOYiW6XewegRI6UVZFn9TWNOOcyp7HKBrq0MBJCtAA9pPbavUQ3tnFaZVPJLxD9mhq/jz/tjP
TeaPTtH9BsvmNr+W2hbJsdNAsN4Jtc71u85juvvJyqgIfIlJvXujN2MCXGhRm/W/tPSGOrAHE904
xfIW7HRsI8lfAf10UzgaizSuFMeotGvhasIIvDa2zQB9bxn/drDZqkAczIixBUyyk/x+GKceiVLo
6XM4ohlPODIb+VraaV4cQeSD4UorhOmCREFfJKhdWYmQ/JaZxIC87vKQ5vpI417xhtIf+ry7kUs2
xX4GJ2H2kfFHwA7NJ/3RzRomKP3QobBTFItWBbqRDeSewKNdkEbz+L23mtEOMj2Vaah2kv9nn8Xp
I9J5nbwpsk6Lr5O4U/UDLnbgtofEm4YvhTQq3Q4dmuPO6zr1WnKszcGJD60BsPswu9mCNQQY2rX8
CjzDbe/mPNPq2ym3lubYl5QE36emmtUAeLs9BvWsm80hqyUqWA2yn/2TWrZKic7ourz0nVWbIUyP
8lmgQq98x4Gz+ZA0haGGsOpra4qGddBa4Us7Uc37csGrJuhMY77buFGgKUZhfXekbsWPmj3Q7Ubh
rvtq2d1YhMgLAx7TRAoKC2a1rvrIwaH6i+6IOmJ4FetfoPWnvzRDemRc+jzfVR1kzSu7Zft8hIBb
vTLicDqfbn2R+sjDaN+WWFeGB8has+b3Wi2MO+Y8xgdrtNcJSSwz/ymRL22/pElZLlf0m6c7xLGa
6nElJKSHLLH03M/HYhl8YdnzDSY5Y3yc1mb8ghSM7oWLrkwftdiyblW1UL54C/+iWbwsxODMqQK5
pPF/DWWd5at9XIzhJJYVRQRPqx3Pl5mTrgE0k+a1YpabBKbZGo89TY7x1kbRB0HDhWf0jUoaS9Aa
HdZbKffLZ2eqxasYXKmHXpUzuVDB68jbIu4r46pQMkNeZ6Osf0G1aqewFnXxvfJk0fmFZ/WG31KO
HldhZ68ZsiEvlYNDum+rJTphiTJ5n7MhVTXmXoUm/WSU85PSKuSCed5mg+9ZDOd82dmZdjQBdnpH
ZA7xfFEow8M5jpmxpqOjUeNlVR2JnE7wdWFUbcyPNLP7HC/xn2JytS7UtHb+LJPFTkMcetxHG5G8
egztfjacp1mLKzMwslhaR6br0BV6s00F1ZnU1K8G5siEytJOmtseRkSsBL0tnCU0oE0D7EstkFZ1
u+ERe9Ohvp6G1IuRxJgsMj9pGMpHx2wr55Z+m/hcCeZ8r+5SlBh6DjJO77U+1+wvc74U1ySrwOmz
Jh1A6nblPInbuUiM+MHRs6y/z63WaQIUJr1bJuUiPySKt9y3njp/H/OVHhjEAUwHcq0zn9q0EOrj
ihaVx1WINgw3aWn+0BiBFAF8VW++MdzBHK8YRA53M40A2y9x0kr8Bt0XVCSBcovHLJ9BUsZjhyPi
CknEjw1tBHnW5/XXCa9GCA+mXCfo5fTmHmU7lB8UdN3j6zFui/Eg6SglbLpqsdC4y5qPbVNr4I4X
3lhnrd3z0BXN9EVLZVweEq6Xh1WK3IHuoqgvdut2DwjqYmpsDIOqwe1uBKxW2lKLj7r16viuEM6j
g/qbCd8H+bU7rUVl4wkGn/i29grnw0jc/r632dvHlHgAWLQv3EC14ekEqIF3S2AbuG+FNdqNy1fs
r4rlmBjA2W6bVcvwgUnmrPmaKoPQrkwY6s+pXGrnyLd1vQ8E+0UGuJ2ND23cJHMAJnCa7tvFAYqG
KowjQiPr1wKpCGQO/TJbhso3OzUtA6cpx+5YFrqdHNuadJoQp8nyYOgI4pOQaM3RqnA3C7JkBP01
Frr1Q5qz0Pxa6iUC8FRxPo08Nu+CbZjvLGXzcQb58l1TZPbLcXrjsazQjoHOWOc/s6GffqqFY+dh
OyaD408wC9Rwkov5TKc8B5mqrSokGfbfVwLyUIWebJb/PK2Ln0d7Hm6buV5+z649MzUuF/l5pO7m
nqhnIXzcD7uvk76WuDOXytofy0qrPzvG0P7Xxlr2TC85xfCmKNsD8p4ahhjZ6L5YBT1jDG7rrAhr
pHt+2y5zgZtYTccm0mTdpOE0pupD4ypFF6HvnH1YpTvZQQGiHI/rEZ+5AEGp9DPC261DUcKuDnLV
qdpIAP/MQ+be9nInGtv6mgIJijGHkI7qI+I9/55cJjYoaWEc5UImvO8RQDZ9q7dQGS5tK7kzy7ot
fFgtKTrti+jDeBy4z6zCWWkFCzHwyYAHPlXMW5hyimReA6XOsx9rG6/mgaICLyFTmMPLmDRa+3We
3eoLs8VJgYrUIMpTWyk3Lc5KihPJpU0jF6eJhnvD8F6mcWl/mLjYmAeuokr9bxnnzjrGfazh1ZAu
qnkQXVt/0J2q/89AYpAgP+niXiq9/o1+glgDyxjk7Bsj9Yvf6Py9q7ZZMjvshhnYiy/KtXVvHLjS
BtywYez9oi8zZCHQtkPU3G7qp2lNZovWd1XKIB7UOCKVdP7H2Xktx41kafhVJvoes/BmY2citlCF
YtGJ8uYGQZmG90i4p98PGkcmSdUKFzMR3WolUIk8mSfP+c0nm8te5lNiC9+5JUK2vjs3XXtHCqlz
vuRJDWvXS71qPyvK8q10BtXaVQKTlX0LRIG7o2PPxuXU6266h6s/a4dJySf1qA9We9FpvWPtlSod
4utcd5Y37VA15nE1k49Qf1umD20OntIXve4IP3a9LOeLNFy4sxZoLlAkC7M88oX6FiO3Zb6wkEjl
zh+Fy/s+ivmVHrjaN0WVjJpv2iMCkdNsFEoMJzdc7O9l3zXtx1+nvWTez6S9+K9SiECEAbyOdH0t
yDCWwdV11M1i5b5GWy1ENj5BQdxeWiP321aomd+XwzD4duGqyy7ruu66CQ0VSEiJAdlhjmD8YaCA
L+2JLdK91zvsV3Yp5dV0Z0bq0OxblXBmlRoVLiiN6t3PRrsgDbWq4+xzJ4vw0jT1/qMZDcr0cSwb
PfNrs7Q+DWpmMkdKkoGpXGobYdyQ80JF0DjF/LkAzL+0fc2WPaBnQR5SJ8oh070+vGSUcLmqzXWR
kVRo7T6uKQpniIyO7quQlvf8pmscNzkoQ1G7x6nJ47u2VmfzS6sZk4GHjo5EM2eZFvk1tQbEKGJi
K9rntacUOxVuTHi0o3YkLwu17o3nddWq37sa9dymhSamC7q8OtoCSTlR4W0KxfZVtQ/F3kwMtPzc
VFW0IxWsKdsPSmTZQeJNWrln/y0FGhF2U100k8NpH+l6Wt8OtoaGAEDqJn3vIHGl7Fw0LJMrKJNN
fXBqs0bvBIdiXIEMkOfvTW4Pr5YJeK+f2r0h/Fqky+JHBuLVO7ujtcp1c1bvpsId8huQpNbbxfLS
yo89CHOHIY604qB5UYXTMJrT4FmpS5oX9VAt99O0aB9CREXYBYq6jq4VzenKHaV1lr1ZVAWSDkmR
tEcgRM2d8FbUCGIIhccWrU/rf4gI3EHHhQN6GXW2eDeHyuLSgIhq5dAPbdL7Dmo1XJOElXZ+WXvd
a8VwC2cXEUJ9oPQNc+Bn1Wy8K2s7F9Gu8Oyxx85d5M1tESZN+2e6tOVHW01sMhfLnN2rRHOjaxQM
cawjjcuED2ggvGzaDIdJr1RcxO/UvOqui1HvrItZscmZYIkWH7wyb2wQ5LpFHNB//DiMwr6s60n3
jt2spfA6i2i+7HOrrXZ1YoXDEft3bdn3tpt/EgmEIzTQBjPeYUFvvBVW7X0mw0rfTl6jX0X0QBRf
xFaRX9cuAL1dW5WKdwE5V9zk5gzTa8wWJ71AqbsL/S6jRhn0ecqeVYCDrPbY/Yl6R6iqSL00unub
xcipgIcskTHqmqisfXsoqnvTxKiLEMy9b2ZUxCNxs9TmgX1epRUSRSDjoURri6+DwbcQbKuGN0It
zexazWGHQ6Gaw49mUSwFAuBu8onjycl9O7eWdx4VuT+HpVGXQxPl07tsmWpxVGC69sg+G+uY6ZRk
QdYO9pto6VewuOr03EFLq7yth7yp6LlYxneyj0W5mUdPvB1LRCV3A+xK9ZC7SZPBIJgd5xi6IuGm
WaCKH1S0iX8ouV3PgOvBKO0GozAK9Myt+Q1qW03px5Q39J2Bgnpx8uqyPSZd4Xl+j+Jx5auzF6k+
2UNRXk0JGBkkf9SEjyV6OI+LJ4xqFytGeEiyOvR2qmI3WUAyaZBYYmTLR1WswBhjQWFVC6croQ8i
9al5TgVkxJpumlP147shaV26K57evUvbytH3dDRt29csEj+K3jmmsfjVfIq6yNSPVhNN+zAdapSP
KCDHfh916ilrjWk4FG2rCD+bAVacJj1CCF0bwvSOdN/+Uugibs90HJ6pD61VajQA1q4zeiKPazaV
V06atSzGyQqr/qCNJTfvkcuYh3TKmfrQM4/iSeAvMLvB700uiNFttpMw7ww0Pq2QGsQo8iOcWns+
ZAI61ZnC7dNKNboQAIRNpKrwT5GrqKhPYpehuPppGUAdkWHZN0tvWmdafs+cr2QX9KBosGnowEjn
a4p1UZM3kQr5W01uWotwTPTCvrZmSBeDqtb+bOTab7fY1gYjEik0zJ/RxEVtJ3TMRFVP2KgUV53Z
ZKfKE+ekNZ77aTRA6ORiTrm2vx6vDBewoW7irXMCaum+0ikGU4rouzvs4s13TeOp4W6O6eef6TA8
91habbQxWCEO6s6PH9tHRZ8siVBPmlGrr5UkhdabW0kwUCowfS0DxLWrvHRozjz3adsYXO7aS0T3
fRXsl77kMHBzMONMOxVOYZ4yJRXjvlcziB/GTLl4F6lhdNVhn3GdCkdrzhSrn4sNILIaTYYVzS83
PFDWUXNu/9rJy721oBUldyinFLvaTs/puD3zKIge9MVxkwE5JNfFubwWudJzb8XkY9xH1Jx8Jwy7
i7mvf1sdkR+EeRANMFOjEy9X+ytDjap4bKxT2RnWIcSHJog4R1//Ost9pl+yis/S5Nbp6JHoPl4x
VV8IVVSjdYJvpZA8WqL+MHF/e2uEYxvYKDd/+/UDn5vBdV9ZUX9sMnJkDGZbFWPuQV6hBnfQhl6/
HksH1dM8Oyc0/8yqXM1v4L5i84Tjp/TbpgFRBSyaTa5pldYcFvw3DmE9h+VFHyrdEeViF0/Ifiyp
I9RafM617OnUrlCOdUVyOqBzJe0BRdZxVagqyDN9ZAaOmoRXeg4PyfQGdY/w8HzmNHq6aaNuicgE
4Q+m8cmnzDXkFlAoMk7LWksEE9Ht9SHyzhxEz/S/eQzIRX4RTagnmkiaU3I7b1LzBERcpLvR6rpX
XpmWLdnlWP4AXlK+mrvSOmYxKrs7z05reyVT62iIGunnX6+mp5+YkwhVXxXtS/Ydefm6C07rDsXA
E15f1bUXUqhRdF1cUgB3XlPrThEU9cTONYvs+OsnP/d1wY7+hF4906Lu86bTnY4DuWt19/UkJo3L
9lwEpnDL21ELld/eYvmlqxk6eEXkdOW4MWNkPse6MU5rHLOJ99XebYwkyMPqS+gV9idqBQVF+3YI
fv1DnwYsRglE68q4gHMm765KOsDONWz9ZOfRghacJfaTnrmUd9X5zKOeHl88ijouSoBkVfh2Pt6M
qPFlaWpFxgncz7LPiy666UmtXyHFnwaZQe9/sB37t3MdkK1Yn6+pzkoEW5fYg8bbYM9dJZZUPfVm
05w8EX6zZvWcWckzqwU+FtOHHyk2ZDKgoR7iKsFOQz1NWm83vivG4it+0/0Nzg5ec+jcxDpD7X7m
s7Fa4LDxP8B0cnKV2AK7g8hYTnNGPq9acYKeWJkEQnGLM3nc02bx6mAOZMljk6PrIX02PEj1obKE
dsIJaDksra1/XTX2jpA7zcsWaRKfw7tFhUNQ7kJH+MyO9MzcopdmIwOD/AnZj/T4JM5yJ6dveRqQ
Qzy0A1j2zE5DiiRL6ovR3BAQALTWotBP5RkZqFZktISLXl1Og96qfr1kFXqoyXCyrCE/g4Z8qhJJ
EsniXDFoTDDb+uPF2Vr2WFrCVk9FWBHZquJ096tZRbPTxrj95uWYRqEQZ5T1Lk09JfU5z6ceynSr
3Yq+yeD8OuqAX/jklb+dOfBqpAwoaK5YE3kaTNJZW1AJQKM3sd60hjF/1YYpzfajW5vfao0K4plI
fWZ7YKcHIIgCIH5Gcou8yaG72k4GOwnY0WlQu2k/LwbOpFYtLlcXUF/A3/717vcMmgZSClcFNiTE
ydgjHn8BjlvdHOAxnShfOysFpqUzm7fu8hFFfTA1zdha4b7j5A3qZEIWTOuLYp+VnXPOs+aZiDYt
yDn051cvejnMlB7+iVY0HLzzkgUhBe2TrnbWQWu6cxiiZx6FUAmZ57ohPo3o0un7pFjbM2ZT34aJ
299mWo9iSanoh1/P7zNJyxpJNggszAOJqMfTC92sqzrcWk46fYFmr4QW/TCrKrQze9Rzz0F6EBoP
P4trtJSM6VOcJwXuNSdrSqtrsP7lfh509cxqeSYdYQ+ECAmpDQSr/GvIz0vFqk31ZE+sf9g00GuC
aU5TPXDTph58qxfp15mskFZyV2bnrp0/4ZSPcTM4r2CYth7UxKW8RiBnmCKyZ43DjNR61yGXDHsl
Kym80XnMa8pK86jugKTrbxCwoE0OT9T8hkac98mza+Obmk3jpxBbdPyH6LXeioaSvT/Fq5z4SPfy
S2aM+nCva4Kibkv7fqcKYLQnA4GDVwZ54H0Wu9bnWk/iZo/RutL5TueIL62VLldGl/UK2nVwPPb1
TNn0TI70zEkAaHctxaxCxk88fqzUrboMsN/JwNiAgveEOLkS0fel3uXDMxNnMm45TKCEueulV+Wj
r/Cv9c8fpA5dYeila0POE0Pc0jijU28qee0rRVyffh0nP8GBD7/sT34t0GAAhKDU2XQePwtBscKl
MzCxD6V0/Dqq6re54kz67ZIBpPe9duqvUFzArECJkvgzt1il2lmDZ75ik3avpwXMyw4uGep6PS1w
3U/Hqq0+pWY4O7cNkGC/BZt8P4WYw39vrdy7Vse+U6ed28S2TfV2tBA0HCwt2yNkYcWvuniy6Jq3
taj8aTUS86PcDiPo5o76eZm9BTdDVET7YMpVlFL1ummnvdLZeecrK/tqh6kaFGt1aZvoQkzq9NFS
9BjUbGHzA/vCdaN9nI51eTeOYxdYUz/Mt2ZYUE3skHr1LszRS4y7Ro9SCkfRkKF5wtlcn6izJ9Gx
okhpX4DTmbEodOm9vP/1F5FPIz4I54JGvQG32qd0SSRWcoW4EKfErV0EIFBbOxphKPKrge77cEHp
X//kVfEUnWMGPzmTePSKTF+p7tQCAYs9XguYp+imotjDyXDbKPPduMY6Kh6r6ItaZc7gxziIKJd2
j8L0SesV7QPRisJ5kS+g5X97FihJEmoq5QqgrWtIPggBR6Sg4mmBnbouHPYVkgq7VEvtb54JosGu
i9o3nS46s5k/uYMyAZQsQMqBmQPrLSNpMQ6g+l5X4jSCkxu4mdjeK62gOI7o24jIWWpOtGTiOazU
m2KKIFI0UdPbeyWtOzA7WpSekwmUtwIHfaH1fKFmQ7mP/388D3GZpAnqlfPJLCvvVSSU9OSqo7Ff
mi47s8vJRxmPYrbXBUAipD/B9+awSMn5x4WyhkgvzL7IL2vgd8dff9jnnoJ+DDB39LqQA5euRUXm
LaGiD+ppyUWxj5cM9nGbn+ObPLOUDa7vP715mLwnoH0L0afRzdiyEwzRV6VxFZ1Atzs4jdD2erZa
1UO3qZLmylMa+1Yry/HMJv40jnkDSgcUTdDLoIr5+MtVYwdux5zVkxjz8ALEXXLRQMgNEid0TpnR
zn5lR8uZROFJYr9+RK6bRDDqp2TRUt5jDAje5SNii3h3gs/RQwebWgWOcxyIclJPQ501Jo1Dei6a
PndI85lqcwXeLu5R/aNBGjuR4oCTRDflzLs9oef/fDeUFiA5cNY8OdbyyEO7I+6XU67l+lWVjvba
0XWbr86Caw2glqGYUIuje7rv1s4hmCBvKU/q0JqxD+Q6Kn1QoUhEzfVYJju4TYV+0fZkG77S4w+6
sxH9an2jpwLvh/FofzSMzp52bY0UzV7oTXdnc7eYfBUQx2c8hrsane1moItJe+1+JPpfTUWctrtw
TWd2bd8U5U6N1PFPbC0SSkC9kyY7q6dnt8vB2d+ZqNp/VkVfnzOykhO+dargDaAgw2d6Kg5q2nWY
eH23nFpLC29Vq3SuizTCVcNcMu97CSrvTzyNRRs4VWu/+3WEPrMLUn3jKoo8ABWoJ7kzjDK9I36W
E+DdpDo4s279mUVoVezMrHCmFWwVvmpSkeZ+x+ZY7tck4mPeT3g5aGZPkfDXLyTXAZgMHcUKSlRr
QkQZ8nEk4a6EYl3Tqyc27FGh0zmnA/JY+LNpBkLSuz7OaNBqIL6K/WwaCRmlqhj3v36JZzZi9OhJ
wNm8KE/KR8NkKmUUzu14qqs2pUyvzgdVycK3JIL1mS3ymZ0DBVDyMWqaJMsyzdPswpBkf5lOC43S
V02fgfcomtofo1q9LNn590WW5v+Y5P/6Nv139KO6+0fK1/39f/jnb1U9twmRJv3j32+Sb8Biqj/7
/1n/2r//s8d/6e+vhh9tL9off7m5r7u/sG18v++TqpT/zqMheNI/32R/398/+odD2Sf9/Fr8aOc3
PzqR9z8fxzuv/+X/9w//8uPnKO/m+sff/vhWibJfR4t4rT/++Uen73/7Y13p//Vw+H/+2e19wV/7
X6TCGKVkYfxjtH/9lR/3Xf+3PxTL+CukvfU05nS0YfYQtOOPn3/kGH9db9BI1NDbJGZWS7KyavuY
v6Zrf6VjtirYrFQVbgn8NSp/P//Msv6KZiH3RgfK1pqAW3/86/UefbH/fMG/lKK4qyhrd3/74/HR
yoNMurVIH/Dwh7mS2YgqrMIYyGQuPi7e/DUUHx5MxD+f9P8ZWUoIcysCOCsYmX7ELk0wbml/T5Dy
Py8tGRcly0xdFF+8A9opd6qh3OUanuebXtuUqlu1cPQSrHh2IFNabipLn/xwzu0z59kL022ue/eD
1DSksNHlibs2mQIV/6QoaQ/b3lva6KpUTafZ1bLDMpUDUrKq2ANA9d5uG11KqfWwXeiIVfkByQDH
x7Bp2duK+XHb4FKe6syxM5r2lB1EkdkXERjxUc3cjfOyfokHMw4vMDEbRwUOC1s2jJbrpI0utr23
lKWhtY0Vu9rnaPIfve4+T7ZFjinFJJ+trrn2Zge4BvptB1Tom5Em6jnd4ZfWoBSYoTs4bpoAEMZa
4MRe+A6rO3/bjEiB6TRjM9p5mR9SV0xkaUK7CV3lzPXuhfeWubTAL02BsEB2iPVvCGj6dnQuWXhp
ZDkqbQwMnFTnQ6blDqw4iDgFy4JNc2JIgZkMaLaZlZMd8BR4FdL9vLDqSQ22DS7FJaZ4VQ11JT+0
85x/W3AHO3UpcknbRpcC08xNREKHLj9Yn5baN86JuLw03eu/fxCSIVfIOUkZFvecEoIL+Hlz0bbF
uyEFZWm4aJKVrBIy3mMbjTqIO3Rpt02IFJkDFee6Sdr8MOAyDDIwCf3RFc3G6ZYCM0Z4Z4m4eR5c
L2dDcRMM88xzwuYvTboUmgsYwBGl0/zgREmxRyek3CGX0297dV06NW0dEbqlYvQ6ve7Eu+qcofYL
b61Lkck9tUwXZca4QB9uELJNd21Zn2lovTS2FJi2scSqB5nqgOjHqcq4xcWVZXzZtFJ0KTAbG2Pr
aTTSQ2rb2RdYI5RcvK49p4/20rtLkbkUKowZ004RVkmCZazMi1lTpuO2d18f+iA+82oWWqQyMXqe
V/vQKrOLwe43nhFybSNFdq0v0yLctwgVq4Be9eH7tveWopPqVJPGkDUOnTARyxTmd/Tct0W+LGJU
9kuq5DHgc7em5zTVX2ItHTeOLYUmPDynWYwmPVBiNXdJ210AWTvnNvzCSpFhk/3g9HPb8uLZGF0W
hgXnJs1eb5rwJzAFNy4L3eLFU4ZVjfI9CN+7bUNLwVnCpfNoKaeHFsTyqTecS7WdnG2n5k9rgAcL
PENV0Gw7Bqdgs7MsTNQ3vrUUlsjDdG3BeXaY89GPdTZv20l/T7Lh37een2ztB2/dpVU7q1B8aa4q
pg/X0TzY3vx+23xLx2YeKogeiiI9oEBn5sdQ82brs1ONVb0te9Ok4HRAVcODzNNDvOBtoXyMW2Pj
15SOzdlRxBQajFwpAPqjWtsV3fJu27RIoQkyNxUDRMxDWoxfFUVcU11ptiXLqnRmVqojpik24sNg
TPabVJ3em1Z0TlHwhbCXS+Vh2SSJ4YnkEGnxTan03HvUsTsDcn1pcCk4PTxmVDMpYm6DP9ro5Jbb
LlSqdGh2RpxTUWXccFR91VP2k8i2LT9Visyyz7lSall8GFcZydXGfGNipa6T9CAs9Qgu5wwX6aAm
7rQ3yvIzF9pzpo8vzbQUljBfee3eoj+EturBVfDvq4p2WwIkG9yh1+sZKKHwGZPPHnq2caxuSwdV
KSTxMU7TyICKHmkwqdpa8ygXaOfkuV6aFCko1VS16tFl9DCqrwmg13pfnbOHeX5sS0YW9u2IL5VC
UE7RPYdytgsFrPwtmwkN2scrBUKMNopiXSm5Xh3cqP+AGoK7KXYAlDwefBxAvOkRgyNPuUutI0yg
ja8tRaVAZrdYZpbJiJIUeLsRnYTsnKv0S/MtxSUoSLOPaYccCrdRd+hx6TgPKeOmdWh561MfxGaa
Tko608A/6PNAv2iMUr+ekmFTngz8+PHo1jCIYXIZvVLH2zwbf8CDsjdOunRcptBzBzxQ4kOruOYO
SZpDttCo2LYQpfA0I3ekqYeVMhYUKXRttfcBccVnOuIvfFJHmvQeq+4eKz9CqEbuMszmxjfQS9w4
MVLw620kMCljYlyl9pf6zq4/bZoU2Ti1LdyF5pwTH4wEpYt09IbXw+i6G0eXYl8Z9Tqlc8iehTh0
nIe7yN2UhD/Fd1VjOWYNI0Mz3c8tlMNzet8vfEhXCnwUL7yxAS1yKJQKLq3xdRLUx7bNthT3yLnN
ubKemhmI+H08W6WPMd0ZvPFLLy6twLpxjbyqQFVUwpt2wzLsB8SrNr65FPVxl9tFrDQM3l8n87EY
NiVVlitFPII5oh8Wgb95NV/XeX6znHOZfWk6pHBXAYZOrkdAVvlOi3bdpvQBj8PH219pjqKLu5bc
xJ1OIPmujPAcw/CFN5Yhxsjtl24cD8TiYl8W440xJ2cEJ18aWYpD5ELUcYI7f2jiNH0TG937UpTZ
xp1POoMnhNbQpeYTVrn5tnVv6ibctn3IkKYJuErfmhyT5vwuEocy3rboZCSxlptK23aEIXDvbzMA
S5ij2xJjYIKP10cRgaRTp3XZVUp7WPQq3LtC2XaE/ZQHe3CyG4VjzFVTMjhc6XvHrbXr2FqUc3L0
Ly0TKWRyz26H1GN40SzuDgeRYx8p57hgLw0uBU4d9arbVOSvFtCEj0tYCTswHFTDtq1xW7pYRqum
Ex4W5A55+jrTpl3q/h6v6181CCiAj79pNThxPnSs8AKtsjifSz8psm3Vdcz4pMEbe3CQPOObFkfH
nF/N0zlvwRdm3JZOsjk1rASINPtJ6V5kwCCOqjGlwaajzJaOsgxARWcb7INIR9Zz4EQLultOKqaN
i1FuSatsKs201HbQi0m8tpRmushjZ7rb9PpySzpxobFaZmkHo3BRTICA+Kkwhdh2FMvg77ZY4gmB
BzsoZz29ULLYuBuavt+W+zzxOisKr9f71A6q1WS5VDHiGBEB2RhH62p6sMcg3jtzO+bDtoq5XGW5
+I6ehPlm07TL4H9RL7Whjyo7uvbOcrqdhnLUtpGlRAL9K31EwpJLT+z5sRF2vu1hxr5tcGljdJoq
USYEoQ/5WF3EyQ0ujNtuU7a0K+aujs1qyXGRud1d7ipaAEza2TYnsiqCMy+aHqLYdMBRZLgWqlpe
N/TwDpsmRbaks9U6yrCfRA8mbdEmGszyNMOS3ji6tC1mpZZySPd2EA11cVw9ZU5hH83bpt2StkYH
22f4fwknUDgOkOKi+RDb6bTx3eW9EWMxhEFaO0DCRlygHYfyJuWVbUmAbCyphoXiYSVmB66oi1vP
AhKbz+k517IXDg1Lyl/QtEhmdAHtIM4GtM+MLj8qsXZuua/z+x8Oxb9PUhl4VZJglJbC1lWkVfrN
WablLu0MVJOaJg20OrG3bcAy4dzO4qmvgasHTthqV2RN6i5MonOUtJfmSAraao71aZwrfoVnl68b
Ey5wlnu/hy7/9xyZ0upRSsVoVIejCQy2i0yP3Sw3am8pG0+P9Uc92N/VDmeVWWF4kNhVgKKpti/c
aBtIzZKp9o6GLZydcGqPTfy6Uabiuh7ccdvd6wlECFlBL4XaEmSINl0anTVdhKq9NeGQNnkUNQqv
xPYgsMypeWdVpf4nXOFzxLAX1owprZlkiBKsHpmYqQfFH6pOdSHI+rYd2jJKyFM7w6nWqIWaBM1n
rOxday/2tt3yJ0z9wZIpkA5BhSm0gkhArZnc3DwMrpptK1fKUCETvF7amuz0fZrpQbcaMHZmsXFB
yh6PyUhBXsSoH0VWMyGFMhZXAi/VD5vOQBl4bGcNkt/QpAIox/oFaYHr4/yTbcuxDSlUp6WxUXZQ
CaakE69iK4r2i6FV204pGTNUwLEF6DTaQTuWbxrFMi9FadoX2yZGTscy3KT1cbADta++Z13tnYw+
rTYOLkVqVLh5rGJQE+D9Z+9RihPHWFG2YWEtQ4pUQzTJktmTHcylGn9pTES0Vi+mTS05fAQfb78Z
PmJGXhh2oPWucixC07lUZkNs7LbI0KEyVrw6NTvuBo2Y/dCFlJ07U7EtVGV1odDu51wrPStAZFX1
i3K2fXdJw23bjIweQvG2Tg2dUIU0obwNAZrutdr1im1JPMjxRwef6whzGuBbBi2t7au0TKC1FKiL
b1rwMitUzzFKnzKiqUkQxVaLLAkUNz7nrLK+4zN5kwwfclM9qQpYTIGIESKfsOO8yqxpOGWYee23
/QApYlFwLJawZivDjnT+VGtq+9orvDk5M/sv/QIpZhPI9HTm+QW4opS3bZiXPkUsFn/j1NOZZ7xw
xupS5Ma17bJobJTukAg9ebESfeIYH79tmiAZU1QOCYbFpWYFNrp+FzWWyscOdb5t0y+jigp4Uroy
mFawLG56nFqzCLzBDredJJp0m9IjXpxjzwqQ5HK4jITOEVxAvq0CLCOLcisTXHRYOrGp2Aez05MD
YG59W2TJYhNWrCpNby5WgPb4eCjRMfaNDKHibV9VOmOxRYntbuEmqHRRcVElbbhbrHrZlmz/JB8+
yJzilcfiJLkTzBZ7JWhF9wLFuI2tKhldhLHgmEQpWZ/aF/X3qe7sqzEq53fbZkaK2N7KwkGryfp6
ZBcPaOd7UAcTZ1vG+pOO+mBmBrVh44NIGqSQyXP4wE77o44qfRsCEHG/x7v95NjtaM2MD0NdN3fo
xSHIOZjKxr1GhhpNSp2VpUu8AsfoP7pql2AAUg1nMpw1Lp/Z72VSKijaIbHXVdkZ2RD5OT0y3/Pg
M+O9YeDq0C07hLjnaFsQyBCkgQ5FClffCQwatvvObOvbatTSu00LSUYhcWlb3BJx6CDKm2aHMEbs
I7RjbktjZSSSPY3YktYkyTOAhPec6u0O5Ib5dtu7G4+XkcWCmTHA40NgAH1F368PlrbfBg+0ZCwS
dP42gxRvBzYIGc1HHKRrfPYgI9zW6ZIhSRpt8Txi6wmaQl8+CDc0/2w9d2MRXZXOWxOIVj3ojA58
3zu4ev0psfJ504H4hFyflcY4DPjCB+MwTW8H9KpfmV2UnwmwdXt/GmB4LD7+roVe6ZmjuHxXXevv
sF/RULvIq03HLYY9j0dHnUCJcdVxAq/HuvwUulr1ticKlE1rHhOzx+MrUMdqVS+8wGqFt8MSMQ8U
XBU2LRrkVB6PnjYo55l15QVdlxq3BXoi116XOZ+2RBS03cejm5nlljHC84HbwdZThOO9j/Dk3VT4
Q1728egdGiauhgFA4JhNeqrnuNhF9TRs2slwx3w8ehlWGCgo2E6GyB3u0OMqvsWRUf3YNjPSgTtD
aPAGNISDzlbmD6DNemRiQIa+2Ta8FK22E2de4sxYwGR60++tJbcz3wu9eVN1DjmQx5NjqWU3xW4V
BjN9h5sq69GhVltj25J3pYC1DDH2elmGQW5p07FRx3BfWWm/bbOR5aKqxMKnD1JyYKy6SKJQlYu6
z71tMy9DipLOSHKo0JgRCRenuD42LsGm9NvC1ZXCtcjhw0VZGwYxWk8H7LyN274UqERtWjauFK9J
jKalG+Ok1FSqelDwk7kvMDn5um10KV5bo5sjoZdKkIxgFRGi0gNroMm2bXT98ZJ0Jq8KqYYoQexh
LG4jjbWvx7j7vm10KV6XGi8tMm8lCIt5OghXC48jGj8bP6sUruiXtWnn5WEQdfiVKu2c3TlGZnzb
9O4y1mieqmxaO0lBbuT6TawpzTvu/7+nXv6vFgaB83jeFzUuelvMSjA0w/RJn6LsMnTQadz27tLp
ikUTRq6iDoNyWfRgrNPbJCyq47bBpaN1FVxrumoMA8dS6oM2T+FuWuJ42y4mI4/CwS5rJRuUwBys
+gChID2OersNe4S2weNp10NDRNZiKUFfohB7avK6QT0aMbmNby8FK1qbtAMjQwk0J8PmUB3HWvN1
kajbAkqGN6VormmNyftjp2bvqU+HHw0zSbYFlKwYnlnI+XQxW42Y2+Yqnuf0ZEbTuRvbOsfPJJSO
FK6c07ozuxa7MOqyJx0y3ofMHjEk/vWyXJffM8PL6KYaM7BorkYlcGNhRfiPYfgDhU4Eq3cPHjeV
7Sz+rx/1wi+R0U4gmd28MCclmDtn3FWRocNeqrqNo0vBm1RY1yXRwpaMe80lYobmrqUAsC39kyFP
WPTluN5E0bEbrdG8VA3Lfl9RdWm3JfYy6in2qrmfXLU59kILAws75IufQmbbZl6K317Bz7Fw8Bet
sijfi3nIyt1SJcuf24aXwtcUSA9rMOePjje1+z62kMWJs3NCTC8tG+msxVNLsTGNUI6mILtcNbWO
mLNso41hm/h4awtjD9tAwwqP1lwOqHRhHPbDxJZvUzUKrZrHw6swGmIkMaOLTFfUcr8ao9/YWTtt
XPUyEmfomqoKkQi8wP9I3Q24r1z3dRZtW5UyEmdBnDBBGgv3L9Ej6lzjToRSSVxs412bP+25HtTq
MoF8Vibc5gLP49av8XPyS8RQtp0qMhansVxbxW/WuqhTJEUAJ9SvM6MfN9WmEZ19/GWrTIysy0m5
SJr64zxa5Q+c17rPmyJKhuK07pCORYJd3mCY+RdLS+vvdY8C9K9Hx3Hg+V1fBuNkQtVnUxf1KZ57
I7qyKEWF2tHpDcMqr2fcZxUP9hCm01e1WznmTTaOinvUEfkKf4yIE67dvzJFqm6ndhW+WngELUp/
o5hOOSANl82GEzi2EqdfMRmdsSPSVdzcdgqOiPplXImsLnBeDT01SJPByL4qk1FDOltMe9Q+O+tf
mUggk2Z5Y09zm1+WoZcUN07spOWlFbl19FmUohEJ8qPd1L5Vm0Ygypoh+mumO35EGH1V9FHDWDD7
P/bOazluJF23T4QJuEQC5xJAVdFTpCh7g1DLJLz3T78X1H3OiBCbFdrXZyJmT0fMHmZlIs1vv6Wb
VfpNm7R+WoPZG2b1LlqAboy+bWsxm65a2ui+MuwUlGw/r6jWdcbo9sinFVn0WI8oYNxWJIVXLUwp
SE0f0S3MjNGfZqXPMlxq0Mbv87bN402PtKwvPXdwha96RPUrGDd5XjD/eFiby7W1PXoGdC1uPpp1
bpV3bmV4TRJMre30N5U3QkkLpml23W+FXRvNnYwhKn8s+nwTMh6NIsH7qtDJkW1QmrGC6mv1brYM
lyN/ExRo10Cf/AtgtIjBLcF0TjbCzhzpsFrFbMrK90xMRWT1ZDTWBxVNUXWXLmUvHlo0NPkLrtA0
U/g5CWaxHJTLU3SfomOc3nnmOuYXHr5JzYQihGiPfWfgd66um+QP6VzUkxnywFfrKRaL6G67wcqb
3E80ihjerp4w+zzo0W5WjS/mVdUXsW4I7VNh9dAk/ITSOQmydy7KuSIGMosJmpdbT90QUrRntVNA
v99iWddLmo+E1XRjQYEwmksp0hOSVbnqgmbtNEGmpXQjJwkQo7TrL6PVTdO7ITHd+F0TiWZskR1A
TCeBM2jOKDFolrLiS2eohPM56cw8/dHrUgOxR5X6apYgCRCtbsCJIvt6kc7MyjgtwFlzDUn2IjJ0
H5Av4x5Kj1owzsRUDe4PvVMbAjBJoQVmfuMOpfZRW3t4bkEbr9b6FfXIRfuGOmdehDRR9E0Qp7VX
HKx6aubyulyy7YDJpo+bA83qlTeHcVmN3nwNsNXacJNoiPblQfPi3tIDMVhxVIYg/Yrpu0m8YXh0
gbIlXdhXfQScc1CfnBn61iHtemhceotmb9g2Mum/Gh1r9K1JOxPM7FoWxnJV6mUhb+iQ78xHtyGZ
CjwZlZkHuF0J8I1MfwPmIbe/VdNYZQH6YetXc+3S0LIXiaaQodYnOzMm9U2hrGefFDhQufrKmuMm
up3zqs9upj5b7GkIZjvyMvVxiNlU2a29xp4JyqAa5yQPpsxr4w8dtwNI6jadZRKHZuRM1VWeqgU5
WOr9VNpAFF2c6YOj6d36HV6Zat91o6y9FElCItQ6tF+7Xx9iI+I5DnNeBqMM8klmKUSchnqyxq90
cpj1caRIoDUvpD4in3Wij9LpwJMiadT8oDesRoxSIffS19Sno/ri+j3ymOboI5ObNp9Qi6M0Aj3w
fs69AHmiDGV+KKSD8vxVAzDLsi/oZ30UXKXeY2sCTf5kLVqvTN8bwQny26Zxsn/kfWtVD0ncuc3H
GQSrAZ52tuvhLtJTc/4yqTHN0YFbgFWe8kiMLfJWTY0MFWLdcQGUeVKOpAYhW1qEdG+y0dChA+d2
2Vhj2LqRRZFCDhbb+DgP06IfpJ059o9BwwnLL7tKeVV+lBlZhCNI0q69a8YU7qufQU1fj6i82vJt
jOyD/hefdZgi351dgSwnT8PkvUETEMLZYawoeOF/I8t5+iu1qlaxm9NZN1pfUzDGB/Bmda81yBXV
jrp3YktrQrMXq36pJ3bPeyGd0VW+1kzRN7DMY/yQyXwa7quoEeaJtVH21xzwi0GDoStcmNNpPqSQ
6NysQBc07opyunQbe21mirbdCZg8yScS7EFvj6U5BXIAnPgOWG/VX+it2U0fu3yySy1oBMyJ6YCQ
ZtNPQT3N+vgwQFwEFp/G+ab6oydGYICOy0IFldAt/A4O0IOMbUDIYAITkOG1Pc35By0anLV6wLZP
SWG0YqPlXMMhXuVhMrp6viaNqAndN82yG07UJBs2/FpiY7nrF3q1FH+JHI6y8EsvnghOxg3c2dQf
YuSGEIbWVHyfygGlzzyKZvsLymZ5WYTrmPbGBDNctrB5SpO/8aGDRNXdFxBYqvIU62mcuafSGFtX
PxjK0CBpVqXeLfeTC9S4DLxuMdV6a60r38pv0JZvqU7oFz3Sw8rUirQIS4ePWwZNvTnXfr9aWv1Q
924nU5/GzMWEyDQR5Ct9lEhV6d7nzaQ+RVolMAlm5GLn7wZzXyNfQlcev8Fs96h4mzujnHykt8v+
Aj7FZMEj16Op8REqnNxHfYDVeau8Lhk9n7QQLv2PJFpHQNI1aSnvHTegbkLOtBNPO+qmMwzOqXXq
MUt9gJDm8tfSrHV7HZnZol+ljVynpzJfu/HW1peq1wOgGomwsC1WLoHMrzmPa/xunjo2CHSTHtJJ
YAkLJc5gmc1ifs+tnmqfB7lIU/mpWVAEoVLPir+nXl62T60LRVGd7MqKEUBucqfxboTeuMoJhqHK
xi5IDGTUL5ZyTnQv9EajrFFV1bidHidNjlzJtt3Y5RvLmZzhMvLm3nlYgV0il+vIRMBAMftelV3Q
siaurxnKooQEk3QAHhvDOJ595Lat/K1XVjzlfiVi0X/WgICp73Ua2V1Ns0cBo9YfSfWnn7ysRobG
16Y8tT4Yo5dasd+0kL8Bl7rDiuj8HCNQZRy6FRIz523BIBT+CKozhX8+ts4jmV/Le5us4P96voRp
NARhnSYpCX+5Dn/PWVVWX7l2JNL3+TqI8isk9dpcfHjns9H4udcaztdEKJ4B30ycPPmgFhW1ilZf
DdvHn2sRNZdFF6dR4tsWpdPvu7xJ9A2QrscaC+j0PVsrWhKpTiLBjjUDqIBuyj04Cs2geQGBmQEL
qsUt9pMir6PLOB46VjBbZuMGm8N231s5d+OxXo1No6xc0Z/7uFRWlh3nxpzazLdhBESfitWrugd+
iuCSQyG+6K4nverMN05hu5rvUfZn+BLKdRVoXtYbeZAi7Bc9VpE9t5fGDBb2uNp8HwzusfLe9TKe
WzoeO7V8ilbZZgM0Qc0qet+I9cq+1VbOxIO+pFS2+XXjgahBIN8RecIVm/ce018qlQpeDcj1SCdP
sD6yg+V1Sn7vMqTXar/WIUonfpGSvb0QBa/Uh3WJpLyaoSyIjwqep/11rViwh6ztxXgfV4U13s1U
zcRX1FlJevlwnyf3qi+7tv8B4r0cDz8xIGCcBiOuLmAep8PHrEbT461FxWP8OE6aNVR+RZ/y8j5L
uqy5IB8bT4bvIjdcvW91cqbfVgDppXGw2nF2Jt8kSTg9ZR4cgMgf1VSLS/BkUyIvCpXm9J0mcH8L
34jqQXw3hiwVvK+ZKt5PXCKsDxG5RLAGsxbxFTjPTXM9r2jlf9GpDHxYcLXEjYTQTXdzP+hvZmhR
xhFAfOK9S5IEPFaAh9SKWy3zsuyTiXRVeg+kQZjHNuUcflFdw5kMMhF5gtYjUNM0aBr29zGqNO9h
QX5gxnmaNF1clDoqQJckod3+qcrNPv5r8VqX6XPVZ8u9nMq84LTlS1/eKm1JB99U8VR+tGbMSL+u
4WpdprWqm5tWj2cwrEOSZU9C1HGRodu9mMVFXttVwy3QWe8HSr3q+yGCmHTq0l7TGn/US1d7iutG
md8z8DbDiZevmf2S6jwD2Kwp2ZVGanah3o+pftMCYvfel3UJfHxuAfGERjK49bu5tIlHssorh6Bb
ZU/L2OBgkj1o3dQTeh6yqEwPo2g0+M7u2MtHTXWzedWOypYX6TrlOY1ms5ffWfmarUh/r9w+T7O3
zCKoynaoeG1U1IGPT7vhWten2HlEJLAYsyAqZd6rAwrng/1IGE50xxROEjfhZCMTdwTMCS6+7gpX
HvS6G1UX0qFsTwdUIOLyBuNTjlfSVYZzKLpBqWNqcUKvirV0ooOAKoWzKxOjuYnGTN+UTocqya4B
5kw5hSbGlPWX+tIPbmji7+Z3I5Vd3eUQr+RYnTivCuUP/ELnQpYqce5mAcvzptBJiYTCgVDAj6XH
SfqWclf9OmqdrPqq4It3Hzd2pnFv5FjROHD04YBGq7usPbRd3443zmQ69aUdNT13vjGg3Z/YrTHf
0J6KvIXvpL3tfc6qpJ6PbrKO5VPGKUbVIV2N5tRaODX3ztjZNaaVm0pQoaNpesVtnpXmCmCbhS7z
YNBm3UwvBWRzDUqrEyVlEkTaIj0kPU1Hs86EIf4lsLfv2RFFY8CTt9XlzIuINExRNZTYkDf+/HqY
49/+/i6015gR52ps40sg9s016XX9Liur/113AYgYQiu/xK7Moh8kdhK4IeAC/tQZzdPi1tHD/+q3
75tUpQCZUlrVdNk4iXFlxnn6YbOYzyS6fpYmvxD133epqslo1bIk2WVe5TGS+bazIgZp2G10KSh0
oj8LpUgFvdvU2PZLQZGkjmD398TL8LXSSom7hI3UEzDF9FrnwK498COa3S4AoxOXHrvQHgqX/4eu
tlV0MpvKA2CW1aYEgU4B7a3mybK7UjDYY7Z1R05MX5f8nEzsv6Q1fmuUldiKKp2nS0/iPhzH1uvn
C4g6049K7+HbZCi0nMsF/8s+27fNzk1maWO3dPDK2lm7ypPK00RoJYZeheDyCMP4IK9sERJN0NwB
ILdH/Iz6O0MThMSQlvd5MabuYIgesPmcR1174UEeEjfOGGlZUJe0hQ0Hu880SJeyafOyu0vM3MEg
6/t6cHukmLuubu+pRpyGO5RiYpyHLnabq614rdJCGWV41Yck1YZMHPK5SmVotvEycWNy75inzFHm
DNS7NaanAmV6Q/NzmOmgHKI8Qu0Lbxb/fTk1YPgIxDSr6iBBREtTheaEpNGhUNrcjVe2O3vjXeE6
CrGxbOrAQ4Q/j8T/l8f/Ret+yy/9uzz+4evw5VvV/iqOv/0P/hHHl+I/cJI9B3CIdIXxUwH/H3F8
z/wP5hfkLEFl7Qa0IJfyjzi+8R/H3XjHQHdsG7wCkeL/J43/Hx3UAqVsALw3Ot4f6OL/rDb/74Wz
ESwAoYBRhyrrevyxXdRcw7SKuTS1AwbrcZDZEwH5oC1+lMK+yGfvEs90yL+U5ftc3rhyRO0e6Oxc
XTbacMLgPsVmeyCUfOYefH5LbL8K5LNlGRtLGCLevrklr+bIbTzNOwy6WwcjNLVg6nrv0MXWcEgc
71wH0M+iomfLAHwAyU1vWwmHT7F7mrgN0hG8mXOA19FpuCqlKO56Guuwb+OM51lZNibUVEKDDBx9
SGNfZaX2FkrqqodG1I2lP6smvxvWJeHRVJEuiPyIDlqv3mkPRhP3H5psjtoDoVs38y0CXrXfzLb5
sZ5XyElqjNcPcdqLz1TKzerEs7vU2GnulL4tOw/nrjB5hPwUME903GbiHLp86AxfaQi+nJxJb3Of
Wz9xr6xm+5qofWejL1azf4w6WDxBteTrsZ6NUZyS1VUnzVlSEebakNvHnBzDMS6U7vhVbTlXTZWX
0ylpRCP8eSjTD0oUluWbdmyAbk6RLcZpm4ZPDVw7fOwOiE4dkRv3K8PMuzCupVOFSWa3hV+KmbCf
40V9H3gKKJQfG8Wqo8VQlf3Rjm1HBBDR1q9u1MyxD1G48a4yVYsa9Q0pSXxYXZWFpZqW+85yh/rg
mAvLa1tpHRPFy+mBHF1Z9AfVeoS+aI0SMUaTJmjP0XPxjlA/SKG5cp33+EqlHUz5ZPQXChm/OwPg
0rkqfQ9LY7eZKOh1LfC9lg4GlkP9qyWiDWmSzwTGD3ZidZekwb07J2/02q80w9aCKJ/ry15L6XfK
88GsA32EAnLGhtsKb57/BlipxkZK4VDD2d1ZQ52p0Hk3HINAtWyWIE/6Lg/W0TXTq1WWGTtFmwpB
sF7H1ZgpiOuOv9yAb/4e6lcuxs+Oh19+gQCIBpWL70O1M5fY3h5bu0VrhzXTDxOtmU9DBmIojbsp
XIaivRnGoYQdr8pjZCResAK8vNGmeSKPUZQApGM4dHgof1SKIAQ4YG4TfpFn2hsYeLt2fjERpebU
yaKnCHIZUX7r2e1wD6m9fff6zJ+bHf+MAsQTJI8pQRVt//0vo6hZmWk6JLC0LLIGSwIvAOXzc6U5
O4zXNozlbDx3AkUOgJS9/hBIwh60CZOpq8x9442ueBza3v5u2CocVte+8xbvI1ezHWLwdVsQLT5z
S+/22G+/YDdRap31NZ0zI5xm44e0yzqsun4MUsh4FSr1QHmixU+bpTxTd7o7X7+Nu3uzoiWtKBYq
jHAk1H1FrFojamh/buJmUD4K9vWxJhXxbSmdJA62kO2b1z/w7nX6OT7UJd2AaWpYHPTnH5i+fRx+
W9NDNrU6RnYRBXEshjdy7vIrCbj7r9fH21Gn/v7UG3SKjJzBltoXrSaVVkTm6uih6ZFXoNtQhp1e
m+9iLM7AlDO+YZ55D2OtjXerIebvi1PItyJXcIlf/ym/723LM3UIjHAYMWn2TdaVzuW82MIIo3SJ
fM6Y+Wg3S3bGyXqeBf85X04oCc2N9QUjbtsAv5ygiSysVdWjEaa2nj713rJeltksn0S8ev5Cbpjn
EpHBPyol2kaFowVV2ZQuRFNMr+ejkmInp1GznUXd887GA7CZMTnXNrptzmfXIqMIVgi4NCxFb+/p
VbhqC59TD4E0xse5mJtTRaLphqRJ/un1j/X7PoUIRtJve4j0jbb3fEKrG2NjAXMM13icbktvqt4T
wx/8rNbsQ1Wr9EzlxUtTo3DANgmf6C6BiufjIZwjyhK9gLBKquYkRi3HqpzSEOXDc+KbPzsNf1lG
rmUuPXNjnv00rPcqCzFdX7WeKefQN924IsRbOoMvalH9RUlEMwIQNLPWN9xmHMOJQNOFSWEEAGLV
1MtNIWu9P/Sqmd9Mqo+GQ1b3un07UzRv+mrSeJNf/xK7leHXYlnDK7NdSwIvtXYWwaB6W7ZVir+X
R4go90sVZn06H1EEOle9/bP39fnKMJYrqUg2sOj5P8+/grEOK5J/i3kYnEH/PIEMrH0kHbp3bTl4
FFMsJVqRaxbT7Q4W2FJBplz7ypDptAQbrKv1uz7L5tBJVu8L6i2ZS5t2BE22mC37qetynFyHSLod
EtOLyEAYtIpf/vF6YTZRnSUpa9h8gedzyDJvNkSZWJTlWu6NmVvu1Wq2yzUBnuHx9aF2d832abjN
sO1/siHNfQNe2ZB/RkEDY62PjdNq2OsDCbAOwzJtiQCUevRE7mU4c8OZ2xfffSVJTmp7uG3ugn2Z
G/UIOluxsA5FmXSPadNEZZC1LRW3Lb0nh741xjiQ0p4v+2zGwe8LUjZBGsX97GdWVzoX/doaRCxp
t7tKiCdWp2FIkpNoi2IIxs5LyitjMnNxPatclifSseinuv0I/SczUncKX1/G3cPwcxkdQ3p8MlNa
cnNkf72yS7cntKDjpaBg2996Q+2FknLqM6NsN8h+1Rxg244LN5QLbWfV0rU+FfXsGiSCy5xgzOB8
q5zUUeiHu/GVFRXNMRPTekNXhPc08DCdeSJeGB/0MLUAji3A2f3WgcGj21Wp4PZU5U3bWte1aYMF
be6ICn4vBptUsyvf21b99fXV3d3k2+p6HtViMGEFbcP7ZqcGCHxSTro4FLU1IpXcdpd6DYPBGZvk
0GvynI7Y7/N0uazAcUBZhqzr7V6Owm4cT2mVecjmob3xKlKVdhGXlxvpm8KHJLYOnmZSAerRo01J
onNO1WJv8jBjXH/OBnFcTC2510GAKWonpkRkbNOjeStl4bbBMi09gGuvR6ugAvZOFAIob+5XmWOl
gV4ltMg51li+axJHTGeu8N83OLEbyZYjCsDi7IV32hgrXGstoBSuJQK3KX9Yq3uujeLntP67wam7
MRjAJPzBfwr+tbv4aEXou7L29IOepdFKqskRX+EnG3PokmKxjwWX+5tNmwDfsZeuGXYZoN3TpJfx
D2eu808go5HBlQOCir5WUNxAGY3srmNvTbojmLXSJIRD9UpggwL/0GXZWlyoDGAaxUTeVJ7Wrl++
v755f5I7dpNyiFS50iEW6SG1+vxu8FRU1SUClYcxL46donLOTMkiGggJfEUYbNb91ci1z8kySypR
xmY49VU6e76xJjMpbfQF7KQUD+Rts3ev/7Tn7zLLbRFhAiWqbz/OdvbVwJ7Gt6aqS4auTJoQbUiL
3DYRnAcyUeL9H45lG2RMKcQhzCYxknarMAxT00nTlKHkYabkRxXh0K9NMEuA7386FL6Co5v44HRS
8Ed3C07RC9UeZMMIJ1k32TzJA4Gb8QT6WZ7xhXZuPku4+SUEMKHheoKLf7u6frHVc1Jm+krIO9TL
+m7lV3EfDWMwFIb86lnEu1yLEFKF9PNRHzyKTR0Kgrwm031rIPHWZMo+4x7+9lE36503nYd1c5r2
DYRm35aW0Ulmr9nLsTMABjQUaly67XKOGXBuqO0e/WXy0m51s8wZKomr9rAQ1Aho0eWe7NdzHfvP
7ZRtnYlPGlwLePoAf/fSXKabFl6EhGkI+3J8Q2ZjeV/Bo35cwWI+jJ0ywiwvrTPv3e9HdxuVB5ed
q0Ou2j947VIusTeSm1jUJN9mekrpxGynl97amRcqj9ygpo3Bt+KlOjhJF99wpVdvYidpv41GS93q
6Inxcc0b888/Ml6N49hblBj07O40UdiQZmXWy3Aiv3Gsm34N53aYjm0S6Yc/PU10I1ksvLUBaeXe
3Z8qVdlT4cgQBJx+YanOuTU9M7vTK5m/e32o54/Mz4/MUFu4f3tmiB0930+rUZOW87ahOkcGItep
XVXLuevhedzmn1GIHWFGmSbj7EZxNNHWthXJMJ5lniLxZIhPKO6V11CqxUoK2hvunapcr90RddXX
Z7h72P8e3Py5mFRl6pCBn0+xU9lqx2qQ4epYwxWB9OGo4K7fO0VUh5RaeCflCvGeqEZ+LGSTX2L4
J1+UpEbkzC353Mj555eY5Blwygim7VMfOtDq2qNYmTA1bUndGmVfO6eZ74rZ7S6sUkfrGJWSd3LS
h6e6G8ozHSgvHGjXtDhT3Pk/X/znC5Elq56SQHRCT2jzdaHp1vuZ0o5jOvRPGP7DEbGd+OPrq//i
lAWcNYpdTIpCd6fGKZ1Fc+dChnOVr0HmIcJS4fte1rGr/cXzulyvtkGZTrfMp7Rw5qfXh3/hunSJ
HFHaibe1bb/nU6ZMP0u9uZEhOgnNMXat4c1MUf9tb5rDt9eH+imJ88zooGvw17F2V7NeU9Hk5qsM
R1FQ+6J6cVWhQHqCf9NcIzDUXiCDYhGMX8cHISdI8mrOPpHid26HbDnXBvryzLezrbs4tHupucWm
+TkBMRxSbTyFfcM9qqvqB8bQOSnacyPtPvFKJW+ZaYxU5h66cMTZDqhZbSV2ehOeWePtb/2+xv+d
1c7OyHUjGvO8k6FRO9P96hTqMC+FeR/bFGs6cOLctvKCvJFRHnSJNd6203TMc+ecW/jinDeHgdAk
Yf294NtAnNLmOZChNS5tuJLcD8ypp+zbSM6Jpr00lGUR1jfsLQK8b6eOo24x8o7ry4pn+5RThnek
WMsKc6I7F68v73On7+/7if0C64guOJe0xfPT4uU1JTIzxulETZNvx0752dPb4RqljeK4JvLPZAX+
73iYFpjFOJz7J1UtA/7BUPE1G0MGA0mpoDLhg78+q5euIIukrkMoidTQPvAhC7swG4NR1tXorppp
1e6smFCdprcW9NNMBV6fWLeIVpZ31jSd03x96db9dfjdlp2tTkqkibn0BWH7nJKMY545xSmehB4g
xCEC4kTp6fU5b2/a/pxYKFOR5ncJue7j2WJUeqVxDPiSdhpS9J9fLlgvZ0Z5cWsixIvZi+FPwPf5
ftGSvKjp95JhmuvuCYE8cdIV5SkyOgeSfvFy5UwRHyBYTmxzN1TWYp9k+Dlh5uXsEA3d+CsnoaIn
z+gNQlj6MJtjRQHtRU///sdGyPULuXR9OdSEc8/sqBfPiUS9hkkz6/3pr+1W9uAumTd1zXDt2+bW
LiyPzgCrCRETOVek9eLX/GW8ncejx9SFk+tn8rFXB01PY7PJeGesk5dGITLoEDN2sPn3Lf5RMWqV
pXO30tVUPBot1V/a9IcEu7/P/K+jbHvqFwemL6fCSNaaM++s8WlQlTx29ZocXt//L515DHVry0UL
3OBtrr+M0s0EL0uNM5/kTXu1gGjWfMp1p0/jQvbMr2gsJHiHz+zLtjGMU26Ow5mf8MLhINdiSwlT
mn/YO4U5NfPRWJRuOE9quB5o/ztGNNQHJUn096/P9oUrxsPGInpGqodk3S5ISY9rS2VzxVCmKj+N
OVXMKyGjjsbMzy1P2DGvoj8DpP/8jowppK4L3DR8/v0KL5qWL4yJ+PQawv4xrnRhnstdvbAnSUGy
HUmQCfHbiyRHZ13p/nTDoSvL0DWrH1ZjnasQfHH5qBjgX9RP8MY+n0reWcPiGHyphGaZiHcBYjgd
pPLTKgfznvBy9jClxp/VvP6zgETeXBbPMnH0no+KJW7RTsioDbGJW8Kt9nUWn03kbq/L7iHwhNBx
prFS8Kx3V0dnrslQaAZXxzRnp2yQ7Yd+Tiq0Hor1ptb6/imlEfHUlHobaPpEFWBtLpd0QGYUJjbN
uZDUi0stHI/iM327Y3ZLPRq5XgkAxKgDlN7iT0k5H63JbE55vfRc3aCpFtuivuf1A/LCdcAq/HfY
3RtMd4DUMJpkKBaKLM16jL6vWi0PCEk1YaGadKH/qPXolxVLgArDOWXal3xQXoutBGTLj3JSn3/s
pJtVn1fKDYVFGwYNvH0ZBxN4VsdfO2ddaBbWjafKLO0vWk7y1O+LtagO9SqUTmRLkoN5fUV+Ssr+
tjEIaBDZMbCM9m9Y7yAVNRs4/pitlIsMDm0zdOdqdzjJ7l2Sa1tfoH1KOzp2UzNaD42gO6gdnOVp
hYbyvWujT1LmUaCliX3ZeCo9wmtN7xMnmRI/dqPxTGTopauAxBzZCG6srTDh+RIuItfcwhZuSI2L
FTiABS/1iKbW19flpQ0Kus4j00tO09jraTUx7ZG6nrphm480WyQTqp6ejKajYan55AHdUYGqtFWc
Gff318LmQGxxYaK1mGy7B6ssVZpKD+fBNWoVxJT0HFoUR5AwrVX4+hR/D8YwlEU6iXIkHIv9l5/S
Whs8ytxCfSqLN91EMx10RpQQKVJyreJAe3d6M9D/XHyW2TifqxOztjP+fOex5Uya5skrWVSX7LyM
qR6WAixEFGZDNNhBljTZ90wbMJ2oMbTv0tz06MUadOdGpOW8Hpx+eqvp1DL7tCjXdHqV8eocPJ3i
8tBu15TuIK2Qs9859dIGkehTddKb0f6SrHM9BvMaRf2Rh9G8cxdFByBtHe10UFJvH7HIzYctHvml
U6O2BgY6q9WxoJfJBgvczPdln3Z/Joq/XfwIZhADolyL7Up8+vlG9sgtmygncCWLZDp0lUwfW4Kb
fxyuZJStGoOzwlu1Nz/og6IRzcsIubUDuZxyRdFxHb9ndCueKcJ4aT+ZzIZbbcvG7iO2LsWFSDQz
EpWq9aVEZ/2dPqzW0apbYnvaPDQ/zKU/TJqwzqUCfr8TmOQmQOA6gh29J7ibfWYXhSBYjC9nVAgy
1N2B5zQ5WfoiP0aTak7SqWsaBmV3HBNewJYM9TWXmgGAnFIxLYseRB1ND68fsRfclc2rxTnY6rX4
h13cqe8ET1s+EndaOmGRberMtw5FoE+kf2y6gWpVUBFh5F8X2q1Hv6UbfwlWl0MYzLOmmqBA4+yP
w3/8JhuXZfPtt4zy832XRE7swbeXIbuyusvTPvKHYVy/GXZVhXODnKvfFOpc3cxLF5tDSSqpTPJe
2DvPR23NmEOI7kuYrMUUKFOUR9ynb7TIuWeu0F2FDgdLYFGYDlsBW5ha0N0E28joPI8AZ9jobn7l
UqXs19asHrluhpvETeik0+LJ/Jz3XXEcUjGcKmSWCQE36aO5FvVXGsXjb/Vs6m8c5AAqP+/sf1oX
vs7/R32v3vx9zf1apPqbJbL9RjYGRVCcFWMflouU0hC2rfmN9GO/GUSrfYVMHH3pMmft0QlIYprW
nHj+MfDTPi7oKZxe35q/HZndD9hZYAA53JjWHi0chpwi89h7t45nNeh+uxK2QfC7sKcN06VK4/lH
T3v65HvemTB1tRsyeFcZUifBrFk3rRive1s8iq49Yx9sX/fZs7KNSe0rrhbhJP7p+ZhTY9exoyVa
6IKTLf1JFYprz2lxYptTUirt4+sLuSuH/We7ue5mXON82Xtcq9CoW5SajEKpD1EIRVmEqCrOub+k
dvtjHovmr7LyBCV9xegDtI9uneKcz/7b6domjcGwVWmYkg31fNIz+yxWgu4eGq4qP+bCI/Gpi7uh
Huq3r8/3xY3zy1A7+4vUpqJMho1TlrN9Revg41oY5zSTX/qISBg7/PtnWd9ukEXa46w0WsdMM4+j
Q7nWdBi7jaufoqLTP6CCYP14fVq/GXw4saySx+VBkSRNDM9XUEPDndqrxiOIFHXXiNkst7KT+UM+
qyTx1yHN0YL8H/bOZLtOZcvar/K/AGdQBFUXNtoqbUmW5KLDsGWLoIYIIICnz2/r3hzpI5+0xx1/
Nzvu2NYWbIhYsdac3/Tbw//fp75Zqmry5pZmUzE5ynEPlnQOXtwRE+qo4+UQBv5wbW06/8N2+es3
yO6CFPBkC4Ju/VYTONb7HqzSzQ+igrUv7C64dpyiufj9pf367vMpKFIocWKKy7fJuoblJdrdJT80
sbMlsVxQ20vBoLY0e5AgrW2LY1tvUFT6qinPf//hv4oD/NOnBwjuaZljFz/9dj81fshp7SDL+Plh
i93qnW4gUaRLN40PgaevYStBQm/G4WLTMvwwwJ/+Xoe7mwaM8C+VE8srCEh/Ouj/0w2h1MNahQfg
JJH8+680lH6pOjXmhwo+Ovq+vj5fQy94yhUpC6lwe/9m7OA5HnDgVn845qGH4Ke/XRbxhvisEghY
fxGCGqfdMGYsRSa9KboCWA2AogDQNGckD9k2h36qnz4cYDwVzqoT5U8rBpHSNDYvnhtUJ9qCUknt
j4F/7Oah9LDH2M1Hdnv5kbnrbZ+TvpIMzHxEJrWEQyJrDyZInPcj0+Te2sosL3vxSc5zTMaX14fo
MXqtbkc790TSWY65E/5iv589BXCysls1p+T0sKLF2mrqw6ijJUiYlqGSnlsPKdJg8+0nrVq873gs
1hc89ds1CAQdZ3Woqo/r5IO46hju0l5fQfZ7wwZZAOUL1zNs45Nfh/ZNvoRrh9M+7uIEVyN/kiXA
DAveOVzcDpn78z6tkCb8YLKmBPdPUGJv6cV6CRdkmZIpVxuJA70ZVnrg5YRnsxn9FCxCyxk4GObi
2gLxhHjdVuM36JfEbJG5Z1+gUJk/rkijq2waTrkLAZQ1eUeqvU7bqKqjh9rbVL1koxlVl9JCipYl
9SPr3B6LGOlFNytnPwx7q0L30WFExMEo5Ppa+F2oBEaT+u2QP5aFx2SjjOz+wZFFFDnHOZyATU2j
UeS7enKUOKFa02QOCG8PO2dYBzjUZwg9RSMZkFgEBn6dVll/UQszr7Sy47FJvUasO9aZyKfqnmsz
Ja2/cu7fnbLWUHHK9cdC/NXdwBz6hzR1OCV2gP09bawCJ36Eb2F/0sCpzFnQjXl9rgMBkG3f7WlI
VugfmEwc4HqpmiPKtnHTywdHd3RwnIYe1mHQ4B0Stx5DN2k8EjyzEGfafkntjBWW3nYjkyHaXPcQ
S6+wsrJwEAFN+2q9bCPPwOovhJ1hU1G3dFoUvdI6hDNgKB2ss6rJJx518pzeRf6+i7SZbeWmsveb
RA2Mbvom0PiZJJgKpgBhdQB2V9yPHmsPcI48vF0QMepk6tdu5ATgIbey/BZqSFdQHizKbd5TXkZ3
0zYOH9AiDH2yj/1Al9PtnNttGCsk0e6qzOmpNMv1mPfERJjQAuMC0W5YEg1ZBPBI3gYyi/3V/uzy
sj3S6VlMBmTNw3lVBOqiVLa9JJXfC3WgPlq/MWdevoIA4QcxBMRZaLX17mHAW/YPIPPsD8w73S8+
7UAJH77ut2SbdwUch0DEjN7pItAC50FwOKF5QRwM284rXkXlj8nLt8tqocOd6KaUt7kArHbpOW17
WVuD7o6aXT86gWcAhEJnMagFzVgxHS+QfgPEcorrSIv13lJW+GVfav/W1+Ekz4NKYlts8to/tHnk
1onklHIjrGpfIRCG4bOZ48Lj+TOwECwrcHe81A5oomjDopS2jDFJYfekAE5he5Dkts4TP8ap3pvb
Be5bmRayssx5YG9OlDSc6UAjuGtfXkhVd59Hd+g+O3nhPWlLbgWoMAURKNR+/CWqCtMnm5sPtC6G
olnTtjU5vbuy7qaUBmPBHjf51GTKk0dTeeYhWGv3XPskOCRrTDjpsF/OdVN+AxemuoTYpOqT9O1y
S+RQKxZg31ff2qUYHgoE8k46RcH0CQxT4JwHPrCh08Iwn7hutXy0oaw9utVc6zMRVas+bKZs1890
zbz1sKzCr7OtlO7dWubLeuSlyPmtS8+en0s1Nm7abuioQcGUOrwqC4BkF7lwAu+sUXSmEkevzLhj
nU994oKIsdIBlkeQbYTSl2fYovomtafVvgyoUpskoGtu0W6u7S+DqPf5fAM/C1uksaaSFhennKQK
Fns7hFoQ0bPOQ+8kMF7xTnS2XwdJNEzhl2XVxZMAAAQBRMs8T4dlxli2rbalD3UVNPZFL0VRpAPU
Mf+8bkNzjKqgilJMIPV87jSB90T01Zwfhz5Q7YUOl3lIbFROBAh4ds6fpijCsxleOfCrYLWOUmr7
xVUnG6FY7Xq+bvzWqCSqqKjTWQuTP8Lx16CYXMYfx6nZJ9BvyGb5W5ylML9gD23w5WoDyoNAimTz
S7zzjjdq57wbMMU9elhf2+9TXRlzGKK17KDL6eHKmWNzLIIyeLTB+XwSVKBexgoq9qT08vIjmej4
eCuDIeIdACGvz2rRddW33GLXSRwXEzVChJh5qD039Go9h2zaeh/mOA1DaX1dLA1b0Fi0Jg5NXan1
sLuy/ILMb323t5Wp73m0TX+QxeCcV05pPSsh5vnCm/P+q82IpE7xF+8QB4K8YO2IyR3xLiHOsQn0
nTWBNwpjI84Muh4/Q3uJiACHwVRn/hZsH8t2cp4A8+VDWpQ164RFHfI1KuPiWpS1cpOubtnabTGJ
hyLIrU+jFgtHdoLlrYNFeOeSAnSoprRStfzodaFTpH2tu8cW9ZB7GPvFebHGZfphvH37jEva8OKN
oroiqDekZOi2cEniXYS8XZY9XO2KTvIZwRtbcWxI0rrwfR1sydp14pZGSvPFDaX7TvmgFw7b1vfT
o6eq8mbqdk+dqA7jO82/ygEgweTJbFfW36TnSJmWVdf66bYtlHNBVC0/XMewWRd2HlxXgz18mXs1
W8lqO/WULUAEhzTqV/9q6mI9XZTlPk5HMdRWlDpN5yIvmZEpp2KRrJ/xvvvqDLuNuBOyW4kyjDZ1
JEMyGmDQCBMdAkMblDJujkOmCjzXYJWKfmQnRcyecArq5GHDKJangbVsX+upgyrrVa2l04X7cmOF
PUrosMcpjsGc3Kl0rNbL3D3BN732h7fItUyHUVg3jSer+oD+J/FNgKe55BFit6GHtBzl1NdXTTSM
0Zkdm+pzz/s4pctsNeWhU8O8EzwlrE+RdngJ/Unqr2o7UX8WTvB+FlhDdNn1Xj8lyrLxVDqo5r52
a3S0PWhiBUypNmlb1z1WvbL1t3YFx5fB73IhekYkXx5Rc598qBwQ/LQdNYCwaQ/3S68yvX2odstc
KWuWEE2DrgZzFIr7pqwT2ox7nwa+4KrbuqI8FqPLVmJgteIDXHq27z7f+wnpq2WA9K3gnDPQbutV
VEV2fqws9AJZaApnTlj51/rg4JzKRsA2E/TQcvwu2nV+ieyRiqgrgvYmxmADK1YtiO/J2g5szFCR
1aYcm5SXKncnNW5dsV1DBKRRlzijX8wpBs16SKl8Wc5I6A1xtft+p7Ot4tacDlnun7rWr2OBvx8k
sL8wgOHPUxPxrSi1VYg4GwhkB5woEmMQ55ghyVUPypAuUpIHm3fJw7yfW2OznEfhZG79PRoPa1Pm
H8qgty4sHe7ngDDDe1hpPo3pMr/q1OIn/rJ4oHOb6VhVwk1NZ5cUETOaddApIGM0DMlhfPzDUfHU
Z397QahRabhGNkiKt6b5cV92k092fjjJ9Y9OMIsL4exOOgzCvwniuUobJ6/eUWBLka4Ytt7pOZB/
SAz4tYGDZZ4DPeez08192ygO19hAOGvig3CbKTV2Nd+z1lCOd9v4nx/M//ZRb86hljWNY1/R6dCd
Jc9l7egPVtE4tDdadTyxU5N9GB8E5fHH39/pf+g7YOvBQeVH0Hbxav39AAz/ThnG3THnCuVmTV2P
mQVgI/v9p/zjnUTFzAkb0WP0trO6210dNVUVH/CFtR9bL4x0EuFbO9J1+6M3558/jOM06uwQ4sGb
/k3Mji5USf8GaHR/UD1DUirP+3jj3PT7y/r1/M4DQjPjvz/pzc3rWyURnfOtMRBbz2WY9+fRtu5o
DkMEu8VgUnAq8uH3H/prG46m2Ek0gHOUl/11vPFTF8WH5yqHZo4P266cw0Z+36G038nh2smBG//+
s06P3ZvXkE2HYStt+wDr8JsLVF3RTzps40M+uuKHibVvDp4/iQ8Mye1DQzTqg+y85pMLke+49r77
9PvP/4enk9apfxoYOIKB6JtxnAlyym6XvrHnmvBpbDAzhl65/Gsc93/Iop+QRa+YgP+dWXT7Q80/
A4te//m/iUVB9NfJzoPhjeUYUdFpaPxvYlHk/MXUCHM8ywfa+Ve13b+JRZb9ly0EBjP8QEicBes0
L+p/Q4uc6C8kkMwHcRMGDPSRQPwH3KJfHxNQ2jwiiKn5odFbu6nkdGwVaOKy0ebIO/T+fqQg/hMR
4NdeIZ/CJJVJGYonLunvSyVhdW6PQanINjXcWzAIh7j8imniRvQyxjaw3Fpe//L7F+DXFYbNDxZB
eGqcQoF9sy900dB1SmrrYPKNsp0wjPsimvNrSv2vKzvzzdq5fwrc/XX9hAGFkQbrIg4jWqN/v06w
30TO6IVACav8SN91umx0sSf4vZqz31/dP93RyMNoByeYhfStW8zpfeCv0WQdtlWbJ/DGvOiF3byD
n+0kW5c75wCrp7OtRSL7+0/+5Rr5PFcgWmMIjBL3bXpovFeeXwsIyEsVLSAKxOR8aHvEWoc65wD4
h+nnL88n7w5DXXD52EIRV52W9J+XbD2qQoPvyzAU+elQ6uUMQ5w8//01/eOnnGypNpssJ/k3i+W0
hQD6qkBlc7PmN1HXyIMl3SH7zz6Fagg6eHgyPruM8t6arr1u8Ji84uTDdL0BmnGtM9cJuj/csbff
z+lTIt41nN0uDuu3OozBYSpBmJXOMEXSAmsd86Gnt3U5jKSt/ccXhGr5NA9F5o4a+/SQ/vTl1Oxn
voWsJNu2OABJBSHRtEv4h5307ZfDBTHYRyB9wjH4SN3//ilqW5s5KpFADAbBn2XPU2K2vfjPvxz0
UTaNQDzJlAmn2/rTtTQKNJYLlphGQhQkuq3ovc3Rn44bb6+FhYG1niXw5F05gY3+/imbX4mxBfaf
jWNcnVc5ELFjDile/GF5OL0WP1cflG70zk+LA/NGLLlvBqh8CWqZ4xH8va3XrLVXfU5MT/25EBFn
xogGy+3vH4VfpIAnGwJSQHzrPLPo79y/X5ls+25eFojrpa6QGCA3O8yOVZ8Frl1dimD4Wog2Pu6w
IbJN+vrKFU15zYly+8OVn2zeby4eUQbPC7sjo88T2e/NTdYi3JeQ6XRmCleEKczH5WSHBtd1MVQt
wWCAaeBSHkTJsezM1Cpun3IigOhc53OxHa3GFD82WwAhcptx1Tfjasz+yXdZ62579tL2kgGOpL3t
tYrlfTYmLNOKWLp7DgBVCX8yMEXa9mJX501lhlvt1GY568ygru1+aXWy4nqh6+EO9QM2BNGeywBP
87EsprlM162M5GFpGd9l1TQjZrQH+nfZyOHZOWhj6M/nijShZYK3B8561OvAXIZeHywMAVvdZ/57
pWvO7+hBDO3AcGqXlAOuUQe5Dfv2zqn3vrauXNI0outQbLSh0XDM1xBndgCZcReNqfbt/hGIQgnH
3dZDFnc+iJeKMetV1W2qOtS0bx+gVUfA+fJiu85J6xi+d1Hbhkk0n17ZoC5DDpwLSu50n51en/kN
nJCkb+BwwD8MLDfzzBx+1KESA+PxSUUZ538boZojvSjxhfZva9EEfRoqS1wJdroo8XZY2Aebcvqs
t7Qs0q6g+Xho47HoEq90/TnRAho/8SruvmauXsN7uw07pCjr6afY9RqpzOK6X6xdxfJgY4wPk0Xn
+rliiLQDzJNzkfn2WnyR6G/uI2/wviCzCWlnV9uyJKuomzkBiGObo127MAjLyjHrnR4G81kzkHzZ
RcfOTKzop3kU6mtp231+aEuTY5bri1mnOl+DT6LaSIIY85iM70Ho8DpQMcxg14qs95xjhud6GTx5
TiKKvZ9NgdqatKf/M2aw0aDMKkkffkIN1id5z2OdhLWET7CRz5ouLh1MC0XgOzUG6kl3KM6OjH+K
JelUOdjpWuXxcUFf4iW2O9A4z9kp/IT03xKyNfkiR6uuwi8T6SGfrHYLPhpvWJv2lrElIPW7GIjV
fjMTMjHP2RS63bHMS+OktOPje74yyDaeb6wyqymLTNLFa0xG7zyYjK7cqbFmVrcCXzwtzVGFwd6d
1eDggwQGydilLqNZJowo5CMAaH74HniO8JJGCUwPgmyJ/bqQReXcLIqGY/65jnb1vijgyfLdFMH3
3W2Gh2FafQSWjDuZOsRmtZKOgdwXy8y+lXWDE95tfUU/k1ZqKZJ8Md0HaXqifWjLD+/7Hox5MkwO
MyFCiboqdRy5PJCIEoB5iKr4oZam8S9WDySsVK1Y0hy/1Yg1r0P87plIfLb2ZQTwNa2OfRVbcq0I
Jg1cL8utqSImYUe6T/iN9G/ctnV+hCXKkMMswvzSgNdsUrJltu3Md9RkpQYiRUAGlQp0cTNWjmOl
sLBnBkO5E5ozt4/yg1W6JfAO8FFNMklLambevncV1qxXmUalO2YxYxrGYFZEskFr05BJCfCZXoxA
IJ5uLDJVZnd+vFxKP1yul0WN2yXK4p6H0pxI8j1DkO9bHDFrzRwF7skfBvmtZyvbkg58zMpoYPV/
zGJpnzxFAvlRza74vEVCfqmZAj3tzuR9bnb8q8e8GHwn3Yo2qA4D8uAPDSERzAcrwlrsHVjvMdoq
agu7BKNJv70ALLwxB/3cGG/7ZoD03kcE8hHOY+fTCHx/pRleyN0v01ET20AT080fYJSV7jXE+m1J
BwbCKARFaD/3Qo9jNhctL0/DW2GADfu06vHfBy8c0BqffPllbM5zwXyRUVwRjheIWrzzpQkpc4AI
jx9xbcIwDUOCK9MNPv0PVc7W1V43kZOQhON89mnQfmpJrY/TigpjSGoLG0I6FyVTtgo/K3MWrxby
IkJQeORZDkW6xOP6lU6/dsiyIYMg8bd50Vcz+s/7iIbQS9yNg2AppgpIG1kS4YXwZvjmswZ8t6ra
giQgrODOHenWpkbU5FIUcWxVycIelLkeaZtZ2S/yFqEbE7p8DSGi9nVfYRZYPPltnrR16jmXccm7
AXIjA7PpqKynq/Ah55kvkrxiBHUsFdF5CTEgc3s1OKJ+Xy9u6R8nL+ijdJPN3GS5VOOLI7GtHnxR
9GfhFJbEl63l6N6ekLp3nj+Ydw1BHc/Tugy3lXWaB4XDFm0JLhn1lcapKpnHV9aDWfftExkdEFDH
nNZJ0rqD971gD9ouGnuDqFXlLYPkYWs3/2wTA4kmnWfDanNmNM/QUHehEuav1e3SdLWdttXs3MHd
YBgbgMMdz1AxA+7lTgz3PYlOOnFthIVw+dfmJR6RUSCf7EWXYvTervXsLSEi7K2/c6cFGKibx45E
sBZs/nkg5PAxKtfeEC/gkGs6MiV8avrOJUQ87MMwlZu3vQitPP9A6luvrkWHcvvcChqk4pgkvPgQ
KLtcwISF9XilObncR43k1d5UEF46KxxOEtjgQjoTA4+k3drmLvZmP0hJVvOCm7GBjJ/kGOTzdJ2c
5aqdY2vie5E5A9NWTqy1s32jcLSIZKxz/ciaU3sJG3v8rjJ0JVMbs9KP0XYNXhalfwTeHis6+k21
HYs+nz8sM97wRDaTrG+ITFp10gPeYqqgjYVLq90/zXa4E9YmZn1POpN4L8aVOdq+KnaWSOLg3Bf2
qS4gMYd3zFFfmKqRcx+sAimvm0/iY+D27vNu0yOEsAsaZKhd96k/YSnTXZXW+6HfAp2EJcE0ghL+
PWWA/U0QDzUmLT9bJp7L43AYcmKdHC2c26Gcxh/UdoKhS+FPjwyNmy6Zc1vfwHvVKpuiKN8PTN32
Nhl34d2habIerNZpnYvYNcP1rEKyn2cjl29Eehj8kS6+F6T8W31BiEFUHdZwovCrI2an04R+l5rY
mS+6YnFzdtu8vueAue8kGwzig9WsxPPljGD2zCi7pnwi0H6HzIuw+DAMS9skmI9GkwQmri60kraT
lJr+BvlUFc8rkpXotglZ4VKqrGDIiFypH+BR8EvWjmi+YRwkYmWFX3xLRuBupegjclJOlNkFU+Cq
xEDgbR2IQ6P14zS20Y0ieWw8jtaYN5lotTM+zHuOkKdq7Xw+t6gbyoyvSpNs0xLTfMhrjcYgh1Yo
KWSHbs3EEjOnm2TEXLyoddke/B4CcyaENfuZmgOww37XyyKJJyVGCg8LPN4q9fpUeOEwuWsS5GMr
09qtEZv2sQkIcfM6//MUTfb7ae9jmuGGbCz0HIoXgLtvfbNtxngI9E37OKs2vmsmh5CxdXQ6kj8C
d7kNW7IjMsbXlHFLB+BZndQgmcpLIB6dXGV/ZhPbQYDOCOGRE2eNKMvES38TiWB1D3gg1PMIyIo1
A+1dRaG8Weyo5qS5s1SMwDIi7u77yFh+T5dBkCVHgG+QjiNjs6Qn+Im9ODBhSMqRRY6aWN3aOROT
N9u0pjVaBK+oho2k4jG8p56b7TQfu/KRDJeSxLxIexfoDnIQS8W6dWT31N2z0otClWXH/aHyQwjW
ftDLH4FZu/dLr/Qn21PrI3et/TGWw+imBVisIRGhHL4hQlD3RXxyHeWEiIRJ2XTxl76naZfoTWkS
ujYvfsfpxwY8DdBEHkxZYYqkY8/U2RVrqw+5N9lwRm0G18uytQ82KAh0kkwEn/I2ar6vudsGydwX
4wX6FRZhEkv95qJghs6y2Riug1Sr6cad1QlJLWuEjKOUpNpYJLslPq7sPfXKvPviKGH2QzOv45AK
hfwm0U4Tf0Pi4s1pTKAkZ4dqXh95vzB/VVa3vkhcT/6xBrbzNfAaE6UepzeW2HppyrNxNNW1xyyd
lbJeN5lsVrV9HWbSwhKzV/PnfYzUpxDZTI2Sy92+F6s9TKnE8XrTERd4ZXnu9uBXgxEJIg+3v5qA
UodZtxTR96ge20tP7LtmN3LnLzNpvD6rWpFfW7pu3heb7z2IeDDvZRCgeQEfOd7KYmKD81wChTJ4
mvpcCr99ASRHui6BDH2e+KpfP8o+Jjmn7JiPo4roJGrFRXvPM08CpxFSIe0ktN3ia1nU1nurb5bv
SlIEJNPcUdAubcUXpolSytqpxDXSGWUetm4OH5bq9Ga2lSVfIo6rH1ZnbuSlBr2Bu68wgqNLHKF4
2aa+dZm6tydRorV1d5Ww2zwLGfsX6VoYMhha08cXSOG6b3W0LQPrWjA6J+nWVpNguhGt4aCRWZK6
y7stlVbYPYNrqQlJD1RExRRMNvojUgbLBG399jUP+4oAr6iIP3lWqTQb576JTPntSQtRu4IvsRzi
y82EJ1EJqoOrIOqWEr5jHj2bBsUiqitHcV7HtHnpD4ppTJhv/Se/MXK7qgachQm75AyzbzlJPdTi
8CAEpNQigkFq+DjsTXBHOOPWcB1a1YdeedbngYzcH/HozRSDROi+Z0dZhzMW6vY9wXbb5x2RymPo
EXuHyX0tX3I1qiFbiIJ79sg4+zED59fchr2bDng8mNrHgRlfEN2jWVsWEqTYvwK2TOWKD8bhWJOq
ri/Occw7Mo3CbflCC15+nG1B4EmhCrrs5DNKJyUMM3BZdeK8PAtmHRYwh2PveuoEXYuActtJLYLj
NjYvLzaX0+AMaxrJImR7KH1qhLgLaFmoqRcQ49nctwzQg+Qo1vcnteKrctF9VTGqk6CRPudJ2/iq
cwRozSHOGwfdJzCQfF7kV12ketVInjjP+1P9qp0EeoKOsnjVVPYneWXICefOPkkuLWuodNq8KjGb
2tk1z3xhD3zySa25lC3KzfFVxenjm/uSn6SdApK+l4hXxaeG+RUc7FclaDG0S5P1rwrR+VUturwq
R71qLLbhuoy1dxOcJKaiyk3nPUzOmAfuY4iRdT+YeYkV2bwz2dfRwz6hgL6jByG9Q1xhqctC/vZj
eBLCMrtEE4t9a/y212J1DpgqdHG9lPokXHlV05YnYS2ZWWhsV7iEMl22iNbm8KrDFa+a3OBVn9sV
RCAlWAGr58CtUPACFIq2tNwrlL2l7PgzXk6K37hc0bn0yIAt+6QGJdS3f7JPMuGKvCg/nYLTi2qv
aK7WWqqYviDy4gXF1IsLhfL7VHVsdO6GNCwh7USrZHhVKOOCR628hv7cJY1jqiV1qxH1VRvU5nby
5O0Ejp+au5XqtoHaXSfFqySaqDOB29ZComcDyCp4YOgWp+SrnEIdkRiD/9xqRNYeYqvuoiBXavzk
VBBd0Tx3Pppk0W6sgGTxxtkWOnxTiUtETIBubYh31g7h2qV9RtfEsLQ0BFB5nAnzqLpuqy5fkBhF
7RKRXiMXBdT4VUETzXJdN7Zs07hE6BXRC2l1qJv6V1nOWMno0gwmVg9rifrvXQXICHtzszZ0NW20
gdNlvkf+/KAktjzkjsi4CKWs6QCegJpivuvWeM+vBhJ/p2u5tYsqD3YTzv67uNl5KE+i1CDPk3gQ
g/WkpnDXd940dOZLpIOgecfoe1ryM+PmRB0i8oQ67czcvmzOkVRkhpd2opqB70L6XtnJGFVU0HR7
eTegsEHwAc4yJoDEczheTlscM42acrmyTVpisMf2mjS7hRgHPJb5uhzcMdboYYNliulvuJq2VsOt
3JDiUHJyavuO6Dcu7DMGTopbZkujvTPEewMasdlbkWP5taXkGVEZVGCkQgc/pGurG28xPsva2HV7
5szYJJ+lW4n9uM09hePa54Trtkiv0H+XIuTwzVV0NGvKsdzIqkSUVPuPLIdVWKTWLrapPsJAkQvq
oYG11OHW1377PTILrg/gbiTWMo7o2x/tsp/E2LTROv+K/OK4ubLdseKuabActNI0N+K5DLXjpSAA
S8fl2S7X8XqNitE8+AtpyTPdNEYAt3MHW5WeGfzfPO2xlXjE+fWnrKHEWKIrP7Bv6fppKlliSaSE
/XEQHZjjxw0bVX/MvTEar2rl++X9Wq3E0DnBCuHEg08WXa39tuNDRhGk2zrdcsYAuJDsnqxIFvk+
8BBHxH2XJ+M4OeE5RC3LI5eOlgYq+Lh1P7V47O6Z9vSem63aI/PwWPiqqteLDWGrA/14CdYiOpaz
M1lLkWh087SNa0/NOe1kDkwhmndbT6T3bgYicUn45NCoaxOisqQ4tvwxqLOCN0FjWA5bBtL/mlb9
n4DgJwHBKeT+f9cPMH+Yvv6/+/L5688qgtP/+beIIHL/8pnlOUFwmk3G6En+R0QQ/kU2BhIDjwk3
TJj/CT1y/uI/4MiE+s/AMfKZkfxbQOD/hWoJWj1iN0YkTGz+E/nAG0cw8Am8UCBM4IbQgD6BU/4+
9rHafbabLa7PTM8BHk3mgiW6b9SlNbVrn8YthPZRNghOmVhm6NglhC+KNA8g+rda6eHzT/fu9l8j
rp+NqG/mUMwKGReHON5gPwLj+IUsvRfgn+sFceKGJeiBKGXvQgU6BgIwmFtGVOVxCcr4uic4OB2J
/P1ILqR915Vqf/j9bwLI7G9zKO7Na3gQtwZyLLf87bAvoI+MBW9ysylmIMFeZJEOD2y52wrnCl3H
d6kQ169KUS1HwYYMaO31VSQXFvslt693H9sEWbBduu2e98nNLf84qvXELGPGP3fN2SynqTmUbRvf
TGGxniH0tRO12/ejPz1zVi8yqv75WpCUdJOrVr7r9WZfgvSYUoq9lrMoaq9bPa/WfSj77p3bhv4V
zHFi15xhq5gDBe6LtwriwqEaXDV+3d0InokUVeNVbyZ9BFXep6XVzkfjied2AlBHavoXfhHvnPSg
7TstFCyyGgrBoAWBxzhKRNNcrXEhnpopGM+g06xf6VGQ4SDfNQ0NgNH2nkOr/hxU9jsjh0ezTOHZ
yOQ+dbvypu5l8wndukobZt13RU6LPly5wdg/fLJDMU3YzrhlRit9s4/+fvBMvp7VDB0fO9ORLB13
+kLXvY8Y0/EuCMVYk3IVpHJ3zOMSp/bek/AgnmG8l//F3bUst60k2V9h9Ka7I4ZqvAlETHeE+BCp
B2VapHyv74ZRImGgSBAA8SAIdkzEbOYjZj2rXsxulrPzn8yXzClQsFkgLclCja257I4blikXCllZ
VZknT2b29HCLyyBfzFZrE0G23GxK76ZpM3ufoRMg5KdOXVSXlnLbx6WD6LfkgkqL7omdhOoxKFeu
EWnEy9bUu4Lq3jSBg04HkSWDyr+7MYxgALYIstU2H0Jd+tVoYflCZ221V25stJvG6qGZR1dqjJrU
ivEb8s6SHlKO3ba1SKQBSq9I6GscRNfwuo0ByhT73a3hzSxzuugidW6NbLTsMsxxxZgbPRn6mpr0
UT8hbG9ygFK6nl1LC8u9V6i57Cw1cEkWOy/pbsAVdQP1YWFNL3CJwJZVkCdKEaRuZ0gOmKCch9Fe
uusbFw0WB80wn4MabfTCDEk0WwQI+kozkzqR4droSD4ASvcriK5yW1lMkwFir1k7RnW4AfJexuDJ
p23NWw9aTbj8u5a56qBx/Tt1FygeXDxzfSklkoTS6eHdNI2UjOU2dNBtXRqFHljVF6k5tS4clFcb
OYg+DvJdat2j6ByWdN00b3ah1KRtxpG+mlJJfhcYy+2Iqom/Am7RQlpCFBsj3/M3N36SRUyTo0zr
ha2lrndSJWx63bRp7ADVxpl7HeA06cKjznBBIyWmraQ5C+gt3zfXRr+pMx2End9sDWFiqHIPDa6N
6bVhbUL3XbAx4AfTlYG8L/SMRDZke5rlFppFoa4BXKxwvYWfE+jb3SAKohz4uL7FdLQshB+Xmst3
2fRiqzvLX/1dcKkvgKzQUO8mG2T4IFw97eQJDLElYLvODg3m8atuCMAh0+/yxS7pOLvAv1DWKCWC
lLcIgEmgEA+kXYIDbzmKdPR0RX9StN7dSC1EIJ1lrv+20qZNW3Jb6XvLTKUJLAd/iJYACYyiaWs9
b4Iq3gmQpHbRRKosM+RR6UEK3WEiI6Nkvd0qA/jC0x6Y48HldErdLlra7vpqxjiI+talA9Na7H7J
UQsCpS2k+D5HI7q+aW0GihyjvwjA/E/LBNdHV5Kz+GPgb9Zj148TZM0hJn6dRSHAyl0oZ7fWYuP2
N6BawNPXwk0XvZABY0hotbcFZtTRcyhaBIY/Yn/IULrzoWE406Cuo9VWTz64S6RhtlEnAM27EQ9c
XILgMF1+2AFmNCcL5HiZfZRzQBZeG8m/UWiD9r1FV7R8IU9vqaYtLix0ksejEcjrgfYB91XxQ30Y
+hJ8o5WfGB9aAcofTVv+DXKLtHdLoFcjU8+Qdsrc87a21GRWC6FH1yiMDHc+SoFQyGlHk1vq5UL1
M3RcQdaRJiebfhBaoYoba5F1F1s96y1SBIdMCUWK1LBF+0vkXAKqjrfBxRp2/VU6VZHRkgWpPPFg
ysKG3KCRZ7vZAuDWRjfP7cjRnd/U7dTyO1Fu7nBO+NOb9RKVmJGTOaWdlKYK7GOgLbO8pY9BCjZa
bfDWtyNfj7YjqMx2hDiKdeMHLHiyRrO4qBfHoTxBsr08ATazHVkmgqMZmn7CPceBITmLpK05y3Ts
mlE2AFa5GjsIWYwVoznCfs8uwQNeDtH9AWDgDkjNEGFftKSI0dLcwZnbAdLrDegqRc3+he8QPUhp
f4silBdoPbe6MwykWalrVUMQCKXEb1Cp7jLMVJDu0ZE0nES7tfoxV2SAhKutJSdjCnu7k8i5c+EE
KILdTteJscTRZyJDDXHLcNhCR71fAPmsAUOnwWK4gYg74JY7i7bf0uPJOlk5m+46pdM7/GndzyJ3
1aH+0rrJgnD5XvWTZrvlSwpQySwy3vuGi/QJD51Q4busfbPnrMPdOx8NvtruRlP7Msx7D4wJ1btr
+k5PMcPlPfwZ3RnoeYBjYLNNJqu8dbPVNuoFlFC6BE8kwNbfrHoWOP3YL5sMGR4IbqcT0DOWI2cR
7d77m0BFfo0q9VeGt0N7JLidMXLEO01F6jenCIF40VS/krMdqgdpyzUis2uzm4MK8FFJgqyDHo3W
IIBzgsPB9SdxtFh/dNaSMXRXUjjKTW9zi4iddWE4WtrHsWxBpth3yMo1LnJcGxSVieBAdeDLt9q5
nA796ULFqUUXv0aGtbxLXdiE6OUa9RwkhSByaiZjSUHKYMdIJWBfoQevxw1SNe+lizRjEXF40aiN
GH604q15M83WE8lfhIRqyBpBNTQLKFpqkmWu4KprLgJ3hGY3ktedItx7sZWoN8gz17lHaTxwENAf
2nivRusUaQJevvoF6ZeA0wxvpV8hnbHZ3UzVKdr9tQLc/UZiRl0j3mE3mRs3utJjCrBOjdV4nmwB
9ywTA05VtLxAFud0FO008yILdeQNy6oPsoQXDiWwKufAodDyrNiDys6Dsrg+IJNYQyP3PHF3YIVR
6XoxTdFlxsmlAcJUcNLW6FyBILR3taVW+LE4IFDIIb1ZWNb04w6QdtdLrOltKK9XKiw4VMQGmO1T
OIJNpHlAs4LeVNqiKeVio0nO1S5TU20ooU/7JEpQcCreUGWCVGO0g2tDslsLiJapJmOgmMmcbjY4
CgwjwzFjJtvRbpvG9N4NWdDNWrgtbbBpGthrqrMCB8eMoPDbZLrtx8hYcpEIrWxHxbW8VmJvBZLN
2vrku46FdihmPPdjyUpZwEOTJ0hNgmwBXCC714pQ+qgLFuUGWMk6QVefXeyh09PKcfJRBKgDKYZy
9qul6Cb6PjrTkbtidUhSZtzrAFQ+qsEuHiIcu0mQ7aRtR8VfwtKAQi50YMcILYWqit2ShR+RTx9t
ukGqgwHRXOh4gUDLcb5Za1gLqPRjzFwkOn8yEKe/3KI7gNrRkP5xCRATBc2AcW5HEkKxH81lHv6K
uCf002otdnJXTgx8ZWzCjwhySqMNLP9+uF3j4dQDwSpJ15bcjpEJ1ByvNiskb6G9Q9zTJBxMqCKM
vzW11BlZaKC0F79jbax3mr7euyrf5YRPghX+/8/s38wCpNJRx00KXvnXn4Z0FoEs9ymp/hb3j+K/
FV+jblCXJIT7oYdO2kn+PrWj/M6Okfj09LcYaV+AiA00CrCZJsHREC/6pacHenTVJ3lo//UPsyD1
EzY/hwb+oUfOaIacF1/MqHiZpwbwCN45nWPkpiydqcVHwlCI8zvlF7p6BmozPox6zD77Rz2u31Nv
//SLlUJ+SopPzd0u1uty/tc/yKyATL23V9QzEONRwAQs6+IDGIMTgnkG+AjVrljWER71lt6e0c5r
vb2snbEWEehLXVl60zhDXXLQ6NGpovgAQHlbL6/VffemKp+BgcxqMqL5VvHhV76FVBigV+hR+eZW
nvWurLfw+hmr2oPuxUCHDtXdwmGgIz8TINxeJiDPv62FZ9BarXdvqtoZUlMAN8qo1sg+UO5DGRj4
HgAiEi8ezz31rcmAVbStJwMZEC04CFCCRxlAo6oyAMkOnUTe3LtrdZXfPGO9M1tyufxH62+cse9U
GfkQxefN7QGF5YvXUgBc+i00REN7SuTXsU/l2jPkMwmUAnR7fHOHH2qf1nx58wzZj6xa2uP6sgyh
Q+U3kemIUoPotYC8EfbZS/sNXf1HsZvvtfqsM3a9KyjaVsqgIgLtDP3ekJ5YGgBvTgRG7S1gIUrV
QklbFh06XP4W7kAksgIawwZgn/2N85aWv+4dqOHVi0RdXG3cqytnFlSfpfTvX/3N7X5FgOGnnCEo
ieigXHl73ThjmXY6Fn6/K97cwY9oa82zD/4O0p1ZwUbsn8OllyUEdFEml/3vrd35sgIztd59Z56h
+AjTaaTgFR/+7VutM2TyspLnj/bQ/oFvaM/XXvkm/BlEPlAdumLztyy8O2wBZOfuN/2bO+9grdVc
/6ZxBmMXus2MmuJTFYKO6gZI5AVtYa8fb04BWMmcentAPUNFUjARWN7t4dY3TQinhXLhj2fri7T+
Bb/0BQTruNSbFxgZteMDoO3ZXyiBpOMBDogssOSQf41kbAPlktB13TDlL+SR4h8yCG3/qD10xH7+
G4eoFbDOwZclzHP4zx9f+HgqX0Ch4694qOv7vz94S8A0At4LmNvBa3IyiGsKYQ/nce9YLt+A2hGJ
Zm5e6ED++Fa3ZAX8sUN8MiccpAkH7+skj7DPL3vgqVH7kW37HvHn5VAMLrRw39cdeGhv6SwoxylA
SHYy1x12TIAjN0aQU2Q3MO3GkK5TG5u0HJo9Cc0Eyh9PosIvksy9TxN73hgnJLHjcrhidA1HXt33
6GCAiHiN8xUyCnnuGAhLLP3+m0/AZF70Ah0S0YcHm3CiYR1nWbn0Z8c/tYt/zAaGJ4VeYeWWKPbJ
Nw4m4Ns+xHS0H/nNG8wgg2d+5y1s8PNPVU1oaUd68PjKL1SBcz/BcZJUFIzVHaqu/3eOG1PuJEIt
rpoj9lLU5LPLWRXHBco/4P7lt8H3TfM2iBL35BYr7ohaY5+nMdvAFTlg69YUxDhIT8+ZwWxHx9r3
yeMd2wn8jFmdEQ19zdGjD7XnUKWHgXx1ZD5CsM8Jqk8xUOhRw82sKQYARVBNj56Sfg3bvfSAg86Q
iiKiQIupKaifo8no64wqKgyS4l/nFQ9qEw976MRVwEqCwVS2gAOwokDo/yXicUM7DsIgISt+qU6Z
b/XfbUgcN7IfSimxnQcLF4X9oA6gK4N9jO5wR/vwFUL8ch01bu3EtSNmdHD3Kisthp6DGjJhoSEg
0OpqOasTt/heSX7eLaUhJvajzedXWo5t4qI+CW8GPLX/Xni5oB5ClHIrqB+dfQd68sJR+2RHsNMi
GpaLv78Mjm7C7x/6MqrYQqxXk40jNMlPKNgL54tsbWJ75TjFXFljodrDRmRdjlIMytoY1x30Kojm
FRGwsEXdYa/TjNCkHKeYLQsF1x32xn4gPm/Y4wqsP+67VUUGLLZbd7Lvce1F5TCFCI4v0vTrFfdC
5RqTdE4b5xF54K8C5clr7aWDgyVEDqesMHZDXUE8uk1szo3eikZH3hODKOs+5Bc7Thpt4i/LoZjE
gW6UP75+O3+0VzZ3UioMBKo739ugAaX7Y9yoeto64wrVHR2dPYjfGKcPcwqblM64rYgcShHH8iT1
HxqX8dGljcAYcpQsATI6f0gbwzTmNPJxdAEy+vtdb9y7+9Dr/kuDKY8dQWBV/YeBBWhTRaITWoYB
ANVYBP3pxfl59gfzDV/iI6dfD53/Dz6w5wAP4XRAwHFxjmrNHjfoswu7N7WeQs7QJCXOgMmVKrI/
9MufXn8CtW2ft9VYc8qntfAFk02j1J/TciA2V1XAsB2XzA/HPHbYD9TvhdfSnR2mDx7creBTA35C
owOmJYcjak+5BS98SNdeBTPcTXjM888ToIEdQLhRwBszz58uz69rJ1ihsxdvhD+F7b1QPF/QyQKS
8r/I6HCtRdy2HRLajQ92NOeQnyfBgRe+QXdBH4CkcBrPOFp1N1IPZSS4+9UQYOz31ilJkKsJPLif
AtLkzhRDwFnVi2gS8cOyJve1hZG4NAj547olYHdOsO37ZFUxehmxuO6M++SB34QsYFp7ULdyDRxj
gOnXW/iFCnysCIDu68+18/m/Ersx/+PlJqARt+tkVKKvLYpr28857T0BDH+/LG7oQ9UqkI+h8VeM
C6AtcbnLBc0W6ksB861IAWn6tWU7RPjPIfGs4meKuEaGJA+ShFeHJ9G3FyrxkHgk485gBNVFSMKr
DCpgFw9xkc4qEUsRntOQpDh9KY+UgTEtQgxs5CqiL4u45obBjp2/CK2W0yzMW0OAGt9SmPjcqCKu
jGJU/iaSGXOr9tle3McoxRPHJC2H25v6AhT57vM/Ur+SqIR+I+VzXu9E3MEz4ckCKKZRf9ixnc9c
2/NszuJE2y0BQ+/jXkcxUJQ5ETC47dsO4VBaUHoFjMt4CKRxYwc+t1GQhixg8GB1FF8UgViP0woI
jFBL/dlOAt5LQxHi+oOOP/9H0EBe4+d/FFyPUfT5P/0Z5ePEiipA1oC3aCWUqLA2N3WPjwnxd9UD
WhEBYt87RxtcE6DQ7RS9rH3SuCAxZxahY0x9YYDHRCs2vVIUSqoZgukBhwEThDMJFBEX7G9HPgia
5tSXw2909UAeMv7EEBGE2HMHjvc363ZfV5PbNGpMYMxxhyjA0vojnz/kNrd2LdSSQs8gC51PLICx
8glORdXW/4k47AkKQF1c9vBtmA0ATubhX/XYfikJok98JZBUKRdknLrvBTzrqxryxNKfRKo89xBj
5M1GERrtzwPYBeXWYOaiAAupYBzxc2U1y75K9HUM0LbtOTRdlQOxyYqINbeDGIItru2BHe1sFGHB
xcI9RcCVgsmTCgnhmIlWPSyeh1XbqeeAPclNVxUw3a7tr0jERS1FhBcvI4iBp/CK8NR6KFVe2Rwg
ZtZWuM7Onrm8bEV4ahf0iMfcEgALXJAosE9FPkEyry2KCzBSZpwdYArY0X36AGZihY9gCVi5Pkp/
+LGdly/OzgqWZFr3COrbEcLj/LAi5ABuOy9dEa51JwpgbXJHAyyU+kIYpKh5FXFCQHJ1/XEvZ0eH
A7K2BYybEI+frSxAClc2upDwwyoCTO4rECQAcvLUjqJpa13dvSGoI8lrgwhH7IYmblo1TWQR8dWx
F2zIsjplATK+oTjXExul/Gw+gC2LcB5v0q29QkgvckrVLVA4TcARPwy8OWTCjcsq7tZVjWHgkyqg
LGCLAFRP+MmKcEq/QcqVRfiO4OFnhN/UIq5m1BOuWD2yCCLSCFkDaQUtRD/J+vpwB0CvYk8hkbT+
uGxHgzTC6QQyMgQMXJyaEfV5LEiE1zFGQT+eZyeCNTveEDh00bx89cKZUUSIOLPn/OWhiHCSxhlN
dnsqPD9lAdp2v2Skb864RFZE+ZjXhxbu93lx12jSMQ94t1FETPYDI+VA7zpgZZeTLZZRSDwy8HFB
2U7EK7QIr2ZsR1VsUwTFApRLmzGhhhXOMkqOCAAq9glSQzKz51VPTwb0JuCyumbteTlpo5zGvqlv
3ev187+x4/+Ua9bSUJCMFSmQVRMMWxTpsEpV+pben8LXfgy0tk/3rAutHc7/echwj4B8dwoy0Ba6
q5wozwn2ebDliQ4KdQMDXmNMvA0BGldOkx0lrEBAXeXrg7FlIz7HXbrHaZXpd/N+BoE/Z3lt5RQL
K1dEPvMtjtWIOCk3Y/nJTOMXsjxGoD+t+GGfRwUOFbb3CGj/mA1XpL/W3W9vEMo+meurP686P28l
irTh3+FKfHLACEQuBn9nC7DpzmEsPhC64AcWAEyfR0h74T0IAY41MnQcj8zt2D08zUTgOcOcMCSd
G1bEhNF6mJetCBJAG9x7PsKpCpgrKOUPwZxfMxHI0ziijRukVnEHugjLHuYGHwASAQvhunQa1+w/
4/O7Q3WQRfCdLhHI8+0KMURmlVXr2g8YmV86VJGvP+oVCXn1RWXS+qNe55HD+tZWhlYF+NV7B+Q6
qJDTZdYkq66I92yIE2MLCC1cI0sZnXuPRCJgX98QPp8DPkx9WcDFI8HRFtEFSBkgJ5KrKrosgtUD
mBOtCXimIQqQi5CFR/LqnhaRxnFrhzzHUG4JWLoRrHaEcE75ubIpZPzlkakii4gWjlDMjIYhMCjO
mXm6msQLXY4x0CeC3li8MyoL0I6JS2gVVlYUAft6Qhb0WNKgOtXX6Amh4PuW4xRomQgLYwIyIDML
q8ecIuJEut892CfEISKe84HaCTxSTh4ijrp3yK4ONo3LBMmUYeMvjR5ytoIkfdyZh49DPxRJgMo8
PvA69Unsgn/3l0b5R3rqoShULcCGGIfIi/TyU+cNit2IsH2GdD4HqtkjcXIotH1FlW9f+zhFXlT3
7FFqY5cuUUTHh9S+/HGfwH74UJTCQinEZ+HB51EsXFckJ1igiHr/86//Hi/ZT320NJ8TzGCAvLMV
KVeNOw9RMspQRWQdTShyQZs3LLv98A3RvNJC+7Lyr74FgD7/hmMbTsGyVPf4L11Kghz+Em28R24x
4UHelo52EQIe2g2W8wACnJAl3EjKw0wo0oq6SwIW75qkNKIcL0uWUHygZQmwFUek6dHmDJSnZhyn
5Trscb3iGQKA/DE87RMjCziDbkiYuBWzZi+aZy+unwcsfalyWBdcOnyF/zNY/TxKHzhvW4BZjsp/
FFhvwb9sk+gBOR+H+iHAK0RRhZR6PAAuwgBjswViz52RIiJRLKkYlbCAVHNDi3CQOyRHZP/UjSnC
nOlUtENEBmU3WCFhgq87KsJ4KMc9XTJAhPeGgrXVOrgiSB+I58xRRjblc4uOCy6+IqCD2lj0cO/J
Ii7jK+hxZf2K4u91QZMhiVgqTTXxUxeA9QApSGKWL8dZfbKIOhIjEFOTgHVh56wQRUR1pX3F4Wua
JHFxmt7aG8qfICJM/f1TbtIZj6QoQk4+MHjonMyL6U+CB9TnPNTHoklOXb1hvuJePh3oZRCfOgwV
EdT8vaA+UPCmUQiaEQBYkZj9qXAENYhIu2+z7O3YbXygkUNPHvIoG1XK8/XW9f34yScIuLDboCNW
aj6gX2n9mXcQrga6WA5UwA8iTP8x4a0ihfVjqKunAI6SRi8FpFFNyVdEJCHstRMmTOJ+/odnr/Jy
xkwqugjadfECQ4In8Hw05MuJwDD3L7C/BRp/2ucn/PnwJVj/x2cdlkOzufdDg/uMTWP9HgujQWWP
yk2L4HgiAvMp8JYn8CSDtbUyTQsdT2TNNFEy+1l38uet+746dl137w2yOiKHHXl84FQECNdG0KaS
uCCCUdiOyI7PERZRB6CDUAIHaonAyzqBF1RrTImAiXsz+BI840xE54sLOD4zlxUIq1SbEsHQvyDe
8ptsSgEAWz8FYYNDIICvldfK642mMdBWIP2casgiEvNY0A3wCXd9F02U69ofIzviIcDnD9Xnkdn7
KK1OtmhRVHeyH8CV3qG7CrdwKND+3ML9vGvgVDuD3+GlsG8agxK2ZBVwiyPCwmwjG7MKFwpwcMbs
uA1OOlAimCSdgHmdf7q2wVH2nT+f8j9FeIMFYYVVD4aJzA7iU88RkTvWCYLSJuPABv1Z1P354+KC
Lmi5hZlfIoKlcIH8GFbru2yYVOQs0Fl0TJ96svfQC0N8j3chEsDyI3qWCEbz4/gFg4gtNoMZvvTS
Yey4Obcopl6K8/VXGQBILmItonz8wEYu1KOGFu8wnHUBAnjl33EvgRIf9d/iGmG0B7jW5UhFlEtE
gaaOG4GHAOz+hKMiiyjNcGtnjQ7xTiTCiMgOuqWVSnoicoM+EB9ZCLw5IQIjuUXFQn5UEXuWCfg3
G1FyvlAFEnVKZXn95hnRZAZs6+Tlgi5AAh5AQgTT2CucqMsqJkjsVesLCtiOuKRiBG9Pk8dEZKvs
4aKB7SEo80+N8xigbIx6hnukme1YhMVAgOikvsvZKWjOVH9RJsEStimnqYoIU2ICSiM/WxF01EmK
5NTKZAVo5i9YXrpH3i/SBEyhUq4FDisiVnhkZCoiKBcdxg1kUZty0x7OWwfI2GqhGxR6zIIioeki
0sUfE1fHRUNH9I30g6jxLgXVCfbiSTOuxeglEut2CxQM/dGer8T9Ex2fEx3W6jo+h2/DzuafX4bs
VGey399bnmpi92Pfcu9DMNTtSzficgJPtcTo2wFiZNwJJIKhfJfGFbq2IiKEPvn83yh2mduHBw9a
FJY/fssaOdwVPza2capBXrksxVo9btInUOyjFjCHbyNgjx8OVwqH72PNfmPmwTH52/8CAAD//w==
</cx:binary>
              </cx:geoCache>
            </cx:geography>
          </cx:layoutPr>
        </cx:series>
      </cx:plotAreaRegion>
    </cx:plotArea>
    <cx:legend pos="t" align="ctr" overlay="0">
      <cx:txPr>
        <a:bodyPr spcFirstLastPara="1" vertOverflow="ellipsis" horzOverflow="overflow" wrap="square" lIns="0" tIns="0" rIns="0" bIns="0" anchor="ctr" anchorCtr="1"/>
        <a:lstStyle/>
        <a:p>
          <a:pPr algn="ctr" rtl="0">
            <a:defRPr/>
          </a:pPr>
          <a:endParaRPr lang="en-US" sz="900" b="0" i="0" u="none" strike="noStrike" baseline="0">
            <a:solidFill>
              <a:sysClr val="windowText" lastClr="000000">
                <a:lumMod val="65000"/>
                <a:lumOff val="35000"/>
              </a:sysClr>
            </a:solidFill>
            <a:latin typeface="Aptos" panose="02110004020202020204"/>
          </a:endParaRPr>
        </a:p>
      </cx:txPr>
    </cx:legend>
  </cx:chart>
  <cx:spPr>
    <a:ln>
      <a:noFill/>
    </a:ln>
  </cx:spPr>
</cx: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494">
  <cs:axisTitle>
    <cs:lnRef idx="0"/>
    <cs:fillRef idx="0"/>
    <cs:effectRef idx="0"/>
    <cs:fontRef idx="minor">
      <a:schemeClr val="tx1">
        <a:lumMod val="65000"/>
        <a:lumOff val="35000"/>
      </a:schemeClr>
    </cs:fontRef>
    <cs:defRPr sz="9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cs:chartArea>
  <cs:dataLabel>
    <cs:lnRef idx="0"/>
    <cs:fillRef idx="0"/>
    <cs:effectRef idx="0"/>
    <cs:fontRef idx="minor">
      <a:schemeClr val="tx1">
        <a:lumMod val="65000"/>
        <a:lumOff val="35000"/>
      </a:schemeClr>
    </cs:fontRef>
    <cs:defRPr sz="85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tx1"/>
    </cs:fontRef>
    <cs:spPr>
      <a:solidFill>
        <a:schemeClr val="phClr"/>
      </a:solidFill>
      <a:ln w="3175">
        <a:solidFill>
          <a:schemeClr val="bg1"/>
        </a:solidFill>
      </a:ln>
    </cs:spPr>
  </cs:dataPoint>
  <cs:dataPoint3D>
    <cs:lnRef idx="0"/>
    <cs:fillRef idx="0">
      <cs:styleClr val="auto"/>
    </cs:fillRef>
    <cs:effectRef idx="0"/>
    <cs:fontRef idx="minor">
      <a:schemeClr val="tx1"/>
    </cs:fontRef>
    <cs:spPr>
      <a:solidFill>
        <a:schemeClr val="phClr"/>
      </a:solidFill>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fillRef idx="0">
      <cs:styleClr val="auto"/>
    </cs:fillRef>
    <cs:effectRef idx="0"/>
    <cs:fontRef idx="minor">
      <a:schemeClr val="tx1"/>
    </cs:fontRef>
    <cs:spPr>
      <a:solidFill>
        <a:schemeClr val="phClr"/>
      </a:solidFill>
      <a:ln w="9525">
        <a:solidFill>
          <a:schemeClr val="lt1"/>
        </a:solidFill>
      </a:ln>
    </cs:spPr>
  </cs:dataPointMarker>
  <cs:dataPointMarkerLayout symbol="circle" size="5"/>
  <cs:dataPointWireframe>
    <cs:lnRef idx="0">
      <cs:styleClr val="auto"/>
    </cs:lnRef>
    <cs:fillRef idx="0"/>
    <cs:effectRef idx="0"/>
    <cs:fontRef idx="minor">
      <a:schemeClr val="tx1"/>
    </cs:fontRef>
    <cs:spPr>
      <a:ln w="28575" cap="rnd">
        <a:solidFill>
          <a:schemeClr val="phClr"/>
        </a:solidFill>
        <a:round/>
      </a:ln>
    </cs:spPr>
  </cs:dataPointWireframe>
  <cs:dataTable>
    <cs:lnRef idx="0"/>
    <cs:fillRef idx="0"/>
    <cs:effectRef idx="0"/>
    <cs:fontRef idx="minor">
      <a:schemeClr val="tx1">
        <a:lumMod val="65000"/>
        <a:lumOff val="35000"/>
      </a:schemeClr>
    </cs:fontRef>
    <cs:spPr>
      <a:ln w="9525">
        <a:solidFill>
          <a:schemeClr val="tx1">
            <a:lumMod val="15000"/>
            <a:lumOff val="85000"/>
          </a:schemeClr>
        </a:solidFill>
      </a:ln>
    </cs:spPr>
    <cs:defRPr sz="9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15000"/>
            <a:lumOff val="8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cs:seriesAxis>
  <cs:seriesLine>
    <cs:lnRef idx="0"/>
    <cs:fillRef idx="0"/>
    <cs:effectRef idx="0"/>
    <cs:fontRef idx="minor">
      <a:schemeClr val="tx1"/>
    </cs:fontRef>
    <cs:spPr>
      <a:ln w="9525" cap="flat">
        <a:solidFill>
          <a:srgbClr val="D9D9D9"/>
        </a:solidFill>
        <a:round/>
      </a:ln>
    </cs:spPr>
  </cs:seriesLine>
  <cs:title>
    <cs:lnRef idx="0"/>
    <cs:fillRef idx="0"/>
    <cs:effectRef idx="0"/>
    <cs:fontRef idx="minor">
      <a:schemeClr val="tx1">
        <a:lumMod val="65000"/>
        <a:lumOff val="35000"/>
      </a:schemeClr>
    </cs:fontRef>
    <cs:defRPr sz="1400"/>
  </cs:title>
  <cs:trendline>
    <cs:lnRef idx="0">
      <cs:styleClr val="auto"/>
    </cs:lnRef>
    <cs:fillRef idx="0"/>
    <cs:effectRef idx="0"/>
    <cs:fontRef idx="minor">
      <a:schemeClr val="tx1"/>
    </cs:fontRef>
    <cs:spPr>
      <a:ln w="19050" cap="rnd">
        <a:solidFill>
          <a:schemeClr val="phClr"/>
        </a:solidFill>
        <a:prstDash val="sysDash"/>
      </a:ln>
    </cs:spPr>
  </cs:trendline>
  <cs:trendlineLabel>
    <cs:lnRef idx="0"/>
    <cs:fillRef idx="0"/>
    <cs:effectRef idx="0"/>
    <cs:fontRef idx="minor">
      <a:schemeClr val="tx1">
        <a:lumMod val="65000"/>
        <a:lumOff val="35000"/>
      </a:schemeClr>
    </cs:fontRef>
    <cs:defRPr sz="9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40">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19050"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spPr>
      <a:ln w="9525" cap="flat" cmpd="sng" algn="ctr">
        <a:solidFill>
          <a:schemeClr val="tx1">
            <a:lumMod val="25000"/>
            <a:lumOff val="75000"/>
          </a:schemeClr>
        </a:solidFill>
        <a:round/>
      </a:ln>
    </cs:spPr>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2" Type="http://schemas.microsoft.com/office/2014/relationships/chartEx" Target="../charts/chartEx1.xml"/><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15.xml"/><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6.xml.rels><?xml version="1.0" encoding="UTF-8" standalone="yes"?>
<Relationships xmlns="http://schemas.openxmlformats.org/package/2006/relationships"><Relationship Id="rId3" Type="http://schemas.openxmlformats.org/officeDocument/2006/relationships/chart" Target="../charts/chart19.xml"/><Relationship Id="rId2" Type="http://schemas.openxmlformats.org/officeDocument/2006/relationships/chart" Target="../charts/chart18.xml"/><Relationship Id="rId1" Type="http://schemas.openxmlformats.org/officeDocument/2006/relationships/chart" Target="../charts/chart17.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xml.rels><?xml version="1.0" encoding="UTF-8" standalone="yes"?>
<Relationships xmlns="http://schemas.openxmlformats.org/package/2006/relationships"><Relationship Id="rId1" Type="http://schemas.openxmlformats.org/officeDocument/2006/relationships/chart" Target="../charts/chart3.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3.xml.rels><?xml version="1.0" encoding="UTF-8" standalone="yes"?>
<Relationships xmlns="http://schemas.openxmlformats.org/package/2006/relationships"><Relationship Id="rId2" Type="http://schemas.openxmlformats.org/officeDocument/2006/relationships/chart" Target="../charts/chart27.xml"/><Relationship Id="rId1" Type="http://schemas.openxmlformats.org/officeDocument/2006/relationships/chart" Target="../charts/chart26.xml"/></Relationships>
</file>

<file path=xl/drawings/_rels/drawing24.xml.rels><?xml version="1.0" encoding="UTF-8" standalone="yes"?>
<Relationships xmlns="http://schemas.openxmlformats.org/package/2006/relationships"><Relationship Id="rId3" Type="http://schemas.openxmlformats.org/officeDocument/2006/relationships/chart" Target="../charts/chart30.xml"/><Relationship Id="rId2" Type="http://schemas.openxmlformats.org/officeDocument/2006/relationships/chart" Target="../charts/chart29.xml"/><Relationship Id="rId1" Type="http://schemas.openxmlformats.org/officeDocument/2006/relationships/chart" Target="../charts/chart28.xml"/></Relationships>
</file>

<file path=xl/drawings/_rels/drawing25.xml.rels><?xml version="1.0" encoding="UTF-8" standalone="yes"?>
<Relationships xmlns="http://schemas.openxmlformats.org/package/2006/relationships"><Relationship Id="rId3" Type="http://schemas.openxmlformats.org/officeDocument/2006/relationships/chart" Target="../charts/chart33.xml"/><Relationship Id="rId2" Type="http://schemas.openxmlformats.org/officeDocument/2006/relationships/chart" Target="../charts/chart32.xml"/><Relationship Id="rId1" Type="http://schemas.openxmlformats.org/officeDocument/2006/relationships/chart" Target="../charts/chart31.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36.xml"/><Relationship Id="rId2" Type="http://schemas.openxmlformats.org/officeDocument/2006/relationships/chart" Target="../charts/chart35.xml"/><Relationship Id="rId1" Type="http://schemas.openxmlformats.org/officeDocument/2006/relationships/chart" Target="../charts/chart34.xml"/><Relationship Id="rId4" Type="http://schemas.openxmlformats.org/officeDocument/2006/relationships/chart" Target="../charts/chart37.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3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4.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40.xml"/></Relationships>
</file>

<file path=xl/drawings/_rels/drawing31.xml.rels><?xml version="1.0" encoding="UTF-8" standalone="yes"?>
<Relationships xmlns="http://schemas.openxmlformats.org/package/2006/relationships"><Relationship Id="rId2" Type="http://schemas.openxmlformats.org/officeDocument/2006/relationships/chart" Target="../charts/chart42.xml"/><Relationship Id="rId1" Type="http://schemas.openxmlformats.org/officeDocument/2006/relationships/chart" Target="../charts/chart41.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44.xml"/><Relationship Id="rId1" Type="http://schemas.openxmlformats.org/officeDocument/2006/relationships/chart" Target="../charts/chart4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3" Type="http://schemas.openxmlformats.org/officeDocument/2006/relationships/chart" Target="../charts/chart8.xml"/><Relationship Id="rId2" Type="http://schemas.openxmlformats.org/officeDocument/2006/relationships/chart" Target="../charts/chart7.xml"/><Relationship Id="rId1" Type="http://schemas.openxmlformats.org/officeDocument/2006/relationships/chart" Target="../charts/chart6.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10</xdr:col>
      <xdr:colOff>171449</xdr:colOff>
      <xdr:row>3</xdr:row>
      <xdr:rowOff>128587</xdr:rowOff>
    </xdr:from>
    <xdr:to>
      <xdr:col>22</xdr:col>
      <xdr:colOff>142875</xdr:colOff>
      <xdr:row>23</xdr:row>
      <xdr:rowOff>180975</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161925</xdr:colOff>
      <xdr:row>29</xdr:row>
      <xdr:rowOff>9525</xdr:rowOff>
    </xdr:from>
    <xdr:to>
      <xdr:col>22</xdr:col>
      <xdr:colOff>133351</xdr:colOff>
      <xdr:row>50</xdr:row>
      <xdr:rowOff>138113</xdr:rowOff>
    </xdr:to>
    <xdr:graphicFrame macro="">
      <xdr:nvGraphicFramePr>
        <xdr:cNvPr id="3" name="Chart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xdr:colOff>
      <xdr:row>28</xdr:row>
      <xdr:rowOff>179213</xdr:rowOff>
    </xdr:from>
    <xdr:to>
      <xdr:col>10</xdr:col>
      <xdr:colOff>105834</xdr:colOff>
      <xdr:row>52</xdr:row>
      <xdr:rowOff>0</xdr:rowOff>
    </xdr:to>
    <xdr:graphicFrame macro="">
      <xdr:nvGraphicFramePr>
        <xdr:cNvPr id="2" name="Chart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4</xdr:col>
      <xdr:colOff>686294</xdr:colOff>
      <xdr:row>2</xdr:row>
      <xdr:rowOff>35872</xdr:rowOff>
    </xdr:from>
    <xdr:to>
      <xdr:col>10</xdr:col>
      <xdr:colOff>653143</xdr:colOff>
      <xdr:row>22</xdr:row>
      <xdr:rowOff>81643</xdr:rowOff>
    </xdr:to>
    <xdr:graphicFrame macro="">
      <xdr:nvGraphicFramePr>
        <xdr:cNvPr id="2" name="Chart 1">
          <a:extLst>
            <a:ext uri="{FF2B5EF4-FFF2-40B4-BE49-F238E27FC236}">
              <a16:creationId xmlns:a16="http://schemas.microsoft.com/office/drawing/2014/main" id="{00000000-0008-0000-0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12</xdr:col>
      <xdr:colOff>179983</xdr:colOff>
      <xdr:row>2</xdr:row>
      <xdr:rowOff>16239</xdr:rowOff>
    </xdr:from>
    <xdr:to>
      <xdr:col>18</xdr:col>
      <xdr:colOff>412751</xdr:colOff>
      <xdr:row>23</xdr:row>
      <xdr:rowOff>104152</xdr:rowOff>
    </xdr:to>
    <mc:AlternateContent xmlns:mc="http://schemas.openxmlformats.org/markup-compatibility/2006">
      <mc:Choice xmlns:cx4="http://schemas.microsoft.com/office/drawing/2016/5/10/chartex" Requires="cx4">
        <xdr:graphicFrame macro="">
          <xdr:nvGraphicFramePr>
            <xdr:cNvPr id="3" name="Chart 2">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microsoft.com/office/drawing/2014/chartex">
              <cx:chart xmlns:cx="http://schemas.microsoft.com/office/drawing/2014/chartex" xmlns:r="http://schemas.openxmlformats.org/officeDocument/2006/relationships" r:id="rId2"/>
            </a:graphicData>
          </a:graphic>
        </xdr:graphicFrame>
      </mc:Choice>
      <mc:Fallback>
        <xdr:sp macro="" textlink="">
          <xdr:nvSpPr>
            <xdr:cNvPr id="0" name=""/>
            <xdr:cNvSpPr>
              <a:spLocks noTextEdit="1"/>
            </xdr:cNvSpPr>
          </xdr:nvSpPr>
          <xdr:spPr>
            <a:xfrm>
              <a:off x="7819033" y="435339"/>
              <a:ext cx="3890368" cy="4139213"/>
            </a:xfrm>
            <a:prstGeom prst="rect">
              <a:avLst/>
            </a:prstGeom>
            <a:solidFill>
              <a:prstClr val="white"/>
            </a:solidFill>
            <a:ln w="1">
              <a:solidFill>
                <a:prstClr val="green"/>
              </a:solidFill>
            </a:ln>
          </xdr:spPr>
          <xdr:txBody>
            <a:bodyPr vertOverflow="clip" horzOverflow="clip"/>
            <a:lstStyle/>
            <a:p>
              <a:r>
                <a:rPr lang="en-US" sz="1100"/>
                <a:t>This chart isn't available in your version of Excel.
Editing this shape or saving this workbook into a different file format will permanently break the chart.</a:t>
              </a:r>
            </a:p>
          </xdr:txBody>
        </xdr:sp>
      </mc:Fallback>
    </mc:AlternateContent>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52</xdr:row>
      <xdr:rowOff>51562</xdr:rowOff>
    </xdr:from>
    <xdr:to>
      <xdr:col>12</xdr:col>
      <xdr:colOff>476250</xdr:colOff>
      <xdr:row>80</xdr:row>
      <xdr:rowOff>57567</xdr:rowOff>
    </xdr:to>
    <xdr:graphicFrame macro="">
      <xdr:nvGraphicFramePr>
        <xdr:cNvPr id="2" name="Gráfico 4">
          <a:extLst>
            <a:ext uri="{FF2B5EF4-FFF2-40B4-BE49-F238E27FC236}">
              <a16:creationId xmlns:a16="http://schemas.microsoft.com/office/drawing/2014/main" id="{00000000-0008-0000-0B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14</xdr:col>
      <xdr:colOff>435368</xdr:colOff>
      <xdr:row>4</xdr:row>
      <xdr:rowOff>73610</xdr:rowOff>
    </xdr:from>
    <xdr:to>
      <xdr:col>30</xdr:col>
      <xdr:colOff>30147</xdr:colOff>
      <xdr:row>26</xdr:row>
      <xdr:rowOff>28252</xdr:rowOff>
    </xdr:to>
    <xdr:graphicFrame macro="">
      <xdr:nvGraphicFramePr>
        <xdr:cNvPr id="6" name="Chart 5">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5</xdr:col>
      <xdr:colOff>600074</xdr:colOff>
      <xdr:row>2</xdr:row>
      <xdr:rowOff>390525</xdr:rowOff>
    </xdr:from>
    <xdr:to>
      <xdr:col>12</xdr:col>
      <xdr:colOff>625474</xdr:colOff>
      <xdr:row>22</xdr:row>
      <xdr:rowOff>104775</xdr:rowOff>
    </xdr:to>
    <xdr:graphicFrame macro="">
      <xdr:nvGraphicFramePr>
        <xdr:cNvPr id="8" name="Chart 7">
          <a:extLst>
            <a:ext uri="{FF2B5EF4-FFF2-40B4-BE49-F238E27FC236}">
              <a16:creationId xmlns:a16="http://schemas.microsoft.com/office/drawing/2014/main" id="{00000000-0008-0000-0D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141720</xdr:colOff>
      <xdr:row>2</xdr:row>
      <xdr:rowOff>348962</xdr:rowOff>
    </xdr:from>
    <xdr:to>
      <xdr:col>20</xdr:col>
      <xdr:colOff>652895</xdr:colOff>
      <xdr:row>21</xdr:row>
      <xdr:rowOff>57439</xdr:rowOff>
    </xdr:to>
    <xdr:graphicFrame macro="">
      <xdr:nvGraphicFramePr>
        <xdr:cNvPr id="9" name="Chart 8">
          <a:extLst>
            <a:ext uri="{FF2B5EF4-FFF2-40B4-BE49-F238E27FC236}">
              <a16:creationId xmlns:a16="http://schemas.microsoft.com/office/drawing/2014/main" id="{00000000-0008-0000-0D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0</xdr:col>
      <xdr:colOff>131</xdr:colOff>
      <xdr:row>29</xdr:row>
      <xdr:rowOff>108677</xdr:rowOff>
    </xdr:from>
    <xdr:to>
      <xdr:col>8</xdr:col>
      <xdr:colOff>648016</xdr:colOff>
      <xdr:row>52</xdr:row>
      <xdr:rowOff>96629</xdr:rowOff>
    </xdr:to>
    <xdr:graphicFrame macro="">
      <xdr:nvGraphicFramePr>
        <xdr:cNvPr id="2" name="Gráfico 1">
          <a:extLst>
            <a:ext uri="{FF2B5EF4-FFF2-40B4-BE49-F238E27FC236}">
              <a16:creationId xmlns:a16="http://schemas.microsoft.com/office/drawing/2014/main" id="{00000000-0008-0000-0E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5</xdr:col>
      <xdr:colOff>520812</xdr:colOff>
      <xdr:row>6</xdr:row>
      <xdr:rowOff>29849</xdr:rowOff>
    </xdr:from>
    <xdr:to>
      <xdr:col>13</xdr:col>
      <xdr:colOff>602795</xdr:colOff>
      <xdr:row>31</xdr:row>
      <xdr:rowOff>30677</xdr:rowOff>
    </xdr:to>
    <xdr:graphicFrame macro="">
      <xdr:nvGraphicFramePr>
        <xdr:cNvPr id="6" name="Gráfico 5">
          <a:extLst>
            <a:ext uri="{FF2B5EF4-FFF2-40B4-BE49-F238E27FC236}">
              <a16:creationId xmlns:a16="http://schemas.microsoft.com/office/drawing/2014/main" id="{00000000-0008-0000-0F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5</xdr:col>
      <xdr:colOff>548240</xdr:colOff>
      <xdr:row>31</xdr:row>
      <xdr:rowOff>25223</xdr:rowOff>
    </xdr:from>
    <xdr:to>
      <xdr:col>14</xdr:col>
      <xdr:colOff>16299</xdr:colOff>
      <xdr:row>55</xdr:row>
      <xdr:rowOff>95712</xdr:rowOff>
    </xdr:to>
    <xdr:graphicFrame macro="">
      <xdr:nvGraphicFramePr>
        <xdr:cNvPr id="9" name="Gráfico 8">
          <a:extLst>
            <a:ext uri="{FF2B5EF4-FFF2-40B4-BE49-F238E27FC236}">
              <a16:creationId xmlns:a16="http://schemas.microsoft.com/office/drawing/2014/main" id="{00000000-0008-0000-0F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5</xdr:col>
      <xdr:colOff>390480</xdr:colOff>
      <xdr:row>56</xdr:row>
      <xdr:rowOff>127840</xdr:rowOff>
    </xdr:from>
    <xdr:to>
      <xdr:col>13</xdr:col>
      <xdr:colOff>576303</xdr:colOff>
      <xdr:row>81</xdr:row>
      <xdr:rowOff>171711</xdr:rowOff>
    </xdr:to>
    <xdr:graphicFrame macro="">
      <xdr:nvGraphicFramePr>
        <xdr:cNvPr id="11" name="Gráfico 10">
          <a:extLst>
            <a:ext uri="{FF2B5EF4-FFF2-40B4-BE49-F238E27FC236}">
              <a16:creationId xmlns:a16="http://schemas.microsoft.com/office/drawing/2014/main" id="{00000000-0008-0000-0F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3</xdr:row>
      <xdr:rowOff>189664</xdr:rowOff>
    </xdr:from>
    <xdr:to>
      <xdr:col>7</xdr:col>
      <xdr:colOff>593224</xdr:colOff>
      <xdr:row>25</xdr:row>
      <xdr:rowOff>174625</xdr:rowOff>
    </xdr:to>
    <xdr:graphicFrame macro="">
      <xdr:nvGraphicFramePr>
        <xdr:cNvPr id="2" name="Gráfico 1">
          <a:extLst>
            <a:ext uri="{FF2B5EF4-FFF2-40B4-BE49-F238E27FC236}">
              <a16:creationId xmlns:a16="http://schemas.microsoft.com/office/drawing/2014/main" id="{00000000-0008-0000-1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53</xdr:row>
      <xdr:rowOff>48557</xdr:rowOff>
    </xdr:from>
    <xdr:to>
      <xdr:col>10</xdr:col>
      <xdr:colOff>716935</xdr:colOff>
      <xdr:row>78</xdr:row>
      <xdr:rowOff>40968</xdr:rowOff>
    </xdr:to>
    <xdr:graphicFrame macro="">
      <xdr:nvGraphicFramePr>
        <xdr:cNvPr id="2" name="Gráfico 1">
          <a:extLst>
            <a:ext uri="{FF2B5EF4-FFF2-40B4-BE49-F238E27FC236}">
              <a16:creationId xmlns:a16="http://schemas.microsoft.com/office/drawing/2014/main" id="{00000000-0008-0000-11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342899</xdr:colOff>
      <xdr:row>84</xdr:row>
      <xdr:rowOff>96920</xdr:rowOff>
    </xdr:from>
    <xdr:to>
      <xdr:col>18</xdr:col>
      <xdr:colOff>867454</xdr:colOff>
      <xdr:row>109</xdr:row>
      <xdr:rowOff>3402</xdr:rowOff>
    </xdr:to>
    <xdr:graphicFrame macro="">
      <xdr:nvGraphicFramePr>
        <xdr:cNvPr id="7" name="Gráfico 4">
          <a:extLst>
            <a:ext uri="{FF2B5EF4-FFF2-40B4-BE49-F238E27FC236}">
              <a16:creationId xmlns:a16="http://schemas.microsoft.com/office/drawing/2014/main" id="{00000000-0008-0000-2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295275</xdr:colOff>
      <xdr:row>47</xdr:row>
      <xdr:rowOff>85725</xdr:rowOff>
    </xdr:from>
    <xdr:to>
      <xdr:col>7</xdr:col>
      <xdr:colOff>1019176</xdr:colOff>
      <xdr:row>69</xdr:row>
      <xdr:rowOff>23813</xdr:rowOff>
    </xdr:to>
    <xdr:graphicFrame macro="">
      <xdr:nvGraphicFramePr>
        <xdr:cNvPr id="2" name="Chart 1">
          <a:extLst>
            <a:ext uri="{FF2B5EF4-FFF2-40B4-BE49-F238E27FC236}">
              <a16:creationId xmlns:a16="http://schemas.microsoft.com/office/drawing/2014/main" id="{00000000-0008-0000-01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1</xdr:col>
      <xdr:colOff>275860</xdr:colOff>
      <xdr:row>29</xdr:row>
      <xdr:rowOff>268495</xdr:rowOff>
    </xdr:from>
    <xdr:to>
      <xdr:col>12</xdr:col>
      <xdr:colOff>97833</xdr:colOff>
      <xdr:row>60</xdr:row>
      <xdr:rowOff>113729</xdr:rowOff>
    </xdr:to>
    <xdr:graphicFrame macro="">
      <xdr:nvGraphicFramePr>
        <xdr:cNvPr id="7" name="Gráfico 6">
          <a:extLst>
            <a:ext uri="{FF2B5EF4-FFF2-40B4-BE49-F238E27FC236}">
              <a16:creationId xmlns:a16="http://schemas.microsoft.com/office/drawing/2014/main" id="{00000000-0008-0000-12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0</xdr:col>
      <xdr:colOff>635000</xdr:colOff>
      <xdr:row>7</xdr:row>
      <xdr:rowOff>165431</xdr:rowOff>
    </xdr:from>
    <xdr:to>
      <xdr:col>11</xdr:col>
      <xdr:colOff>1158739</xdr:colOff>
      <xdr:row>43</xdr:row>
      <xdr:rowOff>114642</xdr:rowOff>
    </xdr:to>
    <xdr:graphicFrame macro="">
      <xdr:nvGraphicFramePr>
        <xdr:cNvPr id="3" name="Gráfico 6">
          <a:extLst>
            <a:ext uri="{FF2B5EF4-FFF2-40B4-BE49-F238E27FC236}">
              <a16:creationId xmlns:a16="http://schemas.microsoft.com/office/drawing/2014/main" id="{00000000-0008-0000-13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32</xdr:row>
      <xdr:rowOff>130175</xdr:rowOff>
    </xdr:from>
    <xdr:to>
      <xdr:col>10</xdr:col>
      <xdr:colOff>680358</xdr:colOff>
      <xdr:row>56</xdr:row>
      <xdr:rowOff>20359</xdr:rowOff>
    </xdr:to>
    <xdr:graphicFrame macro="">
      <xdr:nvGraphicFramePr>
        <xdr:cNvPr id="4" name="Chart 2">
          <a:extLst>
            <a:ext uri="{FF2B5EF4-FFF2-40B4-BE49-F238E27FC236}">
              <a16:creationId xmlns:a16="http://schemas.microsoft.com/office/drawing/2014/main" id="{00000000-0008-0000-1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7</xdr:col>
      <xdr:colOff>419099</xdr:colOff>
      <xdr:row>31</xdr:row>
      <xdr:rowOff>166686</xdr:rowOff>
    </xdr:from>
    <xdr:to>
      <xdr:col>17</xdr:col>
      <xdr:colOff>47624</xdr:colOff>
      <xdr:row>50</xdr:row>
      <xdr:rowOff>133350</xdr:rowOff>
    </xdr:to>
    <xdr:graphicFrame macro="">
      <xdr:nvGraphicFramePr>
        <xdr:cNvPr id="4" name="Gráfico 3">
          <a:extLst>
            <a:ext uri="{FF2B5EF4-FFF2-40B4-BE49-F238E27FC236}">
              <a16:creationId xmlns:a16="http://schemas.microsoft.com/office/drawing/2014/main" id="{00000000-0008-0000-1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0</xdr:colOff>
      <xdr:row>54</xdr:row>
      <xdr:rowOff>0</xdr:rowOff>
    </xdr:from>
    <xdr:to>
      <xdr:col>17</xdr:col>
      <xdr:colOff>238125</xdr:colOff>
      <xdr:row>72</xdr:row>
      <xdr:rowOff>157164</xdr:rowOff>
    </xdr:to>
    <xdr:graphicFrame macro="">
      <xdr:nvGraphicFramePr>
        <xdr:cNvPr id="5" name="Gráfico 4">
          <a:extLst>
            <a:ext uri="{FF2B5EF4-FFF2-40B4-BE49-F238E27FC236}">
              <a16:creationId xmlns:a16="http://schemas.microsoft.com/office/drawing/2014/main" id="{00000000-0008-0000-16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114300</xdr:colOff>
      <xdr:row>29</xdr:row>
      <xdr:rowOff>33337</xdr:rowOff>
    </xdr:from>
    <xdr:to>
      <xdr:col>6</xdr:col>
      <xdr:colOff>114300</xdr:colOff>
      <xdr:row>43</xdr:row>
      <xdr:rowOff>109537</xdr:rowOff>
    </xdr:to>
    <xdr:graphicFrame macro="">
      <xdr:nvGraphicFramePr>
        <xdr:cNvPr id="2" name="Gráfico 1">
          <a:extLst>
            <a:ext uri="{FF2B5EF4-FFF2-40B4-BE49-F238E27FC236}">
              <a16:creationId xmlns:a16="http://schemas.microsoft.com/office/drawing/2014/main" id="{00000000-0008-0000-17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742949</xdr:colOff>
      <xdr:row>29</xdr:row>
      <xdr:rowOff>95250</xdr:rowOff>
    </xdr:from>
    <xdr:to>
      <xdr:col>13</xdr:col>
      <xdr:colOff>200024</xdr:colOff>
      <xdr:row>43</xdr:row>
      <xdr:rowOff>171450</xdr:rowOff>
    </xdr:to>
    <xdr:graphicFrame macro="">
      <xdr:nvGraphicFramePr>
        <xdr:cNvPr id="3" name="Gráfico 2">
          <a:extLst>
            <a:ext uri="{FF2B5EF4-FFF2-40B4-BE49-F238E27FC236}">
              <a16:creationId xmlns:a16="http://schemas.microsoft.com/office/drawing/2014/main" id="{00000000-0008-0000-17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47</xdr:row>
      <xdr:rowOff>0</xdr:rowOff>
    </xdr:from>
    <xdr:to>
      <xdr:col>8</xdr:col>
      <xdr:colOff>219075</xdr:colOff>
      <xdr:row>61</xdr:row>
      <xdr:rowOff>76200</xdr:rowOff>
    </xdr:to>
    <xdr:graphicFrame macro="">
      <xdr:nvGraphicFramePr>
        <xdr:cNvPr id="4" name="Gráfico 3">
          <a:extLst>
            <a:ext uri="{FF2B5EF4-FFF2-40B4-BE49-F238E27FC236}">
              <a16:creationId xmlns:a16="http://schemas.microsoft.com/office/drawing/2014/main" id="{00000000-0008-0000-1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114300</xdr:colOff>
      <xdr:row>29</xdr:row>
      <xdr:rowOff>33337</xdr:rowOff>
    </xdr:from>
    <xdr:to>
      <xdr:col>6</xdr:col>
      <xdr:colOff>114300</xdr:colOff>
      <xdr:row>43</xdr:row>
      <xdr:rowOff>109537</xdr:rowOff>
    </xdr:to>
    <xdr:graphicFrame macro="">
      <xdr:nvGraphicFramePr>
        <xdr:cNvPr id="2" name="Gráfico 1">
          <a:extLst>
            <a:ext uri="{FF2B5EF4-FFF2-40B4-BE49-F238E27FC236}">
              <a16:creationId xmlns:a16="http://schemas.microsoft.com/office/drawing/2014/main" id="{00000000-0008-0000-18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742949</xdr:colOff>
      <xdr:row>29</xdr:row>
      <xdr:rowOff>95250</xdr:rowOff>
    </xdr:from>
    <xdr:to>
      <xdr:col>13</xdr:col>
      <xdr:colOff>0</xdr:colOff>
      <xdr:row>43</xdr:row>
      <xdr:rowOff>171450</xdr:rowOff>
    </xdr:to>
    <xdr:graphicFrame macro="">
      <xdr:nvGraphicFramePr>
        <xdr:cNvPr id="3" name="Gráfico 2">
          <a:extLst>
            <a:ext uri="{FF2B5EF4-FFF2-40B4-BE49-F238E27FC236}">
              <a16:creationId xmlns:a16="http://schemas.microsoft.com/office/drawing/2014/main" id="{00000000-0008-0000-1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47</xdr:row>
      <xdr:rowOff>0</xdr:rowOff>
    </xdr:from>
    <xdr:to>
      <xdr:col>8</xdr:col>
      <xdr:colOff>219075</xdr:colOff>
      <xdr:row>61</xdr:row>
      <xdr:rowOff>76200</xdr:rowOff>
    </xdr:to>
    <xdr:graphicFrame macro="">
      <xdr:nvGraphicFramePr>
        <xdr:cNvPr id="4" name="Gráfico 3">
          <a:extLst>
            <a:ext uri="{FF2B5EF4-FFF2-40B4-BE49-F238E27FC236}">
              <a16:creationId xmlns:a16="http://schemas.microsoft.com/office/drawing/2014/main" id="{00000000-0008-0000-18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27</xdr:row>
      <xdr:rowOff>58735</xdr:rowOff>
    </xdr:from>
    <xdr:to>
      <xdr:col>7</xdr:col>
      <xdr:colOff>342901</xdr:colOff>
      <xdr:row>47</xdr:row>
      <xdr:rowOff>152977</xdr:rowOff>
    </xdr:to>
    <xdr:graphicFrame macro="">
      <xdr:nvGraphicFramePr>
        <xdr:cNvPr id="2" name="Gráfico 1">
          <a:extLst>
            <a:ext uri="{FF2B5EF4-FFF2-40B4-BE49-F238E27FC236}">
              <a16:creationId xmlns:a16="http://schemas.microsoft.com/office/drawing/2014/main" id="{00000000-0008-0000-1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9</xdr:col>
      <xdr:colOff>95250</xdr:colOff>
      <xdr:row>30</xdr:row>
      <xdr:rowOff>127000</xdr:rowOff>
    </xdr:from>
    <xdr:to>
      <xdr:col>17</xdr:col>
      <xdr:colOff>581025</xdr:colOff>
      <xdr:row>46</xdr:row>
      <xdr:rowOff>174625</xdr:rowOff>
    </xdr:to>
    <xdr:graphicFrame macro="">
      <xdr:nvGraphicFramePr>
        <xdr:cNvPr id="3" name="Gráfico 1">
          <a:extLst>
            <a:ext uri="{FF2B5EF4-FFF2-40B4-BE49-F238E27FC236}">
              <a16:creationId xmlns:a16="http://schemas.microsoft.com/office/drawing/2014/main" id="{00000000-0008-0000-19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67734</xdr:colOff>
      <xdr:row>50</xdr:row>
      <xdr:rowOff>139701</xdr:rowOff>
    </xdr:from>
    <xdr:to>
      <xdr:col>17</xdr:col>
      <xdr:colOff>553509</xdr:colOff>
      <xdr:row>58</xdr:row>
      <xdr:rowOff>81493</xdr:rowOff>
    </xdr:to>
    <xdr:graphicFrame macro="">
      <xdr:nvGraphicFramePr>
        <xdr:cNvPr id="4" name="Gráfico 1">
          <a:extLst>
            <a:ext uri="{FF2B5EF4-FFF2-40B4-BE49-F238E27FC236}">
              <a16:creationId xmlns:a16="http://schemas.microsoft.com/office/drawing/2014/main" id="{00000000-0008-0000-1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9</xdr:col>
      <xdr:colOff>74083</xdr:colOff>
      <xdr:row>60</xdr:row>
      <xdr:rowOff>296333</xdr:rowOff>
    </xdr:from>
    <xdr:to>
      <xdr:col>17</xdr:col>
      <xdr:colOff>617008</xdr:colOff>
      <xdr:row>78</xdr:row>
      <xdr:rowOff>34635</xdr:rowOff>
    </xdr:to>
    <xdr:graphicFrame macro="">
      <xdr:nvGraphicFramePr>
        <xdr:cNvPr id="5" name="Gráfico 1">
          <a:extLst>
            <a:ext uri="{FF2B5EF4-FFF2-40B4-BE49-F238E27FC236}">
              <a16:creationId xmlns:a16="http://schemas.microsoft.com/office/drawing/2014/main"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51</xdr:row>
      <xdr:rowOff>142728</xdr:rowOff>
    </xdr:from>
    <xdr:to>
      <xdr:col>16</xdr:col>
      <xdr:colOff>903531</xdr:colOff>
      <xdr:row>103</xdr:row>
      <xdr:rowOff>133278</xdr:rowOff>
    </xdr:to>
    <xdr:graphicFrame macro="">
      <xdr:nvGraphicFramePr>
        <xdr:cNvPr id="2" name="Gráfico 4">
          <a:extLst>
            <a:ext uri="{FF2B5EF4-FFF2-40B4-BE49-F238E27FC236}">
              <a16:creationId xmlns:a16="http://schemas.microsoft.com/office/drawing/2014/main" id="{00000000-0008-0000-1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13</xdr:col>
      <xdr:colOff>287510</xdr:colOff>
      <xdr:row>2</xdr:row>
      <xdr:rowOff>14783</xdr:rowOff>
    </xdr:from>
    <xdr:to>
      <xdr:col>19</xdr:col>
      <xdr:colOff>11288</xdr:colOff>
      <xdr:row>7</xdr:row>
      <xdr:rowOff>122914</xdr:rowOff>
    </xdr:to>
    <mc:AlternateContent xmlns:mc="http://schemas.openxmlformats.org/markup-compatibility/2006" xmlns:a14="http://schemas.microsoft.com/office/drawing/2010/main">
      <mc:Choice Requires="a14">
        <xdr:sp macro="" textlink="">
          <xdr:nvSpPr>
            <xdr:cNvPr id="2" name="TextBox 1">
              <a:extLst>
                <a:ext uri="{FF2B5EF4-FFF2-40B4-BE49-F238E27FC236}">
                  <a16:creationId xmlns:a16="http://schemas.microsoft.com/office/drawing/2014/main" id="{00000000-0008-0000-1C00-000002000000}"/>
                </a:ext>
              </a:extLst>
            </xdr:cNvPr>
            <xdr:cNvSpPr txBox="1"/>
          </xdr:nvSpPr>
          <xdr:spPr>
            <a:xfrm>
              <a:off x="12367451" y="395783"/>
              <a:ext cx="3892366" cy="130716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t>When the taxable base is the gross wage:</a:t>
              </a:r>
            </a:p>
            <a:p>
              <a:endParaRPr lang="es-ES_tradnl" sz="1100"/>
            </a:p>
            <a:p>
              <a:pPr/>
              <a14:m>
                <m:oMathPara xmlns:m="http://schemas.openxmlformats.org/officeDocument/2006/math">
                  <m:oMathParaPr>
                    <m:jc m:val="centerGroup"/>
                  </m:oMathParaPr>
                  <m:oMath xmlns:m="http://schemas.openxmlformats.org/officeDocument/2006/math">
                    <m:r>
                      <a:rPr lang="en-US" sz="1100" b="0" i="1">
                        <a:latin typeface="Cambria Math"/>
                      </a:rPr>
                      <m:t>𝑈𝑆</m:t>
                    </m:r>
                    <m:r>
                      <a:rPr lang="en-US" sz="1100" b="0" i="1">
                        <a:latin typeface="Cambria Math"/>
                      </a:rPr>
                      <m:t>$</m:t>
                    </m:r>
                    <m:r>
                      <a:rPr lang="en-US" sz="1100" b="0" i="1">
                        <a:latin typeface="Cambria Math"/>
                      </a:rPr>
                      <m:t>𝐵𝑜𝑛𝑢𝑠</m:t>
                    </m:r>
                    <m:r>
                      <a:rPr lang="en-US" sz="1100" b="0" i="1">
                        <a:latin typeface="Cambria Math"/>
                      </a:rPr>
                      <m:t>=</m:t>
                    </m:r>
                    <m:f>
                      <m:fPr>
                        <m:ctrlPr>
                          <a:rPr lang="en-US" sz="1100" b="0" i="1">
                            <a:latin typeface="Cambria Math" panose="02040503050406030204" pitchFamily="18" charset="0"/>
                          </a:rPr>
                        </m:ctrlPr>
                      </m:fPr>
                      <m:num>
                        <m:r>
                          <a:rPr lang="en-US" sz="1100" b="0" i="1">
                            <a:latin typeface="Cambria Math"/>
                          </a:rPr>
                          <m:t>𝑁𝑒𝑡</m:t>
                        </m:r>
                        <m:r>
                          <a:rPr lang="en-US" sz="1100" b="0" i="1">
                            <a:latin typeface="Cambria Math"/>
                          </a:rPr>
                          <m:t> </m:t>
                        </m:r>
                        <m:r>
                          <a:rPr lang="en-US" sz="1100" b="0" i="1">
                            <a:latin typeface="Cambria Math"/>
                          </a:rPr>
                          <m:t>𝑚𝑖𝑛𝑖𝑚𝑢𝑚</m:t>
                        </m:r>
                        <m:r>
                          <a:rPr lang="en-US" sz="1100" b="0" i="1">
                            <a:latin typeface="Cambria Math"/>
                          </a:rPr>
                          <m:t> </m:t>
                        </m:r>
                        <m:r>
                          <a:rPr lang="en-US" sz="1100" b="0" i="1">
                            <a:latin typeface="Cambria Math"/>
                          </a:rPr>
                          <m:t>𝑤𝑎𝑔𝑒</m:t>
                        </m:r>
                      </m:num>
                      <m:den>
                        <m:r>
                          <a:rPr lang="en-US" sz="1100" b="0" i="1">
                            <a:latin typeface="Cambria Math"/>
                          </a:rPr>
                          <m:t>𝐷𝑎𝑦𝑠</m:t>
                        </m:r>
                        <m:r>
                          <a:rPr lang="en-US" sz="1100" b="0" i="1">
                            <a:latin typeface="Cambria Math"/>
                          </a:rPr>
                          <m:t> </m:t>
                        </m:r>
                        <m:r>
                          <a:rPr lang="en-US" sz="1100" b="0" i="1">
                            <a:latin typeface="Cambria Math"/>
                          </a:rPr>
                          <m:t>𝑝𝑒𝑟</m:t>
                        </m:r>
                        <m:r>
                          <a:rPr lang="en-US" sz="1100" b="0" i="1">
                            <a:latin typeface="Cambria Math"/>
                          </a:rPr>
                          <m:t> </m:t>
                        </m:r>
                        <m:r>
                          <a:rPr lang="en-US" sz="1100" b="0" i="1">
                            <a:latin typeface="Cambria Math"/>
                          </a:rPr>
                          <m:t>𝑦𝑒𝑎𝑟</m:t>
                        </m:r>
                        <m:r>
                          <a:rPr lang="en-US" sz="1100" b="0" i="1">
                            <a:latin typeface="Cambria Math"/>
                          </a:rPr>
                          <m:t>(365)</m:t>
                        </m:r>
                      </m:den>
                    </m:f>
                    <m:r>
                      <a:rPr lang="en-US" sz="1100" b="0" i="1">
                        <a:latin typeface="Cambria Math"/>
                      </a:rPr>
                      <m:t>∗</m:t>
                    </m:r>
                    <m:r>
                      <a:rPr lang="en-US" sz="1100" b="0" i="1">
                        <a:latin typeface="Cambria Math"/>
                      </a:rPr>
                      <m:t>𝐵𝑜𝑛𝑢𝑠</m:t>
                    </m:r>
                    <m:r>
                      <a:rPr lang="en-US" sz="1100" b="0" i="1">
                        <a:latin typeface="Cambria Math"/>
                      </a:rPr>
                      <m:t> </m:t>
                    </m:r>
                    <m:d>
                      <m:dPr>
                        <m:ctrlPr>
                          <a:rPr lang="en-US" sz="1100" b="0" i="1">
                            <a:latin typeface="Cambria Math" panose="02040503050406030204" pitchFamily="18" charset="0"/>
                          </a:rPr>
                        </m:ctrlPr>
                      </m:dPr>
                      <m:e>
                        <m:r>
                          <a:rPr lang="en-US" sz="1100" b="0" i="1">
                            <a:latin typeface="Cambria Math"/>
                          </a:rPr>
                          <m:t>𝑑𝑎𝑦𝑠</m:t>
                        </m:r>
                      </m:e>
                    </m:d>
                  </m:oMath>
                </m:oMathPara>
              </a14:m>
              <a:endParaRPr lang="en-US" sz="1100" b="0"/>
            </a:p>
            <a:p>
              <a:endParaRPr lang="es-ES_tradnl" sz="1100"/>
            </a:p>
            <a:p>
              <a:pPr algn="ctr"/>
              <a:r>
                <a:rPr lang="es-ES_tradnl" sz="1100" i="1"/>
                <a:t>Gross wage=Net minimum wage+ US$Bonus</a:t>
              </a:r>
            </a:p>
          </xdr:txBody>
        </xdr:sp>
      </mc:Choice>
      <mc:Fallback xmlns="">
        <xdr:sp macro="" textlink="">
          <xdr:nvSpPr>
            <xdr:cNvPr id="2" name="TextBox 1">
              <a:extLst>
                <a:ext uri="{FF2B5EF4-FFF2-40B4-BE49-F238E27FC236}">
                  <a16:creationId xmlns:a16="http://schemas.microsoft.com/office/drawing/2014/main" id="{00000000-0008-0000-1100-000002000000}"/>
                </a:ext>
              </a:extLst>
            </xdr:cNvPr>
            <xdr:cNvSpPr txBox="1"/>
          </xdr:nvSpPr>
          <xdr:spPr>
            <a:xfrm>
              <a:off x="12367451" y="395783"/>
              <a:ext cx="3892366" cy="1307160"/>
            </a:xfrm>
            <a:prstGeom prst="rect">
              <a:avLst/>
            </a:prstGeom>
            <a:solidFill>
              <a:schemeClr val="lt1"/>
            </a:solidFill>
            <a:ln w="19050"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_tradnl" sz="1100" b="1"/>
                <a:t>When the taxable base is the gross wage:</a:t>
              </a:r>
            </a:p>
            <a:p>
              <a:endParaRPr lang="es-ES_tradnl" sz="1100"/>
            </a:p>
            <a:p>
              <a:pPr/>
              <a:r>
                <a:rPr lang="en-US" sz="1100" b="0" i="0">
                  <a:latin typeface="Cambria Math"/>
                </a:rPr>
                <a:t>𝑈𝑆$𝐵𝑜𝑛𝑢𝑠=</a:t>
              </a:r>
              <a:r>
                <a:rPr lang="en-US" sz="1100" b="0" i="0">
                  <a:latin typeface="Cambria Math" panose="02040503050406030204" pitchFamily="18" charset="0"/>
                </a:rPr>
                <a:t>(</a:t>
              </a:r>
              <a:r>
                <a:rPr lang="en-US" sz="1100" b="0" i="0">
                  <a:latin typeface="Cambria Math"/>
                </a:rPr>
                <a:t>𝑁𝑒𝑡 𝑚𝑖𝑛𝑖𝑚𝑢𝑚 𝑤𝑎𝑔𝑒</a:t>
              </a:r>
              <a:r>
                <a:rPr lang="en-US" sz="1100" b="0" i="0">
                  <a:latin typeface="Cambria Math" panose="02040503050406030204" pitchFamily="18" charset="0"/>
                </a:rPr>
                <a:t>)/(</a:t>
              </a:r>
              <a:r>
                <a:rPr lang="en-US" sz="1100" b="0" i="0">
                  <a:latin typeface="Cambria Math"/>
                </a:rPr>
                <a:t>𝐷𝑎𝑦𝑠 𝑝𝑒𝑟 𝑦𝑒𝑎𝑟(365)</a:t>
              </a:r>
              <a:r>
                <a:rPr lang="en-US" sz="1100" b="0" i="0">
                  <a:latin typeface="Cambria Math" panose="02040503050406030204" pitchFamily="18" charset="0"/>
                </a:rPr>
                <a:t>)</a:t>
              </a:r>
              <a:r>
                <a:rPr lang="en-US" sz="1100" b="0" i="0">
                  <a:latin typeface="Cambria Math"/>
                </a:rPr>
                <a:t>∗𝐵𝑜𝑛𝑢𝑠 </a:t>
              </a:r>
              <a:r>
                <a:rPr lang="en-US" sz="1100" b="0" i="0">
                  <a:latin typeface="Cambria Math" panose="02040503050406030204" pitchFamily="18" charset="0"/>
                </a:rPr>
                <a:t>(</a:t>
              </a:r>
              <a:r>
                <a:rPr lang="en-US" sz="1100" b="0" i="0">
                  <a:latin typeface="Cambria Math"/>
                </a:rPr>
                <a:t>𝑑𝑎𝑦𝑠</a:t>
              </a:r>
              <a:r>
                <a:rPr lang="en-US" sz="1100" b="0" i="0">
                  <a:latin typeface="Cambria Math" panose="02040503050406030204" pitchFamily="18" charset="0"/>
                </a:rPr>
                <a:t>)</a:t>
              </a:r>
              <a:endParaRPr lang="en-US" sz="1100" b="0"/>
            </a:p>
            <a:p>
              <a:endParaRPr lang="es-ES_tradnl" sz="1100"/>
            </a:p>
            <a:p>
              <a:pPr algn="ctr"/>
              <a:r>
                <a:rPr lang="es-ES_tradnl" sz="1100" i="1"/>
                <a:t>Gross wage=Net minimum wage+ US$Bonus</a:t>
              </a:r>
            </a:p>
          </xdr:txBody>
        </xdr:sp>
      </mc:Fallback>
    </mc:AlternateContent>
    <xdr:clientData/>
  </xdr:twoCellAnchor>
</xdr:wsDr>
</file>

<file path=xl/drawings/drawing29.xml><?xml version="1.0" encoding="utf-8"?>
<xdr:wsDr xmlns:xdr="http://schemas.openxmlformats.org/drawingml/2006/spreadsheetDrawing" xmlns:a="http://schemas.openxmlformats.org/drawingml/2006/main">
  <xdr:twoCellAnchor>
    <xdr:from>
      <xdr:col>8</xdr:col>
      <xdr:colOff>244474</xdr:colOff>
      <xdr:row>10</xdr:row>
      <xdr:rowOff>152400</xdr:rowOff>
    </xdr:from>
    <xdr:to>
      <xdr:col>16</xdr:col>
      <xdr:colOff>552449</xdr:colOff>
      <xdr:row>26</xdr:row>
      <xdr:rowOff>114300</xdr:rowOff>
    </xdr:to>
    <xdr:graphicFrame macro="">
      <xdr:nvGraphicFramePr>
        <xdr:cNvPr id="2" name="Chart 1">
          <a:extLst>
            <a:ext uri="{FF2B5EF4-FFF2-40B4-BE49-F238E27FC236}">
              <a16:creationId xmlns:a16="http://schemas.microsoft.com/office/drawing/2014/main" id="{00000000-0008-0000-1D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95250</xdr:colOff>
      <xdr:row>61</xdr:row>
      <xdr:rowOff>23810</xdr:rowOff>
    </xdr:from>
    <xdr:to>
      <xdr:col>15</xdr:col>
      <xdr:colOff>66675</xdr:colOff>
      <xdr:row>84</xdr:row>
      <xdr:rowOff>95249</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0</xdr:col>
      <xdr:colOff>0</xdr:colOff>
      <xdr:row>29</xdr:row>
      <xdr:rowOff>179213</xdr:rowOff>
    </xdr:from>
    <xdr:to>
      <xdr:col>10</xdr:col>
      <xdr:colOff>680358</xdr:colOff>
      <xdr:row>53</xdr:row>
      <xdr:rowOff>0</xdr:rowOff>
    </xdr:to>
    <xdr:graphicFrame macro="">
      <xdr:nvGraphicFramePr>
        <xdr:cNvPr id="5" name="Chart 2">
          <a:extLst>
            <a:ext uri="{FF2B5EF4-FFF2-40B4-BE49-F238E27FC236}">
              <a16:creationId xmlns:a16="http://schemas.microsoft.com/office/drawing/2014/main" id="{00000000-0008-0000-2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29</xdr:col>
      <xdr:colOff>38101</xdr:colOff>
      <xdr:row>35</xdr:row>
      <xdr:rowOff>8337</xdr:rowOff>
    </xdr:from>
    <xdr:to>
      <xdr:col>50</xdr:col>
      <xdr:colOff>511629</xdr:colOff>
      <xdr:row>98</xdr:row>
      <xdr:rowOff>233946</xdr:rowOff>
    </xdr:to>
    <xdr:graphicFrame macro="">
      <xdr:nvGraphicFramePr>
        <xdr:cNvPr id="2" name="Gráfico 4">
          <a:extLst>
            <a:ext uri="{FF2B5EF4-FFF2-40B4-BE49-F238E27FC236}">
              <a16:creationId xmlns:a16="http://schemas.microsoft.com/office/drawing/2014/main" id="{00000000-0008-0000-2A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304800</xdr:colOff>
      <xdr:row>146</xdr:row>
      <xdr:rowOff>152400</xdr:rowOff>
    </xdr:from>
    <xdr:to>
      <xdr:col>16</xdr:col>
      <xdr:colOff>325923</xdr:colOff>
      <xdr:row>201</xdr:row>
      <xdr:rowOff>43691</xdr:rowOff>
    </xdr:to>
    <xdr:graphicFrame macro="">
      <xdr:nvGraphicFramePr>
        <xdr:cNvPr id="3" name="Gráfico 4">
          <a:extLst>
            <a:ext uri="{FF2B5EF4-FFF2-40B4-BE49-F238E27FC236}">
              <a16:creationId xmlns:a16="http://schemas.microsoft.com/office/drawing/2014/main" id="{00000000-0008-0000-2A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7</xdr:col>
      <xdr:colOff>447674</xdr:colOff>
      <xdr:row>6</xdr:row>
      <xdr:rowOff>104774</xdr:rowOff>
    </xdr:from>
    <xdr:to>
      <xdr:col>17</xdr:col>
      <xdr:colOff>133349</xdr:colOff>
      <xdr:row>23</xdr:row>
      <xdr:rowOff>114299</xdr:rowOff>
    </xdr:to>
    <xdr:graphicFrame macro="">
      <xdr:nvGraphicFramePr>
        <xdr:cNvPr id="3" name="Gráfico 2">
          <a:extLst>
            <a:ext uri="{FF2B5EF4-FFF2-40B4-BE49-F238E27FC236}">
              <a16:creationId xmlns:a16="http://schemas.microsoft.com/office/drawing/2014/main" id="{00000000-0008-0000-2D00-000003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581025</xdr:colOff>
      <xdr:row>27</xdr:row>
      <xdr:rowOff>19050</xdr:rowOff>
    </xdr:from>
    <xdr:to>
      <xdr:col>17</xdr:col>
      <xdr:colOff>266700</xdr:colOff>
      <xdr:row>44</xdr:row>
      <xdr:rowOff>28575</xdr:rowOff>
    </xdr:to>
    <xdr:graphicFrame macro="">
      <xdr:nvGraphicFramePr>
        <xdr:cNvPr id="4" name="Gráfico 3">
          <a:extLst>
            <a:ext uri="{FF2B5EF4-FFF2-40B4-BE49-F238E27FC236}">
              <a16:creationId xmlns:a16="http://schemas.microsoft.com/office/drawing/2014/main" id="{00000000-0008-0000-2D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285750</xdr:colOff>
      <xdr:row>47</xdr:row>
      <xdr:rowOff>152399</xdr:rowOff>
    </xdr:from>
    <xdr:to>
      <xdr:col>18</xdr:col>
      <xdr:colOff>0</xdr:colOff>
      <xdr:row>69</xdr:row>
      <xdr:rowOff>152400</xdr:rowOff>
    </xdr:to>
    <xdr:graphicFrame macro="">
      <xdr:nvGraphicFramePr>
        <xdr:cNvPr id="2" name="Chart 1">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6</xdr:col>
      <xdr:colOff>219195</xdr:colOff>
      <xdr:row>23</xdr:row>
      <xdr:rowOff>136865</xdr:rowOff>
    </xdr:from>
    <xdr:to>
      <xdr:col>16</xdr:col>
      <xdr:colOff>204017</xdr:colOff>
      <xdr:row>40</xdr:row>
      <xdr:rowOff>173611</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5553195" y="4512592"/>
          <a:ext cx="6450277" cy="3177110"/>
          <a:chOff x="3212042" y="759883"/>
          <a:chExt cx="6159500" cy="3276600"/>
        </a:xfrm>
      </xdr:grpSpPr>
      <xdr:graphicFrame macro="">
        <xdr:nvGraphicFramePr>
          <xdr:cNvPr id="4" name="Chart 3">
            <a:extLst>
              <a:ext uri="{FF2B5EF4-FFF2-40B4-BE49-F238E27FC236}">
                <a16:creationId xmlns:a16="http://schemas.microsoft.com/office/drawing/2014/main" id="{00000000-0008-0000-0600-000004000000}"/>
              </a:ext>
            </a:extLst>
          </xdr:cNvPr>
          <xdr:cNvGraphicFramePr/>
        </xdr:nvGraphicFramePr>
        <xdr:xfrm>
          <a:off x="3212042" y="759883"/>
          <a:ext cx="6159500" cy="3276600"/>
        </xdr:xfrm>
        <a:graphic>
          <a:graphicData uri="http://schemas.openxmlformats.org/drawingml/2006/chart">
            <c:chart xmlns:c="http://schemas.openxmlformats.org/drawingml/2006/chart" xmlns:r="http://schemas.openxmlformats.org/officeDocument/2006/relationships" r:id="rId1"/>
          </a:graphicData>
        </a:graphic>
      </xdr:graphicFrame>
      <xdr:sp macro="" textlink="">
        <xdr:nvSpPr>
          <xdr:cNvPr id="5" name="Right Brace 4">
            <a:extLst>
              <a:ext uri="{FF2B5EF4-FFF2-40B4-BE49-F238E27FC236}">
                <a16:creationId xmlns:a16="http://schemas.microsoft.com/office/drawing/2014/main" id="{00000000-0008-0000-0600-000005000000}"/>
              </a:ext>
            </a:extLst>
          </xdr:cNvPr>
          <xdr:cNvSpPr/>
        </xdr:nvSpPr>
        <xdr:spPr>
          <a:xfrm>
            <a:off x="7281971" y="1129148"/>
            <a:ext cx="142725" cy="181358"/>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_tradnl" sz="1100"/>
          </a:p>
        </xdr:txBody>
      </xdr:sp>
    </xdr:grpSp>
    <xdr:clientData/>
  </xdr:twoCellAnchor>
  <xdr:twoCellAnchor>
    <xdr:from>
      <xdr:col>6</xdr:col>
      <xdr:colOff>310541</xdr:colOff>
      <xdr:row>3</xdr:row>
      <xdr:rowOff>40580</xdr:rowOff>
    </xdr:from>
    <xdr:to>
      <xdr:col>16</xdr:col>
      <xdr:colOff>280346</xdr:colOff>
      <xdr:row>16</xdr:row>
      <xdr:rowOff>72535</xdr:rowOff>
    </xdr:to>
    <xdr:graphicFrame macro="">
      <xdr:nvGraphicFramePr>
        <xdr:cNvPr id="6" name="Chart 5">
          <a:extLst>
            <a:ext uri="{FF2B5EF4-FFF2-40B4-BE49-F238E27FC236}">
              <a16:creationId xmlns:a16="http://schemas.microsoft.com/office/drawing/2014/main" id="{00000000-0008-0000-06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4</xdr:col>
      <xdr:colOff>834572</xdr:colOff>
      <xdr:row>46</xdr:row>
      <xdr:rowOff>127000</xdr:rowOff>
    </xdr:from>
    <xdr:to>
      <xdr:col>14</xdr:col>
      <xdr:colOff>602086</xdr:colOff>
      <xdr:row>63</xdr:row>
      <xdr:rowOff>165099</xdr:rowOff>
    </xdr:to>
    <xdr:grpSp>
      <xdr:nvGrpSpPr>
        <xdr:cNvPr id="3" name="Group 2">
          <a:extLst>
            <a:ext uri="{FF2B5EF4-FFF2-40B4-BE49-F238E27FC236}">
              <a16:creationId xmlns:a16="http://schemas.microsoft.com/office/drawing/2014/main" id="{00000000-0008-0000-0600-000003000000}"/>
            </a:ext>
          </a:extLst>
        </xdr:cNvPr>
        <xdr:cNvGrpSpPr/>
      </xdr:nvGrpSpPr>
      <xdr:grpSpPr>
        <a:xfrm>
          <a:off x="4656117" y="8797636"/>
          <a:ext cx="6452333" cy="3178463"/>
          <a:chOff x="3212042" y="759883"/>
          <a:chExt cx="6159500" cy="3276600"/>
        </a:xfrm>
      </xdr:grpSpPr>
      <xdr:graphicFrame macro="">
        <xdr:nvGraphicFramePr>
          <xdr:cNvPr id="7" name="Chart 6">
            <a:extLst>
              <a:ext uri="{FF2B5EF4-FFF2-40B4-BE49-F238E27FC236}">
                <a16:creationId xmlns:a16="http://schemas.microsoft.com/office/drawing/2014/main" id="{00000000-0008-0000-0600-000007000000}"/>
              </a:ext>
            </a:extLst>
          </xdr:cNvPr>
          <xdr:cNvGraphicFramePr/>
        </xdr:nvGraphicFramePr>
        <xdr:xfrm>
          <a:off x="3212042" y="759883"/>
          <a:ext cx="6159500" cy="3276600"/>
        </xdr:xfrm>
        <a:graphic>
          <a:graphicData uri="http://schemas.openxmlformats.org/drawingml/2006/chart">
            <c:chart xmlns:c="http://schemas.openxmlformats.org/drawingml/2006/chart" xmlns:r="http://schemas.openxmlformats.org/officeDocument/2006/relationships" r:id="rId3"/>
          </a:graphicData>
        </a:graphic>
      </xdr:graphicFrame>
      <xdr:sp macro="" textlink="">
        <xdr:nvSpPr>
          <xdr:cNvPr id="8" name="Right Brace 7">
            <a:extLst>
              <a:ext uri="{FF2B5EF4-FFF2-40B4-BE49-F238E27FC236}">
                <a16:creationId xmlns:a16="http://schemas.microsoft.com/office/drawing/2014/main" id="{00000000-0008-0000-0600-000008000000}"/>
              </a:ext>
            </a:extLst>
          </xdr:cNvPr>
          <xdr:cNvSpPr/>
        </xdr:nvSpPr>
        <xdr:spPr>
          <a:xfrm>
            <a:off x="7215842" y="1164853"/>
            <a:ext cx="137126" cy="368656"/>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lang="es-ES_tradnl" sz="1100"/>
          </a:p>
        </xdr:txBody>
      </xdr:sp>
    </xdr:grpSp>
    <xdr:clientData/>
  </xdr:twoCellAnchor>
</xdr:wsDr>
</file>

<file path=xl/drawings/drawing6.xml><?xml version="1.0" encoding="utf-8"?>
<c:userShapes xmlns:c="http://schemas.openxmlformats.org/drawingml/2006/chart">
  <cdr:relSizeAnchor xmlns:cdr="http://schemas.openxmlformats.org/drawingml/2006/chartDrawing">
    <cdr:from>
      <cdr:x>0.7011</cdr:x>
      <cdr:y>0.06595</cdr:y>
    </cdr:from>
    <cdr:to>
      <cdr:x>0.91884</cdr:x>
      <cdr:y>0.20839</cdr:y>
    </cdr:to>
    <cdr:sp macro="" textlink="">
      <cdr:nvSpPr>
        <cdr:cNvPr id="2" name="TextBox 1"/>
        <cdr:cNvSpPr txBox="1"/>
      </cdr:nvSpPr>
      <cdr:spPr>
        <a:xfrm xmlns:a="http://schemas.openxmlformats.org/drawingml/2006/main">
          <a:off x="4505218" y="205931"/>
          <a:ext cx="1399185" cy="444753"/>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_tradnl" sz="1000" b="1">
              <a:latin typeface="Times New Roman" panose="02020603050405020304" pitchFamily="18" charset="0"/>
              <a:cs typeface="Times New Roman" panose="02020603050405020304" pitchFamily="18" charset="0"/>
            </a:rPr>
            <a:t>Job security provisions</a:t>
          </a:r>
        </a:p>
      </cdr:txBody>
    </cdr:sp>
  </cdr:relSizeAnchor>
</c:userShapes>
</file>

<file path=xl/drawings/drawing7.xml><?xml version="1.0" encoding="utf-8"?>
<c:userShapes xmlns:c="http://schemas.openxmlformats.org/drawingml/2006/chart">
  <cdr:relSizeAnchor xmlns:cdr="http://schemas.openxmlformats.org/drawingml/2006/chartDrawing">
    <cdr:from>
      <cdr:x>0.71816</cdr:x>
      <cdr:y>0.15259</cdr:y>
    </cdr:from>
    <cdr:to>
      <cdr:x>1</cdr:x>
      <cdr:y>0.27488</cdr:y>
    </cdr:to>
    <cdr:sp macro="" textlink="">
      <cdr:nvSpPr>
        <cdr:cNvPr id="2" name="TextBox 1"/>
        <cdr:cNvSpPr txBox="1"/>
      </cdr:nvSpPr>
      <cdr:spPr>
        <a:xfrm xmlns:a="http://schemas.openxmlformats.org/drawingml/2006/main">
          <a:off x="4603797" y="364777"/>
          <a:ext cx="1806722" cy="292331"/>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_tradnl" sz="1000" b="1">
              <a:latin typeface="Times New Roman" panose="02020603050405020304" pitchFamily="18" charset="0"/>
              <a:cs typeface="Times New Roman" panose="02020603050405020304" pitchFamily="18" charset="0"/>
            </a:rPr>
            <a:t>Job security provisions</a:t>
          </a:r>
        </a:p>
      </cdr:txBody>
    </cdr:sp>
  </cdr:relSizeAnchor>
  <cdr:relSizeAnchor xmlns:cdr="http://schemas.openxmlformats.org/drawingml/2006/chartDrawing">
    <cdr:from>
      <cdr:x>0.685</cdr:x>
      <cdr:y>0.16808</cdr:y>
    </cdr:from>
    <cdr:to>
      <cdr:x>0.71419</cdr:x>
      <cdr:y>0.29286</cdr:y>
    </cdr:to>
    <cdr:sp macro="" textlink="">
      <cdr:nvSpPr>
        <cdr:cNvPr id="5" name="Right Brace 2">
          <a:extLst xmlns:a="http://schemas.openxmlformats.org/drawingml/2006/main">
            <a:ext uri="{FF2B5EF4-FFF2-40B4-BE49-F238E27FC236}">
              <a16:creationId xmlns:a16="http://schemas.microsoft.com/office/drawing/2014/main" id="{79085A57-2588-69AB-AA64-4F81EAAD940B}"/>
            </a:ext>
          </a:extLst>
        </cdr:cNvPr>
        <cdr:cNvSpPr/>
      </cdr:nvSpPr>
      <cdr:spPr>
        <a:xfrm xmlns:a="http://schemas.openxmlformats.org/drawingml/2006/main">
          <a:off x="4391204" y="401802"/>
          <a:ext cx="187123" cy="298290"/>
        </a:xfrm>
        <a:prstGeom xmlns:a="http://schemas.openxmlformats.org/drawingml/2006/main" prst="rightBrace">
          <a:avLst/>
        </a:prstGeom>
        <a:ln xmlns:a="http://schemas.openxmlformats.org/drawingml/2006/main">
          <a:solidFill>
            <a:schemeClr val="tx1"/>
          </a:solidFill>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tx1"/>
              </a:solidFill>
              <a:latin typeface="+mn-lt"/>
              <a:ea typeface="+mn-ea"/>
              <a:cs typeface="+mn-cs"/>
            </a:defRPr>
          </a:lvl1pPr>
          <a:lvl2pPr marL="457200" indent="0">
            <a:defRPr sz="1100">
              <a:solidFill>
                <a:schemeClr val="tx1"/>
              </a:solidFill>
              <a:latin typeface="+mn-lt"/>
              <a:ea typeface="+mn-ea"/>
              <a:cs typeface="+mn-cs"/>
            </a:defRPr>
          </a:lvl2pPr>
          <a:lvl3pPr marL="914400" indent="0">
            <a:defRPr sz="1100">
              <a:solidFill>
                <a:schemeClr val="tx1"/>
              </a:solidFill>
              <a:latin typeface="+mn-lt"/>
              <a:ea typeface="+mn-ea"/>
              <a:cs typeface="+mn-cs"/>
            </a:defRPr>
          </a:lvl3pPr>
          <a:lvl4pPr marL="1371600" indent="0">
            <a:defRPr sz="1100">
              <a:solidFill>
                <a:schemeClr val="tx1"/>
              </a:solidFill>
              <a:latin typeface="+mn-lt"/>
              <a:ea typeface="+mn-ea"/>
              <a:cs typeface="+mn-cs"/>
            </a:defRPr>
          </a:lvl4pPr>
          <a:lvl5pPr marL="1828800" indent="0">
            <a:defRPr sz="1100">
              <a:solidFill>
                <a:schemeClr val="tx1"/>
              </a:solidFill>
              <a:latin typeface="+mn-lt"/>
              <a:ea typeface="+mn-ea"/>
              <a:cs typeface="+mn-cs"/>
            </a:defRPr>
          </a:lvl5pPr>
          <a:lvl6pPr marL="2286000" indent="0">
            <a:defRPr sz="1100">
              <a:solidFill>
                <a:schemeClr val="tx1"/>
              </a:solidFill>
              <a:latin typeface="+mn-lt"/>
              <a:ea typeface="+mn-ea"/>
              <a:cs typeface="+mn-cs"/>
            </a:defRPr>
          </a:lvl6pPr>
          <a:lvl7pPr marL="2743200" indent="0">
            <a:defRPr sz="1100">
              <a:solidFill>
                <a:schemeClr val="tx1"/>
              </a:solidFill>
              <a:latin typeface="+mn-lt"/>
              <a:ea typeface="+mn-ea"/>
              <a:cs typeface="+mn-cs"/>
            </a:defRPr>
          </a:lvl7pPr>
          <a:lvl8pPr marL="3200400" indent="0">
            <a:defRPr sz="1100">
              <a:solidFill>
                <a:schemeClr val="tx1"/>
              </a:solidFill>
              <a:latin typeface="+mn-lt"/>
              <a:ea typeface="+mn-ea"/>
              <a:cs typeface="+mn-cs"/>
            </a:defRPr>
          </a:lvl8pPr>
          <a:lvl9pPr marL="3657600" indent="0">
            <a:defRPr sz="1100">
              <a:solidFill>
                <a:schemeClr val="tx1"/>
              </a:solidFill>
              <a:latin typeface="+mn-lt"/>
              <a:ea typeface="+mn-ea"/>
              <a:cs typeface="+mn-cs"/>
            </a:defRPr>
          </a:lvl9pPr>
        </a:lstStyle>
        <a:p xmlns:a="http://schemas.openxmlformats.org/drawingml/2006/main">
          <a:pPr algn="l"/>
          <a:endParaRPr lang="es-ES_tradnl" sz="1100"/>
        </a:p>
      </cdr:txBody>
    </cdr:sp>
  </cdr:relSizeAnchor>
</c:userShapes>
</file>

<file path=xl/drawings/drawing8.xml><?xml version="1.0" encoding="utf-8"?>
<c:userShapes xmlns:c="http://schemas.openxmlformats.org/drawingml/2006/chart">
  <cdr:relSizeAnchor xmlns:cdr="http://schemas.openxmlformats.org/drawingml/2006/chartDrawing">
    <cdr:from>
      <cdr:x>0.7011</cdr:x>
      <cdr:y>0.10954</cdr:y>
    </cdr:from>
    <cdr:to>
      <cdr:x>0.99079</cdr:x>
      <cdr:y>0.22158</cdr:y>
    </cdr:to>
    <cdr:sp macro="" textlink="">
      <cdr:nvSpPr>
        <cdr:cNvPr id="2" name="TextBox 1"/>
        <cdr:cNvSpPr txBox="1"/>
      </cdr:nvSpPr>
      <cdr:spPr>
        <a:xfrm xmlns:a="http://schemas.openxmlformats.org/drawingml/2006/main">
          <a:off x="4523731" y="348166"/>
          <a:ext cx="1869152" cy="35610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s-ES_tradnl" sz="1000" b="1">
              <a:latin typeface="Times New Roman" panose="02020603050405020304" pitchFamily="18" charset="0"/>
              <a:cs typeface="Times New Roman" panose="02020603050405020304" pitchFamily="18" charset="0"/>
            </a:rPr>
            <a:t>Job security provisions</a:t>
          </a:r>
        </a:p>
      </cdr:txBody>
    </cdr:sp>
  </cdr:relSizeAnchor>
</c:userShapes>
</file>

<file path=xl/drawings/drawing9.xml><?xml version="1.0" encoding="utf-8"?>
<xdr:wsDr xmlns:xdr="http://schemas.openxmlformats.org/drawingml/2006/spreadsheetDrawing" xmlns:a="http://schemas.openxmlformats.org/drawingml/2006/main">
  <xdr:twoCellAnchor>
    <xdr:from>
      <xdr:col>4</xdr:col>
      <xdr:colOff>356012</xdr:colOff>
      <xdr:row>4</xdr:row>
      <xdr:rowOff>56030</xdr:rowOff>
    </xdr:from>
    <xdr:to>
      <xdr:col>16</xdr:col>
      <xdr:colOff>135020</xdr:colOff>
      <xdr:row>22</xdr:row>
      <xdr:rowOff>112058</xdr:rowOff>
    </xdr:to>
    <xdr:graphicFrame macro="">
      <xdr:nvGraphicFramePr>
        <xdr:cNvPr id="3" name="Chart 2">
          <a:extLst>
            <a:ext uri="{FF2B5EF4-FFF2-40B4-BE49-F238E27FC236}">
              <a16:creationId xmlns:a16="http://schemas.microsoft.com/office/drawing/2014/main" id="{00000000-0008-0000-08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Minaya Auri Melissa" id="{FF9CA40A-56B6-45A9-BFD2-D5939090AC81}" userId="S::AURIM@iadb.org::c8193acd-3427-45be-b781-3280814b008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DD9A048-001A-4F83-82D5-9AB8FF0486A8}" name="Table1" displayName="Table1" ref="A4:D23" totalsRowShown="0" headerRowDxfId="6" dataDxfId="4" headerRowBorderDxfId="5" dataCellStyle="Percent">
  <autoFilter ref="A4:D23" xr:uid="{2DD9A048-001A-4F83-82D5-9AB8FF0486A8}"/>
  <tableColumns count="4">
    <tableColumn id="1" xr3:uid="{7264C766-7A25-4CF5-8A8A-4AA70256F4A6}" name="Country" dataDxfId="3"/>
    <tableColumn id="2" xr3:uid="{207157B3-2983-4192-8836-5E3A258A5C41}" name="2013" dataDxfId="2" dataCellStyle="Percent"/>
    <tableColumn id="3" xr3:uid="{32931516-A10F-4286-9522-8A4ACC8CF55C}" name="2023" dataDxfId="1" dataCellStyle="Percent"/>
    <tableColumn id="4" xr3:uid="{A0B315E4-3663-45C1-84EE-745533A650A0}" name="2025 (projected)" dataDxfId="0" dataCellStyle="Percent"/>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K72" dT="2025-03-10T17:06:43.35" personId="{FF9CA40A-56B6-45A9-BFD2-D5939090AC81}" id="{328A52C9-7953-4671-B2E4-351D7D5A465B}">
    <text>Excludes Nicaragua</text>
  </threadedComment>
</ThreadedComments>
</file>

<file path=xl/threadedComments/threadedComment2.xml><?xml version="1.0" encoding="utf-8"?>
<ThreadedComments xmlns="http://schemas.microsoft.com/office/spreadsheetml/2018/threadedcomments" xmlns:x="http://schemas.openxmlformats.org/spreadsheetml/2006/main">
  <threadedComment ref="L41" dT="2025-03-10T17:01:49.92" personId="{FF9CA40A-56B6-45A9-BFD2-D5939090AC81}" id="{D2803BA6-A10F-48A7-ABEA-28B0DFDE7DAA}">
    <text>Does not include Nicaragua</text>
  </threadedComment>
</ThreadedComments>
</file>

<file path=xl/threadedComments/threadedComment3.xml><?xml version="1.0" encoding="utf-8"?>
<ThreadedComments xmlns="http://schemas.microsoft.com/office/spreadsheetml/2018/threadedcomments" xmlns:x="http://schemas.openxmlformats.org/spreadsheetml/2006/main">
  <threadedComment ref="S108" dT="2025-03-10T17:01:49.92" personId="{FF9CA40A-56B6-45A9-BFD2-D5939090AC81}" id="{563E3DF4-3407-4B30-9B84-1C979BE22931}">
    <text>Does not include Nicaragua</text>
  </threadedComment>
</ThreadedComments>
</file>

<file path=xl/threadedComments/threadedComment4.xml><?xml version="1.0" encoding="utf-8"?>
<ThreadedComments xmlns="http://schemas.microsoft.com/office/spreadsheetml/2018/threadedcomments" xmlns:x="http://schemas.openxmlformats.org/spreadsheetml/2006/main">
  <threadedComment ref="H12" dT="2025-03-13T15:11:23.54" personId="{FF9CA40A-56B6-45A9-BFD2-D5939090AC81}" id="{CDFBFCBB-DA11-47FD-A903-84A73C08FBA0}">
    <text>Incluye fondo del reserva para el trabajador.</text>
  </threadedComment>
</ThreadedComments>
</file>

<file path=xl/threadedComments/threadedComment5.xml><?xml version="1.0" encoding="utf-8"?>
<ThreadedComments xmlns="http://schemas.microsoft.com/office/spreadsheetml/2018/threadedcomments" xmlns:x="http://schemas.openxmlformats.org/spreadsheetml/2006/main">
  <threadedComment ref="L8" dT="2025-02-20T18:13:52.50" personId="{FF9CA40A-56B6-45A9-BFD2-D5939090AC81}" id="{14554B3D-9DD2-4DC0-9E1F-79158369A3BE}">
    <text>https://www.pluxee.pa/blog/prima-antiguedad-panama/</text>
    <extLst>
      <x:ext xmlns:xltc2="http://schemas.microsoft.com/office/spreadsheetml/2020/threadedcomments2" uri="{F7C98A9C-CBB3-438F-8F68-D28B6AF4A901}">
        <xltc2:checksum>557622876</xltc2:checksum>
        <xltc2:hyperlink startIndex="0" length="51" url="https://www.pluxee.pa/blog/prima-antiguedad-panama/"/>
      </x:ext>
    </extLst>
  </threadedComment>
  <threadedComment ref="L10" dT="2025-02-20T17:48:47.67" personId="{FF9CA40A-56B6-45A9-BFD2-D5939090AC81}" id="{2154AEEC-9336-4F3A-A4DF-1416E3A8355C}">
    <text xml:space="preserve">Se llama ‘Fondo de Recapacitación Laboral’: Fondo de ahorro depositado en cuentas individuales a nombre del trabajador </text>
  </threadedComment>
  <threadedComment ref="L17" dT="2025-02-20T17:50:02.74" personId="{FF9CA40A-56B6-45A9-BFD2-D5939090AC81}" id="{C78CD87E-E579-4D65-8D37-27243A588348}">
    <text xml:space="preserve">La nota de costos laborales 2013 no tenía esto, pendiente arreglar. </text>
  </threadedComment>
  <threadedComment ref="M42" dT="2025-02-20T16:19:07.16" personId="{FF9CA40A-56B6-45A9-BFD2-D5939090AC81}" id="{434EDC8F-36DA-4B4D-B741-5B4690F67D57}">
    <text>Source: https://www.imf.org/external/pubs/ft/scr/2014/cr14316.pdf</text>
    <extLst>
      <x:ext xmlns:xltc2="http://schemas.microsoft.com/office/spreadsheetml/2020/threadedcomments2" uri="{F7C98A9C-CBB3-438F-8F68-D28B6AF4A901}">
        <xltc2:checksum>2284263152</xltc2:checksum>
        <xltc2:hyperlink startIndex="8" length="57" url="https://www.imf.org/external/pubs/ft/scr/2014/cr14316.pdf"/>
      </x:ext>
    </extLst>
  </threadedComment>
</ThreadedComments>
</file>

<file path=xl/threadedComments/threadedComment6.xml><?xml version="1.0" encoding="utf-8"?>
<ThreadedComments xmlns="http://schemas.microsoft.com/office/spreadsheetml/2018/threadedcomments" xmlns:x="http://schemas.openxmlformats.org/spreadsheetml/2006/main">
  <threadedComment ref="L50" dT="2025-03-10T17:01:49.92" personId="{FF9CA40A-56B6-45A9-BFD2-D5939090AC81}" id="{727CEB9B-2499-44AA-8BE5-193D0E9FC91B}">
    <text>Does not include Nicaragua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5.xml"/><Relationship Id="rId1" Type="http://schemas.openxmlformats.org/officeDocument/2006/relationships/printerSettings" Target="../printerSettings/printerSettings6.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7.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8.bin"/></Relationships>
</file>

<file path=xl/worksheets/_rels/sheet18.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2.xml"/><Relationship Id="rId1" Type="http://schemas.openxmlformats.org/officeDocument/2006/relationships/printerSettings" Target="../printerSettings/printerSettings9.bin"/><Relationship Id="rId5" Type="http://schemas.microsoft.com/office/2017/10/relationships/threadedComment" Target="../threadedComments/threadedComment2.xml"/><Relationship Id="rId4" Type="http://schemas.openxmlformats.org/officeDocument/2006/relationships/comments" Target="../comments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10.bin"/></Relationships>
</file>

<file path=xl/worksheets/_rels/sheet2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7.xml"/><Relationship Id="rId1" Type="http://schemas.openxmlformats.org/officeDocument/2006/relationships/printerSettings" Target="../printerSettings/printerSettings11.bin"/><Relationship Id="rId5" Type="http://schemas.microsoft.com/office/2017/10/relationships/threadedComment" Target="../threadedComments/threadedComment3.xml"/><Relationship Id="rId4" Type="http://schemas.openxmlformats.org/officeDocument/2006/relationships/comments" Target="../comments3.xml"/></Relationships>
</file>

<file path=xl/worksheets/_rels/sheet28.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8.xml"/><Relationship Id="rId1" Type="http://schemas.openxmlformats.org/officeDocument/2006/relationships/printerSettings" Target="../printerSettings/printerSettings12.bin"/><Relationship Id="rId5" Type="http://schemas.microsoft.com/office/2017/10/relationships/threadedComment" Target="../threadedComments/threadedComment4.xml"/><Relationship Id="rId4" Type="http://schemas.openxmlformats.org/officeDocument/2006/relationships/comments" Target="../comments4.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33.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hyperlink" Target="https://www.ssa.gov/policy/docs/progdesc/ssptw/2012-2013/americas/ssptw13americas.pdf" TargetMode="External"/><Relationship Id="rId1" Type="http://schemas.openxmlformats.org/officeDocument/2006/relationships/hyperlink" Target="https://www.ssa.gov/policy/docs/progdesc/ssptw/2012-2013/americas/ssptw13americas.pdf" TargetMode="External"/><Relationship Id="rId6" Type="http://schemas.microsoft.com/office/2017/10/relationships/threadedComment" Target="../threadedComments/threadedComment5.xml"/><Relationship Id="rId5" Type="http://schemas.openxmlformats.org/officeDocument/2006/relationships/comments" Target="../comments5.xml"/><Relationship Id="rId4" Type="http://schemas.openxmlformats.org/officeDocument/2006/relationships/vmlDrawing" Target="../drawings/vmlDrawing5.vml"/></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39.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30.xml"/><Relationship Id="rId1" Type="http://schemas.openxmlformats.org/officeDocument/2006/relationships/printerSettings" Target="../printerSettings/printerSettings17.bin"/><Relationship Id="rId5" Type="http://schemas.microsoft.com/office/2017/10/relationships/threadedComment" Target="../threadedComments/threadedComment6.xml"/><Relationship Id="rId4" Type="http://schemas.openxmlformats.org/officeDocument/2006/relationships/comments" Target="../comments6.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0.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18.bin"/></Relationships>
</file>

<file path=xl/worksheets/_rels/sheet43.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19.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drawing" Target="../drawings/drawing9.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W53"/>
  <sheetViews>
    <sheetView workbookViewId="0"/>
  </sheetViews>
  <sheetFormatPr defaultColWidth="9.1796875" defaultRowHeight="14.5" x14ac:dyDescent="0.35"/>
  <cols>
    <col min="2" max="2" width="14.1796875" customWidth="1"/>
    <col min="3" max="3" width="14.36328125" customWidth="1"/>
    <col min="4" max="4" width="10.81640625" customWidth="1"/>
    <col min="7" max="7" width="10.54296875" customWidth="1"/>
    <col min="8" max="8" width="9.1796875" customWidth="1"/>
  </cols>
  <sheetData>
    <row r="1" spans="1:9" x14ac:dyDescent="0.35">
      <c r="A1" s="5" t="s">
        <v>0</v>
      </c>
    </row>
    <row r="2" spans="1:9" x14ac:dyDescent="0.35">
      <c r="A2" s="6" t="s">
        <v>1</v>
      </c>
    </row>
    <row r="3" spans="1:9" x14ac:dyDescent="0.35">
      <c r="A3" s="905"/>
      <c r="B3" s="911" t="s">
        <v>2</v>
      </c>
      <c r="C3" s="911" t="s">
        <v>3</v>
      </c>
      <c r="D3" s="911" t="s">
        <v>4</v>
      </c>
      <c r="E3" s="911" t="s">
        <v>5</v>
      </c>
      <c r="F3" s="915" t="s">
        <v>6</v>
      </c>
      <c r="G3" s="915"/>
      <c r="H3" s="911" t="s">
        <v>7</v>
      </c>
      <c r="I3" s="911" t="s">
        <v>8</v>
      </c>
    </row>
    <row r="4" spans="1:9" ht="36" customHeight="1" x14ac:dyDescent="0.35">
      <c r="A4" s="906"/>
      <c r="B4" s="912"/>
      <c r="C4" s="912"/>
      <c r="D4" s="912"/>
      <c r="E4" s="912"/>
      <c r="F4" s="459" t="s">
        <v>9</v>
      </c>
      <c r="G4" s="459" t="s">
        <v>10</v>
      </c>
      <c r="H4" s="912"/>
      <c r="I4" s="912"/>
    </row>
    <row r="5" spans="1:9" x14ac:dyDescent="0.35">
      <c r="A5" s="193" t="s">
        <v>11</v>
      </c>
      <c r="B5" s="91">
        <v>0.20156716417910442</v>
      </c>
      <c r="C5" s="91">
        <v>0.28328358208955223</v>
      </c>
      <c r="D5" s="91">
        <v>3.888888888888889E-2</v>
      </c>
      <c r="E5" s="91">
        <v>8.3333333333333329E-2</v>
      </c>
      <c r="F5" s="91">
        <v>8.3333333333333343E-2</v>
      </c>
      <c r="G5" s="91">
        <v>3.3333333333333395E-2</v>
      </c>
      <c r="H5" s="342">
        <v>0.72373963515754569</v>
      </c>
      <c r="I5" s="91">
        <v>0.47017304158000767</v>
      </c>
    </row>
    <row r="6" spans="1:9" x14ac:dyDescent="0.35">
      <c r="A6" t="s">
        <v>12</v>
      </c>
      <c r="B6" s="3">
        <v>9.3343162397179269E-2</v>
      </c>
      <c r="C6" s="3">
        <v>0.3410251320446358</v>
      </c>
      <c r="D6" s="3">
        <v>0.1111111111111111</v>
      </c>
      <c r="E6" s="3">
        <v>8.3333333333333329E-2</v>
      </c>
      <c r="F6" s="3">
        <v>3.2000000000000001E-2</v>
      </c>
      <c r="G6" s="3">
        <v>2.33333333333334E-2</v>
      </c>
      <c r="H6" s="1">
        <v>0.684146072219593</v>
      </c>
      <c r="I6" s="3">
        <v>0.47017304158000767</v>
      </c>
    </row>
    <row r="7" spans="1:9" x14ac:dyDescent="0.35">
      <c r="A7" t="s">
        <v>13</v>
      </c>
      <c r="B7" s="3">
        <v>0.12709999999999999</v>
      </c>
      <c r="C7" s="3">
        <v>0.16710000000000003</v>
      </c>
      <c r="D7" s="3">
        <v>5.5555555555555552E-2</v>
      </c>
      <c r="E7" s="3">
        <v>0.16666666666666666</v>
      </c>
      <c r="F7" s="3">
        <v>8.3333333333333398E-2</v>
      </c>
      <c r="G7" s="3">
        <v>0.05</v>
      </c>
      <c r="H7" s="1">
        <v>0.64975555555555564</v>
      </c>
      <c r="I7" s="3">
        <v>0.47017304158000767</v>
      </c>
    </row>
    <row r="8" spans="1:9" x14ac:dyDescent="0.35">
      <c r="A8" t="s">
        <v>14</v>
      </c>
      <c r="B8" s="3">
        <v>0.1999489427672575</v>
      </c>
      <c r="C8" s="3">
        <v>0.19525000000000001</v>
      </c>
      <c r="D8" s="3">
        <v>5.8333333333333334E-2</v>
      </c>
      <c r="E8" s="3">
        <v>8.3333333333333329E-2</v>
      </c>
      <c r="F8" s="3">
        <v>9.9444444444444446E-2</v>
      </c>
      <c r="G8" s="3">
        <v>0</v>
      </c>
      <c r="H8" s="1">
        <v>0.6363100538783687</v>
      </c>
      <c r="I8" s="3">
        <v>0.47017304158000767</v>
      </c>
    </row>
    <row r="9" spans="1:9" x14ac:dyDescent="0.35">
      <c r="A9" t="s">
        <v>15</v>
      </c>
      <c r="B9" s="3">
        <v>7.6417910447761195E-2</v>
      </c>
      <c r="C9" s="3">
        <v>0.35926895522388058</v>
      </c>
      <c r="D9" s="3">
        <v>4.1666666666666664E-2</v>
      </c>
      <c r="E9" s="3">
        <v>8.3333333333333329E-2</v>
      </c>
      <c r="F9" s="3">
        <v>6.1111111111111206E-2</v>
      </c>
      <c r="G9" s="3">
        <v>4.1666666666666666E-3</v>
      </c>
      <c r="H9" s="1">
        <v>0.62596464344941971</v>
      </c>
      <c r="I9" s="3">
        <v>0.47017304158000767</v>
      </c>
    </row>
    <row r="10" spans="1:9" x14ac:dyDescent="0.35">
      <c r="A10" t="s">
        <v>16</v>
      </c>
      <c r="B10" s="3">
        <v>9.7500000000000003E-2</v>
      </c>
      <c r="C10" s="3">
        <v>7.2224999999999998E-2</v>
      </c>
      <c r="D10" s="3">
        <v>8.3333333333333329E-2</v>
      </c>
      <c r="E10" s="3">
        <v>0.16666666666666666</v>
      </c>
      <c r="F10" s="3">
        <v>0.125</v>
      </c>
      <c r="G10" s="3">
        <v>0</v>
      </c>
      <c r="H10" s="1">
        <v>0.54472500000000001</v>
      </c>
      <c r="I10" s="3">
        <v>0.47017304158000767</v>
      </c>
    </row>
    <row r="11" spans="1:9" x14ac:dyDescent="0.35">
      <c r="A11" t="s">
        <v>17</v>
      </c>
      <c r="B11" s="3">
        <v>0.11309016393442625</v>
      </c>
      <c r="C11" s="3">
        <v>0.13097745901639346</v>
      </c>
      <c r="D11" s="3">
        <v>4.1666666666666664E-2</v>
      </c>
      <c r="E11" s="3">
        <v>0.13271380530798838</v>
      </c>
      <c r="F11" s="3">
        <v>8.3333333333333343E-2</v>
      </c>
      <c r="G11" s="3">
        <v>0</v>
      </c>
      <c r="H11" s="1">
        <v>0.50178142825880812</v>
      </c>
      <c r="I11" s="3">
        <v>0.47017304158000767</v>
      </c>
    </row>
    <row r="12" spans="1:9" x14ac:dyDescent="0.35">
      <c r="A12" t="s">
        <v>18</v>
      </c>
      <c r="B12" s="3">
        <v>7.4933955223880605E-2</v>
      </c>
      <c r="C12" s="3">
        <v>0.2138518656716418</v>
      </c>
      <c r="D12" s="3">
        <v>3.888888888888889E-2</v>
      </c>
      <c r="E12" s="3">
        <v>8.3333333333333329E-2</v>
      </c>
      <c r="F12" s="3">
        <v>5.8999999999999997E-2</v>
      </c>
      <c r="G12" s="3">
        <v>1.6666666666666659E-2</v>
      </c>
      <c r="H12" s="1">
        <v>0.48667470978441124</v>
      </c>
      <c r="I12" s="3">
        <v>0.47017304158000767</v>
      </c>
    </row>
    <row r="13" spans="1:9" x14ac:dyDescent="0.35">
      <c r="A13" t="s">
        <v>19</v>
      </c>
      <c r="B13" s="3">
        <v>0.11111940298507461</v>
      </c>
      <c r="C13" s="3">
        <v>0.13923528358208956</v>
      </c>
      <c r="D13" s="3">
        <v>8.3333333333333329E-2</v>
      </c>
      <c r="E13" s="3">
        <v>8.3333333333333329E-2</v>
      </c>
      <c r="F13" s="3">
        <v>6.6111111111111204E-2</v>
      </c>
      <c r="G13" s="3">
        <v>0</v>
      </c>
      <c r="H13" s="1">
        <v>0.48313246434494206</v>
      </c>
      <c r="I13" s="3">
        <v>0.47017304158000767</v>
      </c>
    </row>
    <row r="14" spans="1:9" x14ac:dyDescent="0.35">
      <c r="A14" t="s">
        <v>20</v>
      </c>
      <c r="B14" s="3">
        <v>9.8059701492537302E-2</v>
      </c>
      <c r="C14" s="3">
        <v>0.16343283582089554</v>
      </c>
      <c r="D14" s="3">
        <v>3.3333333333333333E-2</v>
      </c>
      <c r="E14" s="3">
        <v>8.3333333333333329E-2</v>
      </c>
      <c r="F14" s="3">
        <v>4.1666666666666602E-2</v>
      </c>
      <c r="G14" s="3">
        <v>2.5000000000000001E-2</v>
      </c>
      <c r="H14" s="1">
        <v>0.44482587064676615</v>
      </c>
      <c r="I14" s="3">
        <v>0.47017304158000767</v>
      </c>
    </row>
    <row r="15" spans="1:9" x14ac:dyDescent="0.35">
      <c r="A15" t="s">
        <v>21</v>
      </c>
      <c r="B15" s="3">
        <v>3.8725000000000002E-2</v>
      </c>
      <c r="C15" s="3">
        <v>0.10752500000000001</v>
      </c>
      <c r="D15" s="3">
        <v>4.1666666666666664E-2</v>
      </c>
      <c r="E15" s="3">
        <v>0.16666666666666666</v>
      </c>
      <c r="F15" s="3">
        <v>8.3333333333333343E-2</v>
      </c>
      <c r="G15" s="3">
        <v>0</v>
      </c>
      <c r="H15" s="1">
        <v>0.43791666666666673</v>
      </c>
      <c r="I15" s="3">
        <v>0.47017304158000767</v>
      </c>
    </row>
    <row r="16" spans="1:9" x14ac:dyDescent="0.35">
      <c r="A16" t="s">
        <v>22</v>
      </c>
      <c r="B16" s="3">
        <v>5.5447761194029846E-2</v>
      </c>
      <c r="C16" s="3">
        <v>0.15749999999999997</v>
      </c>
      <c r="D16" s="3">
        <v>5.2777777777777778E-2</v>
      </c>
      <c r="E16" s="3">
        <v>8.3333333333333329E-2</v>
      </c>
      <c r="F16" s="3">
        <v>8.3333333333333343E-2</v>
      </c>
      <c r="G16" s="3">
        <v>0</v>
      </c>
      <c r="H16" s="1">
        <v>0.43239220563847425</v>
      </c>
      <c r="I16" s="3">
        <v>0.47017304158000767</v>
      </c>
    </row>
    <row r="17" spans="1:23" x14ac:dyDescent="0.35">
      <c r="A17" t="s">
        <v>23</v>
      </c>
      <c r="B17" s="3">
        <v>4.6875E-2</v>
      </c>
      <c r="C17" s="3">
        <v>0.1417910447761194</v>
      </c>
      <c r="D17" s="3">
        <v>8.3333333333333329E-2</v>
      </c>
      <c r="E17" s="3">
        <v>8.3333333333333329E-2</v>
      </c>
      <c r="F17" s="3">
        <v>7.2222222222222215E-2</v>
      </c>
      <c r="G17" s="3">
        <v>0</v>
      </c>
      <c r="H17" s="1">
        <v>0.4275549336650083</v>
      </c>
      <c r="I17" s="3">
        <v>0.47017304158000767</v>
      </c>
    </row>
    <row r="18" spans="1:23" x14ac:dyDescent="0.35">
      <c r="A18" t="s">
        <v>24</v>
      </c>
      <c r="B18" s="3">
        <v>2.631684824878975E-2</v>
      </c>
      <c r="C18" s="3">
        <v>0.21273418204389907</v>
      </c>
      <c r="D18" s="3">
        <v>3.888888888888889E-2</v>
      </c>
      <c r="E18" s="3">
        <v>4.1666666666666664E-2</v>
      </c>
      <c r="F18" s="3">
        <v>0.10555555555555556</v>
      </c>
      <c r="G18" s="3">
        <v>0</v>
      </c>
      <c r="H18" s="1">
        <v>0.42516214140379993</v>
      </c>
      <c r="I18" s="3">
        <v>0.47017304158000767</v>
      </c>
    </row>
    <row r="19" spans="1:23" x14ac:dyDescent="0.35">
      <c r="A19" t="s">
        <v>25</v>
      </c>
      <c r="B19" s="3">
        <v>8.9110480164062547E-2</v>
      </c>
      <c r="C19" s="3">
        <v>0.14402620041015635</v>
      </c>
      <c r="D19" s="3">
        <v>6.6666666666666666E-2</v>
      </c>
      <c r="E19" s="3">
        <v>4.1666666666666664E-2</v>
      </c>
      <c r="F19" s="3">
        <v>8.3333333333333343E-2</v>
      </c>
      <c r="G19" s="3">
        <v>0</v>
      </c>
      <c r="H19" s="1">
        <v>0.42480334724088553</v>
      </c>
      <c r="I19" s="3">
        <v>0.47017304158000767</v>
      </c>
    </row>
    <row r="20" spans="1:23" x14ac:dyDescent="0.35">
      <c r="A20" t="s">
        <v>26</v>
      </c>
      <c r="B20" s="3">
        <v>4.8702985074626864E-2</v>
      </c>
      <c r="C20" s="3">
        <v>0.13573116776012031</v>
      </c>
      <c r="D20" s="3">
        <v>0.05</v>
      </c>
      <c r="E20" s="3">
        <v>8.3333333333333329E-2</v>
      </c>
      <c r="F20" s="3">
        <v>6.3888888888888884E-2</v>
      </c>
      <c r="G20" s="3">
        <v>1.5555555555555562E-2</v>
      </c>
      <c r="H20" s="1">
        <v>0.39721193061252491</v>
      </c>
      <c r="I20" s="3">
        <v>0.47017304158000767</v>
      </c>
    </row>
    <row r="21" spans="1:23" x14ac:dyDescent="0.35">
      <c r="A21" t="s">
        <v>27</v>
      </c>
      <c r="B21" s="3">
        <v>2.3739741707387369E-2</v>
      </c>
      <c r="C21" s="3">
        <v>4.6055098912331498E-2</v>
      </c>
      <c r="D21" s="3">
        <v>5.5555555555555552E-2</v>
      </c>
      <c r="E21" s="3">
        <v>0.16666666666666666</v>
      </c>
      <c r="F21" s="3">
        <v>8.3333333333333343E-2</v>
      </c>
      <c r="G21" s="3">
        <v>1.6666666666666659E-2</v>
      </c>
      <c r="H21" s="1">
        <v>0.3920170628419411</v>
      </c>
      <c r="I21" s="3">
        <v>0.47017304158000767</v>
      </c>
    </row>
    <row r="22" spans="1:23" x14ac:dyDescent="0.35">
      <c r="A22" t="s">
        <v>28</v>
      </c>
      <c r="B22" s="3">
        <v>0.19078356181553863</v>
      </c>
      <c r="C22" s="3">
        <v>4.6100000000000002E-2</v>
      </c>
      <c r="D22" s="3">
        <v>4.1666666666666699E-2</v>
      </c>
      <c r="E22" s="3">
        <v>0</v>
      </c>
      <c r="F22" s="3">
        <v>8.3333333333333343E-2</v>
      </c>
      <c r="G22" s="3">
        <v>1.6666666666666666E-2</v>
      </c>
      <c r="H22" s="1">
        <v>0.37855022848220538</v>
      </c>
      <c r="I22" s="3">
        <v>0.47017304158000767</v>
      </c>
    </row>
    <row r="23" spans="1:23" x14ac:dyDescent="0.35">
      <c r="A23" t="s">
        <v>29</v>
      </c>
      <c r="B23" s="3">
        <v>6.6997479834238233E-2</v>
      </c>
      <c r="C23" s="3">
        <v>0.11999742840228392</v>
      </c>
      <c r="D23" s="3">
        <v>3.888888888888889E-2</v>
      </c>
      <c r="E23" s="3">
        <v>0</v>
      </c>
      <c r="F23" s="3">
        <v>3.888888888888889E-2</v>
      </c>
      <c r="G23" s="3">
        <v>1.5555555555555562E-2</v>
      </c>
      <c r="H23" s="1">
        <v>0.28032824156985547</v>
      </c>
      <c r="I23" s="3">
        <v>0.47017304158000767</v>
      </c>
    </row>
    <row r="24" spans="1:23" x14ac:dyDescent="0.35">
      <c r="A24" t="s">
        <v>30</v>
      </c>
      <c r="B24" s="3">
        <v>9.0069550010344293E-2</v>
      </c>
      <c r="C24" s="3">
        <v>0.10476030901090666</v>
      </c>
      <c r="D24" s="3">
        <v>0</v>
      </c>
      <c r="E24" s="3">
        <v>3.7433155080213901E-2</v>
      </c>
      <c r="F24" s="3">
        <v>3.8888888888888896E-2</v>
      </c>
      <c r="G24" s="3">
        <v>0</v>
      </c>
      <c r="H24" s="1">
        <v>0.27115190299035374</v>
      </c>
      <c r="I24" s="3">
        <v>0.47017304158000767</v>
      </c>
    </row>
    <row r="25" spans="1:23" x14ac:dyDescent="0.35">
      <c r="A25" s="176" t="s">
        <v>31</v>
      </c>
      <c r="B25" s="92">
        <v>4.7832083585207824E-2</v>
      </c>
      <c r="C25" s="92">
        <v>7.7724540107612206E-2</v>
      </c>
      <c r="D25" s="92">
        <v>0</v>
      </c>
      <c r="E25" s="92">
        <v>3.7433155080213901E-2</v>
      </c>
      <c r="F25" s="92">
        <v>6.25E-2</v>
      </c>
      <c r="G25" s="92">
        <v>0</v>
      </c>
      <c r="H25" s="194">
        <v>0.22548977877303394</v>
      </c>
      <c r="I25" s="92">
        <v>0.47017304158000767</v>
      </c>
      <c r="L25" s="8" t="s">
        <v>32</v>
      </c>
    </row>
    <row r="26" spans="1:23" ht="30" customHeight="1" x14ac:dyDescent="0.35">
      <c r="H26" s="2"/>
      <c r="L26" s="913" t="s">
        <v>33</v>
      </c>
      <c r="M26" s="913"/>
      <c r="N26" s="913"/>
      <c r="O26" s="913"/>
      <c r="P26" s="913"/>
      <c r="Q26" s="913"/>
      <c r="R26" s="913"/>
      <c r="S26" s="913"/>
      <c r="T26" s="913"/>
      <c r="U26" s="913"/>
      <c r="V26" s="913"/>
      <c r="W26" s="913"/>
    </row>
    <row r="27" spans="1:23" x14ac:dyDescent="0.35">
      <c r="H27" s="2"/>
    </row>
    <row r="28" spans="1:23" x14ac:dyDescent="0.35">
      <c r="A28" s="5" t="s">
        <v>0</v>
      </c>
      <c r="H28" s="2"/>
    </row>
    <row r="29" spans="1:23" x14ac:dyDescent="0.35">
      <c r="A29" s="6" t="s">
        <v>34</v>
      </c>
    </row>
    <row r="30" spans="1:23" x14ac:dyDescent="0.35">
      <c r="A30" s="907"/>
      <c r="B30" s="909" t="s">
        <v>2</v>
      </c>
      <c r="C30" s="909" t="s">
        <v>3</v>
      </c>
      <c r="D30" s="909" t="s">
        <v>4</v>
      </c>
      <c r="E30" s="909" t="s">
        <v>5</v>
      </c>
      <c r="F30" s="914" t="s">
        <v>6</v>
      </c>
      <c r="G30" s="914"/>
      <c r="H30" s="909" t="s">
        <v>7</v>
      </c>
      <c r="I30" s="909" t="s">
        <v>35</v>
      </c>
    </row>
    <row r="31" spans="1:23" x14ac:dyDescent="0.35">
      <c r="A31" s="908"/>
      <c r="B31" s="910"/>
      <c r="C31" s="910"/>
      <c r="D31" s="910"/>
      <c r="E31" s="910"/>
      <c r="F31" s="4" t="s">
        <v>36</v>
      </c>
      <c r="G31" s="4" t="s">
        <v>37</v>
      </c>
      <c r="H31" s="910"/>
      <c r="I31" s="910"/>
    </row>
    <row r="32" spans="1:23" x14ac:dyDescent="0.35">
      <c r="A32" s="193" t="s">
        <v>11</v>
      </c>
      <c r="B32" s="91">
        <v>0.20156716417910442</v>
      </c>
      <c r="C32" s="91">
        <v>0.28328358208955223</v>
      </c>
      <c r="D32" s="91">
        <v>3.888888888888889E-2</v>
      </c>
      <c r="E32" s="91">
        <v>8.3333333333333329E-2</v>
      </c>
      <c r="F32" s="91">
        <v>0.41666666666666674</v>
      </c>
      <c r="G32" s="91">
        <v>0.16666666666666696</v>
      </c>
      <c r="H32" s="342">
        <v>1.1904063018242126</v>
      </c>
      <c r="I32" s="91">
        <v>0.80300000000000005</v>
      </c>
      <c r="J32" s="7"/>
    </row>
    <row r="33" spans="1:10" x14ac:dyDescent="0.35">
      <c r="A33" t="s">
        <v>13</v>
      </c>
      <c r="B33" s="3">
        <v>0.12709999999999999</v>
      </c>
      <c r="C33" s="3">
        <v>0.16710000000000003</v>
      </c>
      <c r="D33" s="3">
        <v>5.5555555555555552E-2</v>
      </c>
      <c r="E33" s="3">
        <v>0.16666666666666666</v>
      </c>
      <c r="F33" s="3">
        <v>0.41666666666666696</v>
      </c>
      <c r="G33" s="3">
        <v>0.25</v>
      </c>
      <c r="H33" s="1">
        <v>1.1830888888888893</v>
      </c>
      <c r="I33" s="3">
        <v>0.80300000000000005</v>
      </c>
      <c r="J33" s="7"/>
    </row>
    <row r="34" spans="1:10" x14ac:dyDescent="0.35">
      <c r="A34" t="s">
        <v>16</v>
      </c>
      <c r="B34" s="3">
        <v>9.7500000000000003E-2</v>
      </c>
      <c r="C34" s="3">
        <v>7.2224999999999998E-2</v>
      </c>
      <c r="D34" s="3">
        <v>8.3333333333333329E-2</v>
      </c>
      <c r="E34" s="3">
        <v>0.16666666666666666</v>
      </c>
      <c r="F34" s="3">
        <v>0.625</v>
      </c>
      <c r="G34" s="3">
        <v>0</v>
      </c>
      <c r="H34" s="1">
        <v>1.0447250000000001</v>
      </c>
      <c r="I34" s="3">
        <v>0.80300000000000005</v>
      </c>
      <c r="J34" s="7"/>
    </row>
    <row r="35" spans="1:10" x14ac:dyDescent="0.35">
      <c r="A35" t="s">
        <v>14</v>
      </c>
      <c r="B35" s="3">
        <v>0.1999489427672575</v>
      </c>
      <c r="C35" s="3">
        <v>0.19525000000000001</v>
      </c>
      <c r="D35" s="3">
        <v>5.8333333333333334E-2</v>
      </c>
      <c r="E35" s="3">
        <v>8.3333333333333329E-2</v>
      </c>
      <c r="F35" s="3">
        <v>0.49722222222222223</v>
      </c>
      <c r="G35" s="3">
        <v>0</v>
      </c>
      <c r="H35" s="1">
        <v>1.0340878316561466</v>
      </c>
      <c r="I35" s="3">
        <v>0.80300000000000005</v>
      </c>
      <c r="J35" s="7"/>
    </row>
    <row r="36" spans="1:10" x14ac:dyDescent="0.35">
      <c r="A36" t="s">
        <v>12</v>
      </c>
      <c r="B36" s="3">
        <v>9.3343162397179269E-2</v>
      </c>
      <c r="C36" s="3">
        <v>0.3410251320446358</v>
      </c>
      <c r="D36" s="3">
        <v>0.1111111111111111</v>
      </c>
      <c r="E36" s="3">
        <v>8.3333333333333329E-2</v>
      </c>
      <c r="F36" s="3">
        <v>0.16</v>
      </c>
      <c r="G36" s="3">
        <v>0.116666666666667</v>
      </c>
      <c r="H36" s="1">
        <v>0.90547940555292661</v>
      </c>
      <c r="I36" s="3">
        <v>0.80300000000000005</v>
      </c>
      <c r="J36" s="7"/>
    </row>
    <row r="37" spans="1:10" x14ac:dyDescent="0.35">
      <c r="A37" t="s">
        <v>15</v>
      </c>
      <c r="B37" s="3">
        <v>7.6417910447761195E-2</v>
      </c>
      <c r="C37" s="3">
        <v>0.35926895522388058</v>
      </c>
      <c r="D37" s="3">
        <v>4.1666666666666664E-2</v>
      </c>
      <c r="E37" s="3">
        <v>8.3333333333333329E-2</v>
      </c>
      <c r="F37" s="3">
        <v>0.30555555555555602</v>
      </c>
      <c r="G37" s="3">
        <v>2.0833333333333332E-2</v>
      </c>
      <c r="H37" s="1">
        <v>0.88707575456053123</v>
      </c>
      <c r="I37" s="3">
        <v>0.80300000000000005</v>
      </c>
      <c r="J37" s="7"/>
    </row>
    <row r="38" spans="1:10" x14ac:dyDescent="0.35">
      <c r="A38" t="s">
        <v>24</v>
      </c>
      <c r="B38" s="3">
        <v>2.631684824878975E-2</v>
      </c>
      <c r="C38" s="3">
        <v>0.21273418204389907</v>
      </c>
      <c r="D38" s="3">
        <v>3.888888888888889E-2</v>
      </c>
      <c r="E38" s="3">
        <v>4.1666666666666664E-2</v>
      </c>
      <c r="F38" s="3">
        <v>0.52777777777777779</v>
      </c>
      <c r="G38" s="3">
        <v>0</v>
      </c>
      <c r="H38" s="1">
        <v>0.8473843636260221</v>
      </c>
      <c r="I38" s="3">
        <v>0.80300000000000005</v>
      </c>
      <c r="J38" s="7"/>
    </row>
    <row r="39" spans="1:10" x14ac:dyDescent="0.35">
      <c r="A39" t="s">
        <v>17</v>
      </c>
      <c r="B39" s="3">
        <v>0.11309016393442625</v>
      </c>
      <c r="C39" s="3">
        <v>0.13097745901639346</v>
      </c>
      <c r="D39" s="3">
        <v>4.1666666666666664E-2</v>
      </c>
      <c r="E39" s="3">
        <v>0.13271380530798838</v>
      </c>
      <c r="F39" s="3">
        <v>0.41666666666666674</v>
      </c>
      <c r="G39" s="3">
        <v>0</v>
      </c>
      <c r="H39" s="1">
        <v>0.83511476159214149</v>
      </c>
      <c r="I39" s="3">
        <v>0.80300000000000005</v>
      </c>
      <c r="J39" s="7"/>
    </row>
    <row r="40" spans="1:10" x14ac:dyDescent="0.35">
      <c r="A40" t="s">
        <v>27</v>
      </c>
      <c r="B40" s="3">
        <v>2.3739741707387369E-2</v>
      </c>
      <c r="C40" s="3">
        <v>4.6055098912331498E-2</v>
      </c>
      <c r="D40" s="3">
        <v>5.5555555555555552E-2</v>
      </c>
      <c r="E40" s="3">
        <v>0.16666666666666666</v>
      </c>
      <c r="F40" s="3">
        <v>0.41666666666666674</v>
      </c>
      <c r="G40" s="3">
        <v>8.3333333333333301E-2</v>
      </c>
      <c r="H40" s="1">
        <v>0.79201706284194107</v>
      </c>
      <c r="I40" s="3">
        <v>0.80300000000000005</v>
      </c>
      <c r="J40" s="7"/>
    </row>
    <row r="41" spans="1:10" x14ac:dyDescent="0.35">
      <c r="A41" t="s">
        <v>18</v>
      </c>
      <c r="B41" s="3">
        <v>7.4933955223880605E-2</v>
      </c>
      <c r="C41" s="3">
        <v>0.2138518656716418</v>
      </c>
      <c r="D41" s="3">
        <v>3.888888888888889E-2</v>
      </c>
      <c r="E41" s="3">
        <v>8.3333333333333329E-2</v>
      </c>
      <c r="F41" s="3">
        <v>0.29499999999999998</v>
      </c>
      <c r="G41" s="3">
        <v>8.3333333333333301E-2</v>
      </c>
      <c r="H41" s="1">
        <v>0.78934137645107783</v>
      </c>
      <c r="I41" s="3">
        <v>0.80300000000000005</v>
      </c>
      <c r="J41" s="7"/>
    </row>
    <row r="42" spans="1:10" x14ac:dyDescent="0.35">
      <c r="A42" t="s">
        <v>28</v>
      </c>
      <c r="B42" s="3">
        <v>0.19078356181553863</v>
      </c>
      <c r="C42" s="3">
        <v>4.6100000000000002E-2</v>
      </c>
      <c r="D42" s="3">
        <v>4.1666666666666699E-2</v>
      </c>
      <c r="E42" s="3">
        <v>0</v>
      </c>
      <c r="F42" s="3">
        <v>0.41666666666666674</v>
      </c>
      <c r="G42" s="3">
        <v>8.3333333333333329E-2</v>
      </c>
      <c r="H42" s="1">
        <v>0.77855022848220545</v>
      </c>
      <c r="I42" s="3">
        <v>0.80300000000000005</v>
      </c>
      <c r="J42" s="7"/>
    </row>
    <row r="43" spans="1:10" x14ac:dyDescent="0.35">
      <c r="A43" t="s">
        <v>21</v>
      </c>
      <c r="B43" s="3">
        <v>3.8725000000000002E-2</v>
      </c>
      <c r="C43" s="3">
        <v>0.10752500000000001</v>
      </c>
      <c r="D43" s="3">
        <v>4.1666666666666664E-2</v>
      </c>
      <c r="E43" s="3">
        <v>0.16666666666666666</v>
      </c>
      <c r="F43" s="3">
        <v>0.41666666666666674</v>
      </c>
      <c r="G43" s="3">
        <v>0</v>
      </c>
      <c r="H43" s="1">
        <v>0.7712500000000001</v>
      </c>
      <c r="I43" s="3">
        <v>0.80300000000000005</v>
      </c>
      <c r="J43" s="7"/>
    </row>
    <row r="44" spans="1:10" x14ac:dyDescent="0.35">
      <c r="A44" t="s">
        <v>22</v>
      </c>
      <c r="B44" s="3">
        <v>5.5447761194029846E-2</v>
      </c>
      <c r="C44" s="3">
        <v>0.15749999999999997</v>
      </c>
      <c r="D44" s="3">
        <v>5.2777777777777778E-2</v>
      </c>
      <c r="E44" s="3">
        <v>8.3333333333333329E-2</v>
      </c>
      <c r="F44" s="3">
        <v>0.41666666666666674</v>
      </c>
      <c r="G44" s="3">
        <v>0</v>
      </c>
      <c r="H44" s="1">
        <v>0.76572553897180762</v>
      </c>
      <c r="I44" s="3">
        <v>0.80300000000000005</v>
      </c>
      <c r="J44" s="7"/>
    </row>
    <row r="45" spans="1:10" x14ac:dyDescent="0.35">
      <c r="A45" t="s">
        <v>25</v>
      </c>
      <c r="B45" s="3">
        <v>8.9110480164062547E-2</v>
      </c>
      <c r="C45" s="3">
        <v>0.14402620041015635</v>
      </c>
      <c r="D45" s="3">
        <v>6.6666666666666666E-2</v>
      </c>
      <c r="E45" s="3">
        <v>4.1666666666666664E-2</v>
      </c>
      <c r="F45" s="3">
        <v>0.41666666666666674</v>
      </c>
      <c r="G45" s="3">
        <v>0</v>
      </c>
      <c r="H45" s="1">
        <v>0.7581366805742189</v>
      </c>
      <c r="I45" s="3">
        <v>0.80300000000000005</v>
      </c>
      <c r="J45" s="7"/>
    </row>
    <row r="46" spans="1:10" x14ac:dyDescent="0.35">
      <c r="A46" t="s">
        <v>19</v>
      </c>
      <c r="B46" s="3">
        <v>0.11111940298507461</v>
      </c>
      <c r="C46" s="3">
        <v>0.13923528358208956</v>
      </c>
      <c r="D46" s="3">
        <v>8.3333333333333329E-2</v>
      </c>
      <c r="E46" s="3">
        <v>8.3333333333333329E-2</v>
      </c>
      <c r="F46" s="3">
        <v>0.33055555555555605</v>
      </c>
      <c r="G46" s="3">
        <v>0</v>
      </c>
      <c r="H46" s="1">
        <v>0.74757690878938687</v>
      </c>
      <c r="I46" s="3">
        <v>0.80300000000000005</v>
      </c>
      <c r="J46" s="7"/>
    </row>
    <row r="47" spans="1:10" x14ac:dyDescent="0.35">
      <c r="A47" t="s">
        <v>23</v>
      </c>
      <c r="B47" s="3">
        <v>4.6875E-2</v>
      </c>
      <c r="C47" s="3">
        <v>0.1417910447761194</v>
      </c>
      <c r="D47" s="3">
        <v>8.3333333333333329E-2</v>
      </c>
      <c r="E47" s="3">
        <v>8.3333333333333329E-2</v>
      </c>
      <c r="F47" s="3">
        <v>0.36111111111111105</v>
      </c>
      <c r="G47" s="3">
        <v>0</v>
      </c>
      <c r="H47" s="1">
        <v>0.71644382255389716</v>
      </c>
      <c r="I47" s="3">
        <v>0.80300000000000005</v>
      </c>
      <c r="J47" s="7"/>
    </row>
    <row r="48" spans="1:10" x14ac:dyDescent="0.35">
      <c r="A48" t="s">
        <v>26</v>
      </c>
      <c r="B48" s="3">
        <v>4.8702985074626864E-2</v>
      </c>
      <c r="C48" s="3">
        <v>0.13573116776012031</v>
      </c>
      <c r="D48" s="3">
        <v>0.05</v>
      </c>
      <c r="E48" s="3">
        <v>8.3333333333333329E-2</v>
      </c>
      <c r="F48" s="3">
        <v>0.31944444444444442</v>
      </c>
      <c r="G48" s="3">
        <v>7.7777777777777807E-2</v>
      </c>
      <c r="H48" s="1">
        <v>0.71498970839030274</v>
      </c>
      <c r="I48" s="3">
        <v>0.80300000000000005</v>
      </c>
      <c r="J48" s="7"/>
    </row>
    <row r="49" spans="1:22" x14ac:dyDescent="0.35">
      <c r="A49" t="s">
        <v>20</v>
      </c>
      <c r="B49" s="3">
        <v>9.8059701492537302E-2</v>
      </c>
      <c r="C49" s="3">
        <v>0.16343283582089554</v>
      </c>
      <c r="D49" s="3">
        <v>3.3333333333333333E-2</v>
      </c>
      <c r="E49" s="3">
        <v>8.3333333333333329E-2</v>
      </c>
      <c r="F49" s="3">
        <v>0.20833333333333301</v>
      </c>
      <c r="G49" s="3">
        <v>0.125</v>
      </c>
      <c r="H49" s="1">
        <v>0.71149253731343254</v>
      </c>
      <c r="I49" s="3">
        <v>0.80300000000000005</v>
      </c>
      <c r="J49" s="7"/>
    </row>
    <row r="50" spans="1:22" x14ac:dyDescent="0.35">
      <c r="A50" t="s">
        <v>29</v>
      </c>
      <c r="B50" s="3">
        <v>6.6997479834238233E-2</v>
      </c>
      <c r="C50" s="3">
        <v>0.11999742840228392</v>
      </c>
      <c r="D50" s="3">
        <v>3.888888888888889E-2</v>
      </c>
      <c r="E50" s="3">
        <v>0</v>
      </c>
      <c r="F50" s="3">
        <v>0.19444444444444445</v>
      </c>
      <c r="G50" s="3">
        <v>7.7777777777777807E-2</v>
      </c>
      <c r="H50" s="1">
        <v>0.49810601934763332</v>
      </c>
      <c r="I50" s="3">
        <v>0.80300000000000005</v>
      </c>
      <c r="J50" s="7"/>
    </row>
    <row r="51" spans="1:22" x14ac:dyDescent="0.35">
      <c r="A51" t="s">
        <v>31</v>
      </c>
      <c r="B51" s="3">
        <v>4.7832083585207824E-2</v>
      </c>
      <c r="C51" s="3">
        <v>7.7724540107612206E-2</v>
      </c>
      <c r="D51" s="3">
        <v>0</v>
      </c>
      <c r="E51" s="3">
        <v>3.7433155080213901E-2</v>
      </c>
      <c r="F51" s="3">
        <v>0.3125</v>
      </c>
      <c r="G51" s="3">
        <v>0</v>
      </c>
      <c r="H51" s="1">
        <v>0.47548977877303394</v>
      </c>
      <c r="I51" s="3">
        <v>0.80300000000000005</v>
      </c>
      <c r="J51" s="7"/>
    </row>
    <row r="52" spans="1:22" x14ac:dyDescent="0.35">
      <c r="A52" s="176" t="s">
        <v>30</v>
      </c>
      <c r="B52" s="92">
        <v>9.0069550010344293E-2</v>
      </c>
      <c r="C52" s="92">
        <v>0.10476030901090666</v>
      </c>
      <c r="D52" s="92">
        <v>0</v>
      </c>
      <c r="E52" s="92">
        <v>3.7433155080213901E-2</v>
      </c>
      <c r="F52" s="92">
        <v>0.19444444444444448</v>
      </c>
      <c r="G52" s="92"/>
      <c r="H52" s="194">
        <v>0.4267074585459093</v>
      </c>
      <c r="I52" s="92">
        <v>0.80300000000000005</v>
      </c>
      <c r="J52" s="7"/>
      <c r="L52" s="8" t="s">
        <v>32</v>
      </c>
    </row>
    <row r="53" spans="1:22" ht="27.75" customHeight="1" x14ac:dyDescent="0.35">
      <c r="H53" s="2"/>
      <c r="J53" s="2"/>
      <c r="L53" s="913" t="s">
        <v>38</v>
      </c>
      <c r="M53" s="913"/>
      <c r="N53" s="913"/>
      <c r="O53" s="913"/>
      <c r="P53" s="913"/>
      <c r="Q53" s="913"/>
      <c r="R53" s="913"/>
      <c r="S53" s="913"/>
      <c r="T53" s="913"/>
      <c r="U53" s="913"/>
      <c r="V53" s="913"/>
    </row>
  </sheetData>
  <sortState xmlns:xlrd2="http://schemas.microsoft.com/office/spreadsheetml/2017/richdata2" ref="A54:I74">
    <sortCondition descending="1" ref="H54:H74"/>
  </sortState>
  <mergeCells count="18">
    <mergeCell ref="E3:E4"/>
    <mergeCell ref="H3:H4"/>
    <mergeCell ref="L26:W26"/>
    <mergeCell ref="L53:V53"/>
    <mergeCell ref="I3:I4"/>
    <mergeCell ref="E30:E31"/>
    <mergeCell ref="F30:G30"/>
    <mergeCell ref="H30:H31"/>
    <mergeCell ref="I30:I31"/>
    <mergeCell ref="F3:G3"/>
    <mergeCell ref="A3:A4"/>
    <mergeCell ref="A30:A31"/>
    <mergeCell ref="B30:B31"/>
    <mergeCell ref="C30:C31"/>
    <mergeCell ref="D30:D31"/>
    <mergeCell ref="B3:B4"/>
    <mergeCell ref="C3:C4"/>
    <mergeCell ref="D3:D4"/>
  </mergeCells>
  <pageMargins left="0.7" right="0.7" top="0.75" bottom="0.75" header="0.3" footer="0.3"/>
  <pageSetup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E9C294-1892-4E9E-AA26-76AC8F56BF5B}">
  <dimension ref="A1:AK386"/>
  <sheetViews>
    <sheetView showGridLines="0" zoomScale="38" zoomScaleNormal="60" workbookViewId="0">
      <selection activeCell="Q56" sqref="Q56"/>
    </sheetView>
  </sheetViews>
  <sheetFormatPr defaultColWidth="9.1796875" defaultRowHeight="14.5" x14ac:dyDescent="0.35"/>
  <cols>
    <col min="1" max="1" width="11.6328125" customWidth="1"/>
    <col min="2" max="2" width="19.6328125" customWidth="1"/>
    <col min="3" max="4" width="14.08984375" customWidth="1"/>
    <col min="5" max="5" width="21.81640625" customWidth="1"/>
    <col min="6" max="6" width="24.36328125" customWidth="1"/>
    <col min="7" max="7" width="18.54296875" customWidth="1"/>
    <col min="8" max="8" width="11.1796875" customWidth="1"/>
    <col min="9" max="9" width="24.26953125" customWidth="1"/>
    <col min="10" max="10" width="16.1796875" customWidth="1"/>
    <col min="11" max="11" width="19.6328125" customWidth="1"/>
    <col min="12" max="12" width="12.36328125" customWidth="1"/>
    <col min="13" max="13" width="10.54296875" customWidth="1"/>
    <col min="14" max="14" width="25.36328125" customWidth="1"/>
    <col min="15" max="15" width="17.54296875" customWidth="1"/>
    <col min="16" max="17" width="15.36328125" customWidth="1"/>
    <col min="18" max="18" width="35.81640625" customWidth="1"/>
    <col min="19" max="19" width="15.36328125" customWidth="1"/>
    <col min="20" max="20" width="13.90625" customWidth="1"/>
    <col min="21" max="21" width="15.36328125" customWidth="1"/>
    <col min="22" max="22" width="22.90625" customWidth="1"/>
    <col min="23" max="23" width="10.1796875" customWidth="1"/>
    <col min="24" max="24" width="12.1796875" customWidth="1"/>
    <col min="25" max="25" width="23.36328125" customWidth="1"/>
    <col min="26" max="28" width="18.36328125" customWidth="1"/>
    <col min="29" max="30" width="16.36328125" customWidth="1"/>
    <col min="31" max="31" width="15.1796875" customWidth="1"/>
    <col min="32" max="32" width="18.81640625" customWidth="1"/>
    <col min="33" max="33" width="8.36328125" customWidth="1"/>
    <col min="34" max="34" width="13.54296875" customWidth="1"/>
    <col min="35" max="35" width="18.6328125" customWidth="1"/>
    <col min="37" max="37" width="16.1796875" customWidth="1"/>
  </cols>
  <sheetData>
    <row r="1" spans="1:21" ht="18.5" x14ac:dyDescent="0.45">
      <c r="A1" s="21" t="s">
        <v>631</v>
      </c>
    </row>
    <row r="2" spans="1:21" x14ac:dyDescent="0.35">
      <c r="A2" t="s">
        <v>165</v>
      </c>
    </row>
    <row r="3" spans="1:21" ht="14.5" hidden="1" customHeight="1" x14ac:dyDescent="0.35">
      <c r="B3" t="s">
        <v>11</v>
      </c>
      <c r="C3" t="s">
        <v>13</v>
      </c>
      <c r="D3" t="s">
        <v>12</v>
      </c>
      <c r="E3" t="s">
        <v>28</v>
      </c>
      <c r="F3" t="s">
        <v>15</v>
      </c>
      <c r="G3" t="s">
        <v>18</v>
      </c>
      <c r="H3" t="s">
        <v>17</v>
      </c>
      <c r="I3" t="s">
        <v>21</v>
      </c>
      <c r="J3" t="s">
        <v>27</v>
      </c>
      <c r="K3" t="s">
        <v>24</v>
      </c>
      <c r="L3" t="s">
        <v>29</v>
      </c>
      <c r="M3" t="s">
        <v>23</v>
      </c>
      <c r="N3" t="s">
        <v>19</v>
      </c>
      <c r="O3" t="s">
        <v>16</v>
      </c>
      <c r="P3" t="s">
        <v>20</v>
      </c>
      <c r="Q3" t="s">
        <v>26</v>
      </c>
      <c r="R3" t="s">
        <v>25</v>
      </c>
      <c r="S3" t="s">
        <v>31</v>
      </c>
      <c r="T3" t="s">
        <v>14</v>
      </c>
      <c r="U3" t="s">
        <v>22</v>
      </c>
    </row>
    <row r="4" spans="1:21" ht="14.5" hidden="1" customHeight="1" x14ac:dyDescent="0.35">
      <c r="A4" t="s">
        <v>166</v>
      </c>
      <c r="B4" s="44">
        <v>51981.66618883748</v>
      </c>
      <c r="C4" s="44">
        <v>13399.558925638197</v>
      </c>
      <c r="D4" s="44">
        <v>31854.20927605778</v>
      </c>
      <c r="E4" s="44">
        <v>48876.098568060908</v>
      </c>
      <c r="F4" s="44">
        <v>27978.629828159494</v>
      </c>
      <c r="G4" s="44">
        <v>32573.579999449135</v>
      </c>
      <c r="H4" s="44">
        <v>23817.328246283825</v>
      </c>
      <c r="I4" s="44">
        <v>17578.982060432587</v>
      </c>
      <c r="J4" s="44">
        <v>11887.30867229441</v>
      </c>
      <c r="K4" s="44">
        <v>39897.407089304121</v>
      </c>
      <c r="L4" s="44">
        <v>21078.640412240045</v>
      </c>
      <c r="M4" s="44">
        <v>11153.537145024622</v>
      </c>
      <c r="N4" s="44">
        <v>41758.326275234329</v>
      </c>
      <c r="O4" s="44">
        <v>22374.300986377995</v>
      </c>
      <c r="P4" s="44">
        <v>18500.406599785332</v>
      </c>
      <c r="Q4" s="44">
        <v>32257.388273899738</v>
      </c>
      <c r="R4" s="44">
        <v>19369.410535282801</v>
      </c>
      <c r="S4" s="44">
        <v>69279.42526894639</v>
      </c>
      <c r="T4" s="44">
        <v>41717.517890633171</v>
      </c>
      <c r="U4" s="44">
        <v>43705.439247906645</v>
      </c>
    </row>
    <row r="5" spans="1:21" ht="14.5" hidden="1" customHeight="1" x14ac:dyDescent="0.35">
      <c r="A5" t="s">
        <v>89</v>
      </c>
      <c r="B5" s="44">
        <v>3.6579999999999999</v>
      </c>
      <c r="C5" s="44">
        <v>3.2309999999999999</v>
      </c>
      <c r="D5" s="44">
        <v>1.6459999999999999</v>
      </c>
      <c r="E5" s="44">
        <v>346.63400000000001</v>
      </c>
      <c r="F5" s="44">
        <v>1175.5250000000001</v>
      </c>
      <c r="G5" s="44">
        <v>362.64100000000002</v>
      </c>
      <c r="H5" s="44">
        <v>0.55000000000000004</v>
      </c>
      <c r="I5" s="44">
        <v>3.742</v>
      </c>
      <c r="J5" s="44">
        <v>10.058</v>
      </c>
      <c r="K5" s="44">
        <v>7.7889999999999997</v>
      </c>
      <c r="L5" s="44">
        <v>56.567</v>
      </c>
      <c r="M5" s="44">
        <v>9.3789999999999996</v>
      </c>
      <c r="N5" s="44">
        <v>0.59199999999999997</v>
      </c>
      <c r="O5" s="44">
        <v>1.5229999999999999</v>
      </c>
      <c r="P5" s="44">
        <v>2273.096</v>
      </c>
      <c r="Q5" s="44">
        <v>20.154</v>
      </c>
      <c r="R5" s="44">
        <v>0.49299999999999999</v>
      </c>
      <c r="S5" s="44">
        <v>3.839</v>
      </c>
      <c r="T5" s="44">
        <v>17.292999999999999</v>
      </c>
      <c r="U5" s="44">
        <v>3.9550000000000001</v>
      </c>
    </row>
    <row r="6" spans="1:21" ht="14.5" hidden="1" customHeight="1" x14ac:dyDescent="0.35">
      <c r="A6" t="s">
        <v>167</v>
      </c>
      <c r="B6" s="44">
        <v>10593.231017632586</v>
      </c>
      <c r="C6" s="44">
        <v>4456.8245125348194</v>
      </c>
      <c r="D6" s="44">
        <v>4942.891859052248</v>
      </c>
      <c r="E6" s="44">
        <v>7269.9158189906357</v>
      </c>
      <c r="F6" s="44">
        <v>6017.7367559175682</v>
      </c>
      <c r="G6" s="44">
        <v>9332.9173480108402</v>
      </c>
      <c r="H6" s="44">
        <v>6938.181818181818</v>
      </c>
      <c r="I6" s="44">
        <v>7578.5676109032602</v>
      </c>
      <c r="J6" s="44">
        <v>8077.2618810896802</v>
      </c>
      <c r="K6" s="44">
        <v>2780.8385749333997</v>
      </c>
      <c r="L6" s="44">
        <v>4560.9631056976687</v>
      </c>
      <c r="M6" s="44">
        <v>4864.2643291087179</v>
      </c>
      <c r="N6" s="44">
        <v>9324.3243243243251</v>
      </c>
      <c r="O6" s="44">
        <v>5909.389363099147</v>
      </c>
      <c r="P6" s="44">
        <v>8754.0447037872582</v>
      </c>
      <c r="Q6" s="44">
        <v>4096.4572789520689</v>
      </c>
      <c r="R6" s="44">
        <v>4596.3488843813384</v>
      </c>
      <c r="S6" s="44">
        <v>6772.6074498567341</v>
      </c>
      <c r="T6" s="44">
        <v>5495.8653790551089</v>
      </c>
      <c r="U6" s="44">
        <v>8225.2844500632109</v>
      </c>
    </row>
    <row r="7" spans="1:21" ht="14.5" hidden="1" customHeight="1" x14ac:dyDescent="0.35">
      <c r="B7" s="44"/>
      <c r="C7" s="44"/>
      <c r="D7" s="44"/>
      <c r="E7" s="44"/>
      <c r="F7" s="44"/>
      <c r="G7" s="44"/>
      <c r="H7" s="44"/>
      <c r="I7" s="44"/>
      <c r="J7" s="44"/>
      <c r="K7" s="44"/>
      <c r="L7" s="44"/>
      <c r="M7" s="44"/>
      <c r="N7" s="44"/>
      <c r="O7" s="44"/>
      <c r="P7" s="44"/>
      <c r="Q7" s="44"/>
      <c r="R7" s="44"/>
      <c r="S7" s="44"/>
      <c r="T7" s="44"/>
      <c r="U7" s="44"/>
    </row>
    <row r="8" spans="1:21" ht="14.5" hidden="1" customHeight="1" x14ac:dyDescent="0.35">
      <c r="A8" t="s">
        <v>60</v>
      </c>
      <c r="B8" s="3">
        <v>0.20378783125476982</v>
      </c>
      <c r="C8" s="3">
        <v>0.33260979240199495</v>
      </c>
      <c r="D8" s="3">
        <v>0.15517232954099469</v>
      </c>
      <c r="E8" s="3">
        <v>0.14874173741316807</v>
      </c>
      <c r="F8" s="1">
        <f>+F6/F4</f>
        <v>0.21508332584110071</v>
      </c>
      <c r="G8" s="3">
        <v>0.28651801085937356</v>
      </c>
      <c r="H8" s="3">
        <v>0.2913081495303475</v>
      </c>
      <c r="I8" s="3">
        <v>0.43111527077335021</v>
      </c>
      <c r="J8" s="3">
        <v>0.6794861733434453</v>
      </c>
      <c r="K8" s="47">
        <f>+K6/K4</f>
        <v>6.9699731832420245E-2</v>
      </c>
      <c r="L8" s="3">
        <v>0.21637842937200005</v>
      </c>
      <c r="M8" s="3">
        <v>0.43611853942482925</v>
      </c>
      <c r="N8" s="3">
        <v>0.22329257793682972</v>
      </c>
      <c r="O8" s="3">
        <v>0.26411503835122818</v>
      </c>
      <c r="P8" s="3">
        <v>0.47318120586002876</v>
      </c>
      <c r="Q8" s="3">
        <v>0.12699283786302734</v>
      </c>
      <c r="R8" s="3">
        <v>0.23729936830079326</v>
      </c>
      <c r="S8" s="3">
        <v>9.7757846915806731E-2</v>
      </c>
      <c r="T8" s="3">
        <v>0.13173998974395107</v>
      </c>
      <c r="U8" s="3">
        <v>0.18819818749349776</v>
      </c>
    </row>
    <row r="9" spans="1:21" ht="14.5" hidden="1" customHeight="1" x14ac:dyDescent="0.35">
      <c r="A9" s="14" t="s">
        <v>39</v>
      </c>
      <c r="B9" s="3">
        <v>4.0799440462855635E-2</v>
      </c>
      <c r="C9" s="3">
        <v>4.2274704614293557E-2</v>
      </c>
      <c r="D9" s="3">
        <v>1.3434097571220365E-2</v>
      </c>
      <c r="E9" s="3">
        <v>2.8379923498432467E-2</v>
      </c>
      <c r="F9" s="3">
        <v>1.7206666067288059E-2</v>
      </c>
      <c r="G9" s="3">
        <v>2.8433183918747398E-2</v>
      </c>
      <c r="H9" s="3">
        <v>3.2085298120274899E-2</v>
      </c>
      <c r="I9" s="3">
        <v>2.0822867578352815E-2</v>
      </c>
      <c r="J9" s="3">
        <v>3.3974308667172264E-2</v>
      </c>
      <c r="K9" s="3">
        <v>1.7233974788701169E-3</v>
      </c>
      <c r="L9" s="3">
        <v>1.4483831116088251E-2</v>
      </c>
      <c r="M9" s="3">
        <v>2.7257408714051828E-2</v>
      </c>
      <c r="N9" s="3">
        <v>2.7452751876480087E-2</v>
      </c>
      <c r="O9" s="3">
        <v>3.4334954985659666E-2</v>
      </c>
      <c r="P9" s="3">
        <v>4.6086553063901421E-2</v>
      </c>
      <c r="Q9" s="3">
        <v>8.1908640793736717E-3</v>
      </c>
      <c r="R9" s="3">
        <v>2.1950191567823379E-2</v>
      </c>
      <c r="S9" s="3">
        <v>5.4646552354316964E-3</v>
      </c>
      <c r="T9" s="3">
        <v>2.5853972987250395E-2</v>
      </c>
      <c r="U9" s="3">
        <v>1.1291891249609869E-2</v>
      </c>
    </row>
    <row r="10" spans="1:21" ht="14.5" hidden="1" customHeight="1" x14ac:dyDescent="0.35">
      <c r="A10" t="s">
        <v>40</v>
      </c>
      <c r="B10" s="3">
        <v>2.4259126761697943E-2</v>
      </c>
      <c r="C10" s="3">
        <v>4.2274704614293557E-2</v>
      </c>
      <c r="D10" s="3">
        <v>1.3434097571220365E-2</v>
      </c>
      <c r="E10" s="3">
        <v>1.4874173741316808E-2</v>
      </c>
      <c r="F10" s="3">
        <v>8.6033330336440297E-3</v>
      </c>
      <c r="G10" s="3">
        <v>8.2788005521325578E-3</v>
      </c>
      <c r="H10" s="3">
        <v>2.2544590425251358E-2</v>
      </c>
      <c r="I10" s="3">
        <v>7.8894094551523099E-3</v>
      </c>
      <c r="J10" s="3">
        <v>6.7948617334344531E-3</v>
      </c>
      <c r="K10" s="3">
        <v>1.2698718265358757E-3</v>
      </c>
      <c r="L10" s="3">
        <v>5.4094607343000006E-3</v>
      </c>
      <c r="M10" s="3">
        <v>1.7444741576993172E-2</v>
      </c>
      <c r="N10" s="3">
        <v>2.1985142519465251E-2</v>
      </c>
      <c r="O10" s="3">
        <v>3.4334954985659666E-2</v>
      </c>
      <c r="P10" s="3">
        <v>4.6086553063901421E-2</v>
      </c>
      <c r="Q10" s="3">
        <v>3.9442583737923547E-3</v>
      </c>
      <c r="R10" s="3">
        <v>1.4831210518799579E-2</v>
      </c>
      <c r="S10" s="3">
        <v>3.8516532428624121E-3</v>
      </c>
      <c r="T10" s="3">
        <v>1.9760998461592662E-2</v>
      </c>
      <c r="U10" s="3">
        <v>7.527927499739912E-3</v>
      </c>
    </row>
    <row r="11" spans="1:21" ht="14.5" hidden="1" customHeight="1" x14ac:dyDescent="0.35">
      <c r="A11" t="s">
        <v>41</v>
      </c>
      <c r="B11" s="3">
        <v>1.6540313701157688E-2</v>
      </c>
      <c r="C11" s="3"/>
      <c r="D11" s="3"/>
      <c r="E11" s="3">
        <v>1.0411921618921766E-2</v>
      </c>
      <c r="F11" s="3">
        <v>8.6033330336440297E-3</v>
      </c>
      <c r="G11" s="3">
        <v>1.7053709002520248E-2</v>
      </c>
      <c r="H11" s="3">
        <v>0</v>
      </c>
      <c r="I11" s="3">
        <v>8.6223054154670048E-3</v>
      </c>
      <c r="J11" s="3">
        <v>1.6987154333586132E-2</v>
      </c>
      <c r="K11" s="3">
        <v>4.5352565233424134E-4</v>
      </c>
      <c r="L11" s="3">
        <v>0</v>
      </c>
      <c r="M11" s="3">
        <v>9.812667137058655E-3</v>
      </c>
      <c r="N11" s="3">
        <v>2.447041949992654E-3</v>
      </c>
      <c r="O11" s="3"/>
      <c r="P11" s="3"/>
      <c r="Q11" s="3">
        <v>4.177890402902007E-3</v>
      </c>
      <c r="R11" s="3">
        <v>7.1189810490237988E-3</v>
      </c>
      <c r="S11" s="3">
        <v>1.6130019925692839E-3</v>
      </c>
      <c r="T11" s="3">
        <v>5.9282995384777968E-3</v>
      </c>
      <c r="U11" s="3">
        <v>0</v>
      </c>
    </row>
    <row r="12" spans="1:21" ht="14.5" hidden="1" customHeight="1" x14ac:dyDescent="0.35">
      <c r="A12" t="s">
        <v>42</v>
      </c>
      <c r="B12" s="3"/>
      <c r="C12" s="3"/>
      <c r="D12" s="3"/>
      <c r="E12" s="3">
        <v>8.924504244790084E-4</v>
      </c>
      <c r="F12" s="3"/>
      <c r="G12" s="3">
        <v>0</v>
      </c>
      <c r="H12" s="3">
        <v>6.7905392847142643E-3</v>
      </c>
      <c r="I12" s="3">
        <v>4.3111527077335024E-3</v>
      </c>
      <c r="J12" s="3">
        <v>0</v>
      </c>
      <c r="K12" s="3">
        <v>0</v>
      </c>
      <c r="L12" s="3">
        <v>0</v>
      </c>
      <c r="M12" s="3">
        <v>0</v>
      </c>
      <c r="N12" s="3">
        <v>0</v>
      </c>
      <c r="O12" s="3"/>
      <c r="P12" s="3"/>
      <c r="Q12" s="3">
        <v>0</v>
      </c>
      <c r="R12" s="3">
        <v>0</v>
      </c>
      <c r="S12" s="3"/>
      <c r="T12" s="3">
        <v>0</v>
      </c>
      <c r="U12" s="3">
        <v>9.40990937467489E-4</v>
      </c>
    </row>
    <row r="13" spans="1:21" ht="14.5" hidden="1" customHeight="1" x14ac:dyDescent="0.35">
      <c r="A13" t="s">
        <v>43</v>
      </c>
      <c r="B13" s="3"/>
      <c r="C13" s="3"/>
      <c r="D13" s="3"/>
      <c r="E13" s="3">
        <v>2.2013777137148871E-3</v>
      </c>
      <c r="F13" s="3"/>
      <c r="G13" s="3">
        <v>3.1006743640945907E-3</v>
      </c>
      <c r="H13" s="3">
        <v>2.7501684103092773E-3</v>
      </c>
      <c r="I13" s="3">
        <v>0</v>
      </c>
      <c r="J13" s="3">
        <v>1.019229260015168E-2</v>
      </c>
      <c r="K13" s="3">
        <v>0</v>
      </c>
      <c r="L13" s="3">
        <v>9.0743703817882503E-3</v>
      </c>
      <c r="M13" s="3">
        <v>0</v>
      </c>
      <c r="N13" s="3">
        <v>3.0205674070221825E-3</v>
      </c>
      <c r="O13" s="3"/>
      <c r="P13" s="3"/>
      <c r="Q13" s="3">
        <v>6.8715302679309319E-5</v>
      </c>
      <c r="R13" s="3">
        <v>0</v>
      </c>
      <c r="S13" s="3"/>
      <c r="T13" s="3">
        <v>1.6467498717993883E-4</v>
      </c>
      <c r="U13" s="3">
        <v>2.8229728124024673E-3</v>
      </c>
    </row>
    <row r="14" spans="1:21" ht="14.5" hidden="1" customHeight="1" x14ac:dyDescent="0.35">
      <c r="A14" s="14" t="s">
        <v>44</v>
      </c>
      <c r="B14" s="3">
        <v>5.7339754164013317E-2</v>
      </c>
      <c r="C14" s="3">
        <v>3.8948606690273606E-2</v>
      </c>
      <c r="D14" s="3">
        <v>5.7430767116967055E-2</v>
      </c>
      <c r="E14" s="3">
        <v>6.856994094747047E-3</v>
      </c>
      <c r="F14" s="3">
        <v>5.656102200235083E-2</v>
      </c>
      <c r="G14" s="3">
        <v>8.2090157544191369E-2</v>
      </c>
      <c r="H14" s="3">
        <v>3.7592053031402513E-2</v>
      </c>
      <c r="I14" s="3">
        <v>5.4622304806983484E-2</v>
      </c>
      <c r="J14" s="3">
        <v>1.6987154333586132E-2</v>
      </c>
      <c r="K14" s="3">
        <v>2.6286155851123226E-2</v>
      </c>
      <c r="L14" s="3">
        <v>2.5803127702611003E-2</v>
      </c>
      <c r="M14" s="3">
        <v>7.9218244284564851E-2</v>
      </c>
      <c r="N14" s="3">
        <v>3.5861705657386105E-2</v>
      </c>
      <c r="O14" s="3">
        <v>4.744386472249229E-2</v>
      </c>
      <c r="P14" s="3">
        <v>7.6810921773169061E-2</v>
      </c>
      <c r="Q14" s="3">
        <v>2.2524876218277593E-2</v>
      </c>
      <c r="R14" s="3">
        <v>3.618815366587097E-2</v>
      </c>
      <c r="S14" s="3">
        <v>7.7033064857248241E-3</v>
      </c>
      <c r="T14" s="3">
        <v>2.5722232997506447E-2</v>
      </c>
      <c r="U14" s="3">
        <v>2.9645919484913238E-2</v>
      </c>
    </row>
    <row r="15" spans="1:21" ht="14.5" hidden="1" customHeight="1" x14ac:dyDescent="0.35">
      <c r="A15" t="s">
        <v>40</v>
      </c>
      <c r="B15" s="3">
        <v>2.2428665378769821E-2</v>
      </c>
      <c r="C15" s="3">
        <v>0</v>
      </c>
      <c r="D15" s="3">
        <v>3.3585243928050908E-2</v>
      </c>
      <c r="E15" s="3"/>
      <c r="F15" s="3">
        <v>2.7931368890049789E-2</v>
      </c>
      <c r="G15" s="3">
        <v>1.9906329417487271E-2</v>
      </c>
      <c r="H15" s="3">
        <v>1.052533589130711E-2</v>
      </c>
      <c r="I15" s="3">
        <v>1.5821930437381955E-2</v>
      </c>
      <c r="J15" s="3">
        <v>0</v>
      </c>
      <c r="K15" s="3">
        <v>5.0069232017700251E-3</v>
      </c>
      <c r="L15" s="3">
        <v>5.4094607343000006E-3</v>
      </c>
      <c r="M15" s="3">
        <v>3.0528297759738046E-2</v>
      </c>
      <c r="N15" s="3">
        <v>1.1462862134496841E-2</v>
      </c>
      <c r="O15" s="3"/>
      <c r="P15" s="3">
        <v>7.1690193654957782E-2</v>
      </c>
      <c r="Q15" s="3">
        <v>9.7575729804619225E-3</v>
      </c>
      <c r="R15" s="3">
        <v>1.6017707360303546E-2</v>
      </c>
      <c r="S15" s="3">
        <v>7.7033064857248241E-3</v>
      </c>
      <c r="T15" s="3">
        <v>9.8804992307963309E-3</v>
      </c>
      <c r="U15" s="3">
        <v>1.6937836874414802E-2</v>
      </c>
    </row>
    <row r="16" spans="1:21" ht="14.5" hidden="1" customHeight="1" x14ac:dyDescent="0.35">
      <c r="A16" t="s">
        <v>41</v>
      </c>
      <c r="B16" s="3">
        <v>2.3156439181620758E-2</v>
      </c>
      <c r="C16" s="3">
        <v>3.3260979240199495E-2</v>
      </c>
      <c r="D16" s="3"/>
      <c r="E16" s="3"/>
      <c r="F16" s="3">
        <v>0</v>
      </c>
      <c r="G16" s="3">
        <v>2.8681237867874965E-2</v>
      </c>
      <c r="H16" s="3">
        <v>1.9386989657859222E-2</v>
      </c>
      <c r="I16" s="3">
        <v>1.724461083093401E-2</v>
      </c>
      <c r="J16" s="3">
        <v>0</v>
      </c>
      <c r="K16" s="3">
        <v>1.5488617120349608E-2</v>
      </c>
      <c r="L16" s="3">
        <v>0</v>
      </c>
      <c r="M16" s="3">
        <v>2.6167112365489749E-2</v>
      </c>
      <c r="N16" s="3">
        <v>1.9836333807127952E-2</v>
      </c>
      <c r="O16" s="3">
        <v>2.3770353451610535E-2</v>
      </c>
      <c r="P16" s="3">
        <v>0</v>
      </c>
      <c r="Q16" s="3">
        <v>9.7438299199260631E-3</v>
      </c>
      <c r="R16" s="3">
        <v>1.7797452622559495E-2</v>
      </c>
      <c r="S16" s="3"/>
      <c r="T16" s="3">
        <v>6.5869994871975536E-3</v>
      </c>
      <c r="U16" s="3">
        <v>0</v>
      </c>
    </row>
    <row r="17" spans="1:24" ht="14.5" hidden="1" customHeight="1" x14ac:dyDescent="0.35">
      <c r="A17" t="s">
        <v>42</v>
      </c>
      <c r="B17" s="3">
        <v>1.9627838925373791E-3</v>
      </c>
      <c r="C17" s="3">
        <v>5.6876274500741132E-3</v>
      </c>
      <c r="D17" s="3">
        <v>1.6792621964025456E-3</v>
      </c>
      <c r="E17" s="3">
        <v>4.9828482033411302E-3</v>
      </c>
      <c r="F17" s="3">
        <v>1.9319196815617772E-2</v>
      </c>
      <c r="G17" s="3">
        <v>1.0247532528119704E-2</v>
      </c>
      <c r="H17" s="3">
        <v>4.9974644647740431E-3</v>
      </c>
      <c r="I17" s="3">
        <v>1.2933458123200507E-2</v>
      </c>
      <c r="J17" s="3">
        <v>0</v>
      </c>
      <c r="K17" s="3">
        <v>1.4367692665948767E-3</v>
      </c>
      <c r="L17" s="3">
        <v>0</v>
      </c>
      <c r="M17" s="3">
        <v>6.5417780913724372E-3</v>
      </c>
      <c r="N17" s="3">
        <v>9.3782882733468463E-4</v>
      </c>
      <c r="O17" s="3">
        <v>1.6639247416127378E-3</v>
      </c>
      <c r="P17" s="3">
        <v>0</v>
      </c>
      <c r="Q17" s="3">
        <v>1.6491672643034235E-3</v>
      </c>
      <c r="R17" s="3">
        <v>0</v>
      </c>
      <c r="S17" s="3"/>
      <c r="T17" s="3">
        <v>9.0900592923326244E-3</v>
      </c>
      <c r="U17" s="3">
        <v>5.180155110758527E-3</v>
      </c>
    </row>
    <row r="18" spans="1:24" ht="14.5" hidden="1" customHeight="1" x14ac:dyDescent="0.35">
      <c r="A18" t="s">
        <v>43</v>
      </c>
      <c r="B18" s="3">
        <v>9.7918657110853506E-3</v>
      </c>
      <c r="C18" s="3"/>
      <c r="D18" s="3">
        <v>2.2166260992513599E-2</v>
      </c>
      <c r="E18" s="3">
        <v>1.8741458914059176E-3</v>
      </c>
      <c r="F18" s="3">
        <v>9.3104562966832647E-3</v>
      </c>
      <c r="G18" s="3">
        <v>2.325505773070943E-2</v>
      </c>
      <c r="H18" s="3">
        <v>2.6822630174621349E-3</v>
      </c>
      <c r="I18" s="3">
        <v>8.6223054154670048E-3</v>
      </c>
      <c r="J18" s="3">
        <v>1.6987154333586132E-2</v>
      </c>
      <c r="K18" s="3">
        <v>4.3538462624087169E-3</v>
      </c>
      <c r="L18" s="3">
        <v>2.0393666968311002E-2</v>
      </c>
      <c r="M18" s="3">
        <v>1.5981056067964631E-2</v>
      </c>
      <c r="N18" s="3">
        <v>3.6246808884266191E-3</v>
      </c>
      <c r="O18" s="3">
        <v>2.2009586529269015E-2</v>
      </c>
      <c r="P18" s="3">
        <v>5.1207281182112695E-3</v>
      </c>
      <c r="Q18" s="3">
        <v>1.3743060535861865E-3</v>
      </c>
      <c r="R18" s="3">
        <v>2.3729936830079327E-3</v>
      </c>
      <c r="S18" s="3"/>
      <c r="T18" s="3">
        <v>1.6467498717993883E-4</v>
      </c>
      <c r="U18" s="3">
        <v>7.527927499739912E-3</v>
      </c>
    </row>
    <row r="19" spans="1:24" ht="14.5" hidden="1" customHeight="1" x14ac:dyDescent="0.35">
      <c r="B19" s="3"/>
      <c r="C19" s="3"/>
      <c r="D19" s="3"/>
      <c r="E19" s="3"/>
      <c r="F19" s="3"/>
      <c r="G19" s="3"/>
      <c r="H19" s="3"/>
      <c r="I19" s="3"/>
      <c r="J19" s="3"/>
      <c r="K19" s="3"/>
      <c r="L19" s="3"/>
      <c r="M19" s="3"/>
      <c r="N19" s="3"/>
      <c r="O19" s="3"/>
      <c r="P19" s="3"/>
      <c r="Q19" s="3"/>
      <c r="R19" s="3"/>
      <c r="S19" s="3"/>
      <c r="T19" s="3"/>
      <c r="U19" s="3"/>
    </row>
    <row r="20" spans="1:24" ht="14.5" hidden="1" customHeight="1" x14ac:dyDescent="0.35">
      <c r="A20" t="s">
        <v>5</v>
      </c>
      <c r="B20" s="3">
        <v>1.6749684760666014E-2</v>
      </c>
      <c r="C20" s="3">
        <v>5.4675582312656706E-2</v>
      </c>
      <c r="D20" s="3">
        <v>1.275389009925984E-2</v>
      </c>
      <c r="E20" s="3">
        <v>0</v>
      </c>
      <c r="F20" s="3">
        <v>1.7678081575980883E-2</v>
      </c>
      <c r="G20" s="3">
        <v>2.3549425550085497E-2</v>
      </c>
      <c r="H20" s="3">
        <v>4.8218814705365737E-2</v>
      </c>
      <c r="I20" s="3">
        <v>7.0868263688769903E-2</v>
      </c>
      <c r="J20" s="3">
        <v>0.11169635726193622</v>
      </c>
      <c r="K20" s="3">
        <v>2.8643725410583661E-3</v>
      </c>
      <c r="L20" s="3">
        <v>0</v>
      </c>
      <c r="M20" s="3">
        <v>3.584535940478048E-2</v>
      </c>
      <c r="N20" s="3">
        <v>1.8352814624944907E-2</v>
      </c>
      <c r="O20" s="3">
        <v>4.3416170687873124E-2</v>
      </c>
      <c r="P20" s="3">
        <v>3.8891605961098245E-2</v>
      </c>
      <c r="Q20" s="3">
        <v>1.0437767495591287E-2</v>
      </c>
      <c r="R20" s="3">
        <v>9.7520288342791746E-3</v>
      </c>
      <c r="S20" s="3"/>
      <c r="T20" s="3">
        <v>1.0827944362516526E-2</v>
      </c>
      <c r="U20" s="3">
        <v>1.5468344177547761E-2</v>
      </c>
    </row>
    <row r="21" spans="1:24" ht="14.5" hidden="1" customHeight="1" x14ac:dyDescent="0.35">
      <c r="A21" t="s">
        <v>4</v>
      </c>
      <c r="B21" s="3">
        <v>7.8165195549774712E-3</v>
      </c>
      <c r="C21" s="3">
        <v>1.8225194104218904E-2</v>
      </c>
      <c r="D21" s="3">
        <v>1.7005186799013122E-2</v>
      </c>
      <c r="E21" s="3">
        <v>6.1126741402671809E-3</v>
      </c>
      <c r="F21" s="3">
        <v>8.8390407879904414E-3</v>
      </c>
      <c r="G21" s="3">
        <v>1.0989731923373233E-2</v>
      </c>
      <c r="H21" s="3">
        <v>1.1971567788918391E-2</v>
      </c>
      <c r="I21" s="3">
        <v>1.7717065922192476E-2</v>
      </c>
      <c r="J21" s="3">
        <v>3.7232119087312068E-2</v>
      </c>
      <c r="K21" s="3">
        <v>2.6734143716544752E-3</v>
      </c>
      <c r="L21" s="3">
        <v>8.2994466060493152E-3</v>
      </c>
      <c r="M21" s="3">
        <v>3.584535940478048E-2</v>
      </c>
      <c r="N21" s="3">
        <v>1.8352814624944907E-2</v>
      </c>
      <c r="O21" s="3">
        <v>2.1708085343936562E-2</v>
      </c>
      <c r="P21" s="3">
        <v>1.5556642384439302E-2</v>
      </c>
      <c r="Q21" s="3">
        <v>6.2626604973547734E-3</v>
      </c>
      <c r="R21" s="3">
        <v>1.560324613484668E-2</v>
      </c>
      <c r="S21" s="3">
        <v>3.749616046085738E-3</v>
      </c>
      <c r="T21" s="3">
        <v>7.5795610537615684E-3</v>
      </c>
      <c r="U21" s="3">
        <v>9.7966179791135824E-3</v>
      </c>
    </row>
    <row r="22" spans="1:24" ht="14.5" hidden="1" customHeight="1" x14ac:dyDescent="0.35">
      <c r="A22" t="s">
        <v>45</v>
      </c>
      <c r="B22" s="3">
        <v>8.3748423803330044E-2</v>
      </c>
      <c r="C22" s="3">
        <v>0.13668895578164175</v>
      </c>
      <c r="D22" s="3">
        <v>2.4487468990578892E-2</v>
      </c>
      <c r="E22" s="3">
        <v>6.1126741402671811E-2</v>
      </c>
      <c r="F22" s="3">
        <v>6.4819632445263217E-2</v>
      </c>
      <c r="G22" s="3">
        <v>8.320797027696876E-2</v>
      </c>
      <c r="H22" s="3">
        <v>0.1197156778891839</v>
      </c>
      <c r="I22" s="3">
        <v>0.17717065922192476</v>
      </c>
      <c r="J22" s="3">
        <v>0.27924089315484057</v>
      </c>
      <c r="K22" s="3">
        <v>3.6282052186739307E-2</v>
      </c>
      <c r="L22" s="3">
        <v>4.1497233030246584E-2</v>
      </c>
      <c r="M22" s="3">
        <v>0.15532989075404877</v>
      </c>
      <c r="N22" s="3">
        <v>7.2799498012281472E-2</v>
      </c>
      <c r="O22" s="3">
        <v>0.1628106400795242</v>
      </c>
      <c r="P22" s="3">
        <v>9.7229014902745631E-2</v>
      </c>
      <c r="Q22" s="3">
        <v>4.0011442066433277E-2</v>
      </c>
      <c r="R22" s="3">
        <v>9.752028834279175E-2</v>
      </c>
      <c r="S22" s="3">
        <v>2.222986655893687E-2</v>
      </c>
      <c r="T22" s="3">
        <v>6.4606734696348603E-2</v>
      </c>
      <c r="U22" s="3">
        <v>7.7341720887738802E-2</v>
      </c>
    </row>
    <row r="23" spans="1:24" ht="14.5" hidden="1" customHeight="1" x14ac:dyDescent="0.35">
      <c r="A23" t="s">
        <v>46</v>
      </c>
      <c r="B23" s="3">
        <v>3.3499369521332027E-2</v>
      </c>
      <c r="C23" s="3">
        <v>8.2013373468985046E-2</v>
      </c>
      <c r="D23" s="3">
        <v>1.7855446138963778E-2</v>
      </c>
      <c r="E23" s="3">
        <v>1.2225348280534362E-2</v>
      </c>
      <c r="F23" s="3">
        <v>4.4195203939952207E-3</v>
      </c>
      <c r="G23" s="3">
        <v>2.3549425550085497E-2</v>
      </c>
      <c r="H23" s="3">
        <v>0</v>
      </c>
      <c r="I23" s="3">
        <v>0</v>
      </c>
      <c r="J23" s="3">
        <v>5.5848178630968109E-2</v>
      </c>
      <c r="K23" s="3">
        <v>0</v>
      </c>
      <c r="L23" s="3">
        <v>1.659889321209863E-2</v>
      </c>
      <c r="M23" s="3">
        <v>0</v>
      </c>
      <c r="N23" s="3">
        <v>0</v>
      </c>
      <c r="O23" s="3">
        <v>0</v>
      </c>
      <c r="P23" s="3">
        <v>5.8337408941647378E-2</v>
      </c>
      <c r="Q23" s="3">
        <v>9.7419163292185376E-3</v>
      </c>
      <c r="R23" s="3">
        <v>0</v>
      </c>
      <c r="S23" s="3"/>
      <c r="T23" s="3">
        <v>0</v>
      </c>
      <c r="U23" s="3">
        <v>0</v>
      </c>
    </row>
    <row r="24" spans="1:24" ht="14.5" hidden="1" customHeight="1" x14ac:dyDescent="0.35">
      <c r="B24" s="3"/>
      <c r="C24" s="3"/>
      <c r="D24" s="3"/>
      <c r="E24" s="3"/>
      <c r="F24" s="3"/>
      <c r="G24" s="3"/>
      <c r="H24" s="3"/>
      <c r="I24" s="3"/>
      <c r="J24" s="3"/>
      <c r="K24" s="3"/>
      <c r="L24" s="3"/>
      <c r="M24" s="3"/>
      <c r="N24" s="3"/>
      <c r="O24" s="3"/>
      <c r="P24" s="3"/>
      <c r="Q24" s="3"/>
      <c r="R24" s="3"/>
      <c r="S24" s="3"/>
      <c r="T24" s="3"/>
      <c r="U24" s="3"/>
    </row>
    <row r="25" spans="1:24" ht="14.5" hidden="1" customHeight="1" x14ac:dyDescent="0.35">
      <c r="A25" t="s">
        <v>47</v>
      </c>
      <c r="B25" s="3">
        <v>1.674968476066601E-2</v>
      </c>
      <c r="C25" s="3">
        <v>2.733779115632835E-2</v>
      </c>
      <c r="D25" s="3">
        <v>4.8974937981157785E-3</v>
      </c>
      <c r="E25" s="3">
        <v>1.2225348280534362E-2</v>
      </c>
      <c r="F25" s="3">
        <v>1.2963926489052643E-2</v>
      </c>
      <c r="G25" s="3">
        <v>1.6641594055393751E-2</v>
      </c>
      <c r="H25" s="3">
        <v>2.3943135577836779E-2</v>
      </c>
      <c r="I25" s="3">
        <v>3.5434131844384952E-2</v>
      </c>
      <c r="J25" s="3">
        <v>5.5848178630968116E-2</v>
      </c>
      <c r="K25" s="3">
        <v>7.2564104373478615E-3</v>
      </c>
      <c r="L25" s="3">
        <v>8.2994466060493169E-3</v>
      </c>
      <c r="M25" s="3">
        <v>3.1065978150809755E-2</v>
      </c>
      <c r="N25" s="3">
        <v>1.4559899602456294E-2</v>
      </c>
      <c r="O25" s="3">
        <v>3.2562128015904843E-2</v>
      </c>
      <c r="P25" s="3">
        <v>1.9445802980549126E-2</v>
      </c>
      <c r="Q25" s="3">
        <v>8.0022884132866547E-3</v>
      </c>
      <c r="R25" s="3">
        <v>1.9504057668558349E-2</v>
      </c>
      <c r="S25" s="3">
        <v>7.4992320921714762E-4</v>
      </c>
      <c r="T25" s="3">
        <v>1.2921346939269721E-2</v>
      </c>
      <c r="U25" s="3">
        <v>1.546834417754776E-2</v>
      </c>
    </row>
    <row r="26" spans="1:24" ht="14.5" hidden="1" customHeight="1" x14ac:dyDescent="0.35">
      <c r="A26" t="s">
        <v>48</v>
      </c>
      <c r="B26" s="3">
        <v>6.6998739042664051E-3</v>
      </c>
      <c r="C26" s="3">
        <v>1.6402674693797008E-2</v>
      </c>
      <c r="D26" s="3">
        <v>3.5710892277927555E-3</v>
      </c>
      <c r="E26" s="3">
        <v>2.4450696561068722E-3</v>
      </c>
      <c r="F26" s="3">
        <v>8.8390407879904414E-4</v>
      </c>
      <c r="G26" s="3">
        <v>4.7098851100170992E-3</v>
      </c>
      <c r="H26" s="3">
        <v>0</v>
      </c>
      <c r="I26" s="3">
        <v>0</v>
      </c>
      <c r="J26" s="3">
        <v>1.1169635726193622E-2</v>
      </c>
      <c r="K26" s="3">
        <v>0</v>
      </c>
      <c r="L26" s="3">
        <v>3.3197786424197261E-3</v>
      </c>
      <c r="M26" s="3">
        <v>0</v>
      </c>
      <c r="N26" s="3">
        <v>0</v>
      </c>
      <c r="O26" s="3">
        <v>0</v>
      </c>
      <c r="P26" s="3">
        <v>1.1667481788329475E-2</v>
      </c>
      <c r="Q26" s="3">
        <v>1.9483832658437074E-3</v>
      </c>
      <c r="R26" s="3">
        <v>0</v>
      </c>
      <c r="S26" s="3">
        <v>4.4459733117873743E-3</v>
      </c>
      <c r="T26" s="3">
        <v>0</v>
      </c>
      <c r="U26" s="3">
        <v>0</v>
      </c>
    </row>
    <row r="28" spans="1:24" s="25" customFormat="1" ht="12.75" customHeight="1" x14ac:dyDescent="0.35">
      <c r="A28" s="743"/>
      <c r="B28" s="953"/>
      <c r="C28" s="953"/>
      <c r="D28" s="953"/>
      <c r="E28" s="184"/>
      <c r="F28" s="953" t="s">
        <v>68</v>
      </c>
      <c r="G28" s="953"/>
      <c r="H28" s="953"/>
      <c r="I28" s="953"/>
      <c r="J28" s="953"/>
      <c r="K28" s="953"/>
      <c r="L28" s="953"/>
      <c r="M28" s="953"/>
      <c r="N28" s="953"/>
      <c r="O28" s="953"/>
      <c r="P28" s="953" t="s">
        <v>168</v>
      </c>
      <c r="Q28" s="953"/>
      <c r="R28" s="953" t="s">
        <v>70</v>
      </c>
      <c r="S28" s="953"/>
      <c r="T28" s="953"/>
      <c r="U28" s="953"/>
    </row>
    <row r="29" spans="1:24" s="25" customFormat="1" ht="25.5" customHeight="1" x14ac:dyDescent="0.35">
      <c r="A29" s="743"/>
      <c r="B29" s="953"/>
      <c r="C29" s="953"/>
      <c r="D29" s="953"/>
      <c r="E29" s="743"/>
      <c r="F29" s="953" t="s">
        <v>72</v>
      </c>
      <c r="G29" s="953"/>
      <c r="H29" s="953"/>
      <c r="I29" s="953"/>
      <c r="J29" s="953"/>
      <c r="K29" s="953" t="s">
        <v>71</v>
      </c>
      <c r="L29" s="953"/>
      <c r="M29" s="953"/>
      <c r="N29" s="953"/>
      <c r="O29" s="953"/>
      <c r="P29" s="953"/>
      <c r="Q29" s="953"/>
      <c r="R29" s="953" t="s">
        <v>74</v>
      </c>
      <c r="S29" s="953"/>
      <c r="T29" s="953" t="s">
        <v>73</v>
      </c>
      <c r="U29" s="953"/>
    </row>
    <row r="30" spans="1:24" s="25" customFormat="1" ht="52" x14ac:dyDescent="0.35">
      <c r="A30" s="184" t="s">
        <v>169</v>
      </c>
      <c r="B30" s="184" t="s">
        <v>170</v>
      </c>
      <c r="C30" s="184" t="s">
        <v>89</v>
      </c>
      <c r="D30" s="184" t="s">
        <v>171</v>
      </c>
      <c r="E30" s="743" t="s">
        <v>60</v>
      </c>
      <c r="F30" s="747" t="s">
        <v>75</v>
      </c>
      <c r="G30" s="184" t="s">
        <v>76</v>
      </c>
      <c r="H30" s="184" t="s">
        <v>77</v>
      </c>
      <c r="I30" s="184" t="s">
        <v>172</v>
      </c>
      <c r="J30" s="184" t="s">
        <v>79</v>
      </c>
      <c r="K30" s="747" t="s">
        <v>173</v>
      </c>
      <c r="L30" s="184" t="s">
        <v>174</v>
      </c>
      <c r="M30" s="184" t="s">
        <v>175</v>
      </c>
      <c r="N30" s="184" t="s">
        <v>176</v>
      </c>
      <c r="O30" s="184" t="s">
        <v>177</v>
      </c>
      <c r="P30" s="184" t="s">
        <v>5</v>
      </c>
      <c r="Q30" s="184" t="s">
        <v>4</v>
      </c>
      <c r="R30" s="184" t="s">
        <v>80</v>
      </c>
      <c r="S30" s="184" t="s">
        <v>81</v>
      </c>
      <c r="T30" s="184" t="s">
        <v>80</v>
      </c>
      <c r="U30" s="184" t="s">
        <v>81</v>
      </c>
    </row>
    <row r="31" spans="1:24" x14ac:dyDescent="0.35">
      <c r="A31" s="623" t="s">
        <v>11</v>
      </c>
      <c r="B31" s="744">
        <v>62071.026599256984</v>
      </c>
      <c r="C31" s="745">
        <v>139.72187036566601</v>
      </c>
      <c r="D31" s="745">
        <v>11021.896543251698</v>
      </c>
      <c r="E31" s="746">
        <v>0.17756910344678647</v>
      </c>
      <c r="F31" s="746">
        <v>3.2666762997221668E-2</v>
      </c>
      <c r="G31" s="746">
        <v>2.1137317233496378E-2</v>
      </c>
      <c r="H31" s="746">
        <v>1.1529445763725294E-2</v>
      </c>
      <c r="I31" s="746">
        <v>0</v>
      </c>
      <c r="J31" s="746">
        <v>0</v>
      </c>
      <c r="K31" s="746">
        <v>4.7962494377097237E-2</v>
      </c>
      <c r="L31" s="746">
        <v>2.0695355145886909E-2</v>
      </c>
      <c r="M31" s="746">
        <v>1.4584748891112498E-2</v>
      </c>
      <c r="N31" s="746">
        <v>1.9215742939542159E-3</v>
      </c>
      <c r="O31" s="746">
        <v>1.0760816046143609E-2</v>
      </c>
      <c r="P31" s="746">
        <v>1.4588325948635105E-2</v>
      </c>
      <c r="Q31" s="746">
        <v>6.8078854426963809E-3</v>
      </c>
      <c r="R31" s="746">
        <v>1.4588325948635102E-2</v>
      </c>
      <c r="S31" s="746">
        <v>5.8353303794540417E-3</v>
      </c>
      <c r="T31" s="746">
        <v>1.4588325948635102E-2</v>
      </c>
      <c r="U31" s="746">
        <v>5.8353303794540417E-3</v>
      </c>
      <c r="V31" s="7"/>
      <c r="W31" s="7"/>
      <c r="X31" s="7"/>
    </row>
    <row r="32" spans="1:24" x14ac:dyDescent="0.35">
      <c r="A32" s="623" t="s">
        <v>13</v>
      </c>
      <c r="B32" s="744">
        <v>19958.329062286339</v>
      </c>
      <c r="C32" s="745">
        <v>2.3314927170917001</v>
      </c>
      <c r="D32" s="745">
        <v>12157.018459554209</v>
      </c>
      <c r="E32" s="746">
        <v>0.60912005316749462</v>
      </c>
      <c r="F32" s="746">
        <v>7.7419158757588563E-2</v>
      </c>
      <c r="G32" s="746">
        <v>7.7419158757588563E-2</v>
      </c>
      <c r="H32" s="746">
        <v>0</v>
      </c>
      <c r="I32" s="746">
        <v>0</v>
      </c>
      <c r="J32" s="746">
        <v>0</v>
      </c>
      <c r="K32" s="746">
        <v>7.1327958225913618E-2</v>
      </c>
      <c r="L32" s="746">
        <v>0</v>
      </c>
      <c r="M32" s="746">
        <v>6.0912005316749465E-2</v>
      </c>
      <c r="N32" s="746">
        <v>1.041595290916416E-2</v>
      </c>
      <c r="O32" s="746">
        <v>0</v>
      </c>
      <c r="P32" s="746">
        <v>0.10008545073406092</v>
      </c>
      <c r="Q32" s="746">
        <v>3.3361816911353641E-2</v>
      </c>
      <c r="R32" s="746">
        <v>5.0042725367030458E-2</v>
      </c>
      <c r="S32" s="746">
        <v>3.002563522021828E-2</v>
      </c>
      <c r="T32" s="746">
        <v>5.0042725367030458E-2</v>
      </c>
      <c r="U32" s="746">
        <v>3.002563522021828E-2</v>
      </c>
      <c r="V32" s="7"/>
      <c r="W32" s="7"/>
      <c r="X32" s="7"/>
    </row>
    <row r="33" spans="1:24" x14ac:dyDescent="0.35">
      <c r="A33" s="623" t="s">
        <v>12</v>
      </c>
      <c r="B33" s="744">
        <v>42038.224534805777</v>
      </c>
      <c r="C33" s="745">
        <v>2.4476085011358499</v>
      </c>
      <c r="D33" s="745">
        <v>6471.6232161512789</v>
      </c>
      <c r="E33" s="746">
        <v>0.15394615942433684</v>
      </c>
      <c r="F33" s="746">
        <v>1.499343518520891E-2</v>
      </c>
      <c r="G33" s="746">
        <v>1.499343518520891E-2</v>
      </c>
      <c r="H33" s="746">
        <v>0</v>
      </c>
      <c r="I33" s="746">
        <v>0</v>
      </c>
      <c r="J33" s="746">
        <v>0</v>
      </c>
      <c r="K33" s="746">
        <v>5.6641866255233667E-2</v>
      </c>
      <c r="L33" s="746">
        <v>3.3318744856019808E-2</v>
      </c>
      <c r="M33" s="746">
        <v>0</v>
      </c>
      <c r="N33" s="746">
        <v>1.6659372428009902E-3</v>
      </c>
      <c r="O33" s="746">
        <v>2.1657184156412872E-2</v>
      </c>
      <c r="P33" s="746">
        <v>1.2647564855762147E-2</v>
      </c>
      <c r="Q33" s="746">
        <v>1.6863419807682863E-2</v>
      </c>
      <c r="R33" s="746">
        <v>4.8566649046126635E-3</v>
      </c>
      <c r="S33" s="746">
        <v>3.7942694567286443E-3</v>
      </c>
      <c r="T33" s="746">
        <v>4.8566649046126635E-3</v>
      </c>
      <c r="U33" s="746">
        <v>3.7942694567286443E-3</v>
      </c>
      <c r="V33" s="7"/>
      <c r="W33" s="7"/>
      <c r="X33" s="7"/>
    </row>
    <row r="34" spans="1:24" x14ac:dyDescent="0.35">
      <c r="A34" s="623" t="s">
        <v>28</v>
      </c>
      <c r="B34" s="744">
        <v>64536.634896654687</v>
      </c>
      <c r="C34" s="745">
        <v>437.09888599999999</v>
      </c>
      <c r="D34" s="745">
        <v>12628.721272924957</v>
      </c>
      <c r="E34" s="746">
        <v>0.19568298367505335</v>
      </c>
      <c r="F34" s="746">
        <v>3.7375449881935197E-2</v>
      </c>
      <c r="G34" s="746">
        <v>1.9568298367505337E-2</v>
      </c>
      <c r="H34" s="746">
        <v>1.3697808857253736E-2</v>
      </c>
      <c r="I34" s="746">
        <v>0</v>
      </c>
      <c r="J34" s="746">
        <v>4.1093426571761201E-3</v>
      </c>
      <c r="K34" s="746">
        <v>9.3927832164025608E-3</v>
      </c>
      <c r="L34" s="746">
        <v>0</v>
      </c>
      <c r="M34" s="746">
        <v>0</v>
      </c>
      <c r="N34" s="746">
        <v>1.7611468530754799E-3</v>
      </c>
      <c r="O34" s="746">
        <v>7.6316363633270809E-3</v>
      </c>
      <c r="P34" s="746">
        <v>0</v>
      </c>
      <c r="Q34" s="746">
        <v>8.0382428391001202E-3</v>
      </c>
      <c r="R34" s="746">
        <v>1.6076485678200244E-2</v>
      </c>
      <c r="S34" s="746">
        <v>3.215297135640048E-3</v>
      </c>
      <c r="T34" s="746">
        <v>1.6076485678200244E-2</v>
      </c>
      <c r="U34" s="746">
        <v>3.215297135640048E-3</v>
      </c>
      <c r="V34" s="7"/>
      <c r="W34" s="7"/>
      <c r="X34" s="7"/>
    </row>
    <row r="35" spans="1:24" x14ac:dyDescent="0.35">
      <c r="A35" s="623" t="s">
        <v>15</v>
      </c>
      <c r="B35" s="744">
        <v>41367.751423642956</v>
      </c>
      <c r="C35" s="745">
        <v>1445.979656</v>
      </c>
      <c r="D35" s="745">
        <v>9626.691456024193</v>
      </c>
      <c r="E35" s="746">
        <v>0.23271004888417116</v>
      </c>
      <c r="F35" s="746">
        <v>1.8616803910733691E-2</v>
      </c>
      <c r="G35" s="746">
        <v>9.3084019553668455E-3</v>
      </c>
      <c r="H35" s="746">
        <v>9.3084019553668455E-3</v>
      </c>
      <c r="I35" s="746">
        <v>0</v>
      </c>
      <c r="J35" s="746">
        <v>0</v>
      </c>
      <c r="K35" s="746">
        <v>6.2957130379196147E-2</v>
      </c>
      <c r="L35" s="746">
        <v>3.0219422582014151E-2</v>
      </c>
      <c r="M35" s="746">
        <v>0</v>
      </c>
      <c r="N35" s="746">
        <v>1.7627996506174926E-3</v>
      </c>
      <c r="O35" s="746">
        <v>3.0974908146564509E-2</v>
      </c>
      <c r="P35" s="746">
        <v>1.9118472632613473E-2</v>
      </c>
      <c r="Q35" s="746">
        <v>9.5592363163067347E-3</v>
      </c>
      <c r="R35" s="746">
        <v>1.4020213263916545E-2</v>
      </c>
      <c r="S35" s="746">
        <v>9.5592363163067324E-4</v>
      </c>
      <c r="T35" s="746">
        <v>1.4020213263916545E-2</v>
      </c>
      <c r="U35" s="746">
        <v>9.5592363163067324E-4</v>
      </c>
      <c r="V35" s="7"/>
      <c r="W35" s="7"/>
      <c r="X35" s="7"/>
    </row>
    <row r="36" spans="1:24" x14ac:dyDescent="0.35">
      <c r="A36" s="623" t="s">
        <v>18</v>
      </c>
      <c r="B36" s="744">
        <v>61240.338529921333</v>
      </c>
      <c r="C36" s="745">
        <v>328.30903499999999</v>
      </c>
      <c r="D36" s="745">
        <v>14492.367412307125</v>
      </c>
      <c r="E36" s="746">
        <v>0.23664740855778121</v>
      </c>
      <c r="F36" s="746">
        <v>2.9962454885491457E-2</v>
      </c>
      <c r="G36" s="746">
        <v>1.3316646615773984E-2</v>
      </c>
      <c r="H36" s="746">
        <v>1.4084914689760942E-2</v>
      </c>
      <c r="I36" s="746">
        <v>0</v>
      </c>
      <c r="J36" s="746">
        <v>2.5608935799565349E-3</v>
      </c>
      <c r="K36" s="746">
        <v>6.8299031777440788E-2</v>
      </c>
      <c r="L36" s="746">
        <v>2.2202947338223158E-2</v>
      </c>
      <c r="M36" s="746">
        <v>2.3688265614597949E-2</v>
      </c>
      <c r="N36" s="746">
        <v>0</v>
      </c>
      <c r="O36" s="746">
        <v>2.2407818824619685E-2</v>
      </c>
      <c r="P36" s="746">
        <v>1.944194943787227E-2</v>
      </c>
      <c r="Q36" s="746">
        <v>9.0729097376737247E-3</v>
      </c>
      <c r="R36" s="746">
        <v>1.3764900202013562E-2</v>
      </c>
      <c r="S36" s="746">
        <v>3.8883898875744531E-3</v>
      </c>
      <c r="T36" s="746">
        <v>1.3764900202013562E-2</v>
      </c>
      <c r="U36" s="746">
        <v>3.8883898875744531E-3</v>
      </c>
      <c r="V36" s="7"/>
      <c r="W36" s="7"/>
      <c r="X36" s="7"/>
    </row>
    <row r="37" spans="1:24" x14ac:dyDescent="0.35">
      <c r="A37" s="623" t="s">
        <v>17</v>
      </c>
      <c r="B37" s="744">
        <v>32914.164709455959</v>
      </c>
      <c r="C37" s="745">
        <v>0.42327107369702999</v>
      </c>
      <c r="D37" s="745">
        <v>12757.781798869688</v>
      </c>
      <c r="E37" s="746">
        <v>0.38760764283361826</v>
      </c>
      <c r="F37" s="746">
        <v>3.9638199461692218E-2</v>
      </c>
      <c r="G37" s="746">
        <v>2.7851602584723422E-2</v>
      </c>
      <c r="H37" s="746">
        <v>0</v>
      </c>
      <c r="I37" s="746">
        <v>0</v>
      </c>
      <c r="J37" s="746">
        <v>1.1786596876968796E-2</v>
      </c>
      <c r="K37" s="746">
        <v>8.1709219631086197E-2</v>
      </c>
      <c r="L37" s="746">
        <v>1.6023060523139076E-2</v>
      </c>
      <c r="M37" s="746">
        <v>2.1643715261622419E-2</v>
      </c>
      <c r="N37" s="746">
        <v>1.593917015390798E-3</v>
      </c>
      <c r="O37" s="746">
        <v>4.2448526830933891E-2</v>
      </c>
      <c r="P37" s="746">
        <v>6.4144840224656455E-2</v>
      </c>
      <c r="Q37" s="746">
        <v>1.6150318451400761E-2</v>
      </c>
      <c r="R37" s="746">
        <v>3.184420332185494E-2</v>
      </c>
      <c r="S37" s="746">
        <v>0</v>
      </c>
      <c r="T37" s="746">
        <v>3.184420332185494E-2</v>
      </c>
      <c r="U37" s="746">
        <v>0</v>
      </c>
      <c r="V37" s="7"/>
      <c r="W37" s="7"/>
      <c r="X37" s="7"/>
    </row>
    <row r="38" spans="1:24" x14ac:dyDescent="0.35">
      <c r="A38" s="623" t="s">
        <v>21</v>
      </c>
      <c r="B38" s="744">
        <v>33639.138682369492</v>
      </c>
      <c r="C38" s="745">
        <v>3.2810392541797002</v>
      </c>
      <c r="D38" s="745">
        <v>12049.251351170033</v>
      </c>
      <c r="E38" s="746">
        <v>0.35819143483257881</v>
      </c>
      <c r="F38" s="746">
        <v>1.7300646302413555E-2</v>
      </c>
      <c r="G38" s="746">
        <v>6.5549032574361921E-3</v>
      </c>
      <c r="H38" s="746">
        <v>7.1638286966515755E-3</v>
      </c>
      <c r="I38" s="746">
        <v>3.5819143483257878E-3</v>
      </c>
      <c r="J38" s="746">
        <v>0</v>
      </c>
      <c r="K38" s="746">
        <v>4.5382854793287727E-2</v>
      </c>
      <c r="L38" s="746">
        <v>1.3145625658355642E-2</v>
      </c>
      <c r="M38" s="746">
        <v>1.4327657393303151E-2</v>
      </c>
      <c r="N38" s="746">
        <v>1.0745743044977364E-2</v>
      </c>
      <c r="O38" s="746">
        <v>7.1638286966515755E-3</v>
      </c>
      <c r="P38" s="746">
        <v>5.885498436289497E-2</v>
      </c>
      <c r="Q38" s="746">
        <v>1.4713746090723743E-2</v>
      </c>
      <c r="R38" s="746">
        <v>2.9427492181447492E-2</v>
      </c>
      <c r="S38" s="746">
        <v>0</v>
      </c>
      <c r="T38" s="746">
        <v>2.9427492181447492E-2</v>
      </c>
      <c r="U38" s="746">
        <v>0</v>
      </c>
      <c r="V38" s="7"/>
      <c r="W38" s="7"/>
      <c r="X38" s="7"/>
    </row>
    <row r="39" spans="1:24" x14ac:dyDescent="0.35">
      <c r="A39" s="623" t="s">
        <v>27</v>
      </c>
      <c r="B39" s="744">
        <v>18135.051977806645</v>
      </c>
      <c r="C39" s="745">
        <v>11.0611622619102</v>
      </c>
      <c r="D39" s="745">
        <v>13626.813930670072</v>
      </c>
      <c r="E39" s="746">
        <v>0.7514074923714763</v>
      </c>
      <c r="F39" s="746">
        <v>3.7570374618573814E-2</v>
      </c>
      <c r="G39" s="746">
        <v>7.5140749237147635E-3</v>
      </c>
      <c r="H39" s="746">
        <v>1.8785187309286907E-2</v>
      </c>
      <c r="I39" s="746">
        <v>0</v>
      </c>
      <c r="J39" s="746">
        <v>1.1271112385572143E-2</v>
      </c>
      <c r="K39" s="746">
        <v>2.0288002294029859E-2</v>
      </c>
      <c r="L39" s="746">
        <v>0</v>
      </c>
      <c r="M39" s="746">
        <v>0</v>
      </c>
      <c r="N39" s="746">
        <v>1.5028149847429526E-3</v>
      </c>
      <c r="O39" s="746">
        <v>1.8785187309286907E-2</v>
      </c>
      <c r="P39" s="746">
        <v>0.12346491823389356</v>
      </c>
      <c r="Q39" s="746">
        <v>4.1154972744631195E-2</v>
      </c>
      <c r="R39" s="746">
        <v>6.1732459116946796E-2</v>
      </c>
      <c r="S39" s="746">
        <v>2.4692983646778712E-2</v>
      </c>
      <c r="T39" s="746">
        <v>6.1732459116946796E-2</v>
      </c>
      <c r="U39" s="746">
        <v>2.4692983646778712E-2</v>
      </c>
      <c r="V39" s="7"/>
      <c r="W39" s="7"/>
      <c r="X39" s="7"/>
    </row>
    <row r="40" spans="1:24" s="60" customFormat="1" x14ac:dyDescent="0.35">
      <c r="A40" s="623" t="s">
        <v>24</v>
      </c>
      <c r="B40" s="744">
        <v>53614.560133164341</v>
      </c>
      <c r="C40" s="745">
        <v>9.8788359999999997</v>
      </c>
      <c r="D40" s="745">
        <v>7664.8706386056001</v>
      </c>
      <c r="E40" s="746">
        <v>0.14296248294433631</v>
      </c>
      <c r="F40" s="746">
        <v>3.1620617721129897E-3</v>
      </c>
      <c r="G40" s="746">
        <v>1.675341597003941E-3</v>
      </c>
      <c r="H40" s="746">
        <v>1.486720175109049E-3</v>
      </c>
      <c r="I40" s="746">
        <v>0</v>
      </c>
      <c r="J40" s="746">
        <v>0</v>
      </c>
      <c r="K40" s="746">
        <v>3.8818479610380388E-2</v>
      </c>
      <c r="L40" s="746">
        <v>8.9589822645117431E-3</v>
      </c>
      <c r="M40" s="746">
        <v>1.7975740951120686E-2</v>
      </c>
      <c r="N40" s="746">
        <v>2.9486012107269367E-3</v>
      </c>
      <c r="O40" s="746">
        <v>8.9351551840210191E-3</v>
      </c>
      <c r="P40" s="746">
        <v>5.9567701226806782E-3</v>
      </c>
      <c r="Q40" s="746">
        <v>7.8301283242598486E-3</v>
      </c>
      <c r="R40" s="746">
        <v>1.4877243816093712E-2</v>
      </c>
      <c r="S40" s="746">
        <v>0</v>
      </c>
      <c r="T40" s="746">
        <v>1.4877243816093712E-2</v>
      </c>
      <c r="U40" s="746">
        <v>0</v>
      </c>
      <c r="V40" s="7"/>
      <c r="W40" s="7"/>
      <c r="X40" s="7"/>
    </row>
    <row r="41" spans="1:24" x14ac:dyDescent="0.35">
      <c r="A41" s="623" t="s">
        <v>29</v>
      </c>
      <c r="B41" s="744">
        <v>20886.767520789348</v>
      </c>
      <c r="C41" s="745">
        <v>91.951372038819699</v>
      </c>
      <c r="D41" s="745">
        <v>7295.1603127444805</v>
      </c>
      <c r="E41" s="746">
        <v>0.34927186820475431</v>
      </c>
      <c r="F41" s="746">
        <v>2.4449030774332803E-2</v>
      </c>
      <c r="G41" s="746">
        <v>1.0478156046142629E-2</v>
      </c>
      <c r="H41" s="746">
        <v>0</v>
      </c>
      <c r="I41" s="746">
        <v>0</v>
      </c>
      <c r="J41" s="746">
        <v>1.3970874728190174E-2</v>
      </c>
      <c r="K41" s="746">
        <v>4.3658983525594289E-2</v>
      </c>
      <c r="L41" s="746">
        <v>1.0478156046142629E-2</v>
      </c>
      <c r="M41" s="746">
        <v>0</v>
      </c>
      <c r="N41" s="746">
        <v>0</v>
      </c>
      <c r="O41" s="746">
        <v>3.3180827479451662E-2</v>
      </c>
      <c r="P41" s="746">
        <v>0</v>
      </c>
      <c r="Q41" s="746">
        <v>1.3390859225727246E-2</v>
      </c>
      <c r="R41" s="746">
        <v>1.3390859225727246E-2</v>
      </c>
      <c r="S41" s="746">
        <v>5.3563436902908977E-3</v>
      </c>
      <c r="T41" s="746">
        <v>1.3390859225727246E-2</v>
      </c>
      <c r="U41" s="746">
        <v>5.3563436902908977E-3</v>
      </c>
      <c r="V41" s="7"/>
      <c r="W41" s="7"/>
      <c r="X41" s="7"/>
    </row>
    <row r="42" spans="1:24" x14ac:dyDescent="0.35">
      <c r="A42" s="623" t="s">
        <v>23</v>
      </c>
      <c r="B42" s="744">
        <v>17369.495423971723</v>
      </c>
      <c r="C42" s="745">
        <v>11.46</v>
      </c>
      <c r="D42" s="745">
        <v>1529.6044306565966</v>
      </c>
      <c r="E42" s="746">
        <v>8.8062686527185033E-2</v>
      </c>
      <c r="F42" s="746">
        <v>6.2524507434301366E-3</v>
      </c>
      <c r="G42" s="746">
        <v>4.2270089533048812E-3</v>
      </c>
      <c r="H42" s="746">
        <v>2.0254417901252554E-3</v>
      </c>
      <c r="I42" s="746">
        <v>0</v>
      </c>
      <c r="J42" s="746">
        <v>0</v>
      </c>
      <c r="K42" s="746">
        <v>2.1575358199160333E-2</v>
      </c>
      <c r="L42" s="746">
        <v>1.188846268116998E-2</v>
      </c>
      <c r="M42" s="746">
        <v>5.2837611916311013E-3</v>
      </c>
      <c r="N42" s="746">
        <v>1.3209402979077753E-3</v>
      </c>
      <c r="O42" s="746">
        <v>3.0821940284514763E-3</v>
      </c>
      <c r="P42" s="746">
        <v>7.2348575852107322E-3</v>
      </c>
      <c r="Q42" s="746">
        <v>7.2348575852107322E-3</v>
      </c>
      <c r="R42" s="746">
        <v>6.3600829158522512E-3</v>
      </c>
      <c r="S42" s="746">
        <v>0</v>
      </c>
      <c r="T42" s="746">
        <v>6.3600829158522512E-3</v>
      </c>
      <c r="U42" s="746">
        <v>0</v>
      </c>
      <c r="V42" s="7"/>
      <c r="W42" s="7"/>
      <c r="X42" s="7"/>
    </row>
    <row r="43" spans="1:24" x14ac:dyDescent="0.35">
      <c r="A43" s="623" t="s">
        <v>19</v>
      </c>
      <c r="B43" s="744">
        <v>81768.475585504289</v>
      </c>
      <c r="C43" s="745">
        <v>0.46946851638315801</v>
      </c>
      <c r="D43" s="745">
        <v>15514.394993115015</v>
      </c>
      <c r="E43" s="746">
        <v>0.18973565157016781</v>
      </c>
      <c r="F43" s="746">
        <v>2.2212089709857323E-2</v>
      </c>
      <c r="G43" s="746">
        <v>1.8696867331810287E-2</v>
      </c>
      <c r="H43" s="746">
        <v>9.486782578508391E-4</v>
      </c>
      <c r="I43" s="746">
        <v>0</v>
      </c>
      <c r="J43" s="746">
        <v>2.5665441201961989E-3</v>
      </c>
      <c r="K43" s="746">
        <v>3.2767446684668286E-2</v>
      </c>
      <c r="L43" s="746">
        <v>9.7634804037148842E-3</v>
      </c>
      <c r="M43" s="746">
        <v>1.5178852125613426E-2</v>
      </c>
      <c r="N43" s="746">
        <v>7.9688973659470478E-4</v>
      </c>
      <c r="O43" s="746">
        <v>7.0282244187452698E-3</v>
      </c>
      <c r="P43" s="746">
        <v>1.5587878045528079E-2</v>
      </c>
      <c r="Q43" s="746">
        <v>1.5587878045528079E-2</v>
      </c>
      <c r="R43" s="746">
        <v>1.2366383249452278E-2</v>
      </c>
      <c r="S43" s="746">
        <v>0</v>
      </c>
      <c r="T43" s="746">
        <v>1.2366383249452278E-2</v>
      </c>
      <c r="U43" s="746">
        <v>0</v>
      </c>
      <c r="V43" s="7"/>
      <c r="W43" s="7"/>
      <c r="X43" s="7"/>
    </row>
    <row r="44" spans="1:24" x14ac:dyDescent="0.35">
      <c r="A44" s="623" t="s">
        <v>16</v>
      </c>
      <c r="B44" s="744">
        <v>30940.178035102337</v>
      </c>
      <c r="C44" s="745">
        <v>1.73588788714955</v>
      </c>
      <c r="D44" s="745">
        <v>7085.7110594840688</v>
      </c>
      <c r="E44" s="746">
        <v>0.22901326073318545</v>
      </c>
      <c r="F44" s="746">
        <v>3.4663561538316755E-2</v>
      </c>
      <c r="G44" s="746">
        <v>3.4663561538316755E-2</v>
      </c>
      <c r="H44" s="746">
        <v>0</v>
      </c>
      <c r="I44" s="746">
        <v>0</v>
      </c>
      <c r="J44" s="746">
        <v>0</v>
      </c>
      <c r="K44" s="746">
        <v>4.8341959911695369E-2</v>
      </c>
      <c r="L44" s="746">
        <v>0</v>
      </c>
      <c r="M44" s="746">
        <v>2.3997850295757753E-2</v>
      </c>
      <c r="N44" s="746">
        <v>1.4427835426190682E-3</v>
      </c>
      <c r="O44" s="746">
        <v>2.2901326073318549E-2</v>
      </c>
      <c r="P44" s="746">
        <v>3.762952033078959E-2</v>
      </c>
      <c r="Q44" s="746">
        <v>1.8814760165394795E-2</v>
      </c>
      <c r="R44" s="746">
        <v>2.8222140248092192E-2</v>
      </c>
      <c r="S44" s="746">
        <v>0</v>
      </c>
      <c r="T44" s="746">
        <v>2.8222140248092192E-2</v>
      </c>
      <c r="U44" s="746">
        <v>0</v>
      </c>
      <c r="V44" s="7"/>
      <c r="W44" s="7"/>
      <c r="X44" s="7"/>
    </row>
    <row r="45" spans="1:24" x14ac:dyDescent="0.35">
      <c r="A45" s="623" t="s">
        <v>20</v>
      </c>
      <c r="B45" s="744">
        <v>34858.38248065568</v>
      </c>
      <c r="C45" s="745">
        <v>2614.35542686907</v>
      </c>
      <c r="D45" s="745">
        <v>12303.023402797189</v>
      </c>
      <c r="E45" s="746">
        <v>0.35294303772197783</v>
      </c>
      <c r="F45" s="746">
        <v>3.4374540943037331E-2</v>
      </c>
      <c r="G45" s="746">
        <v>3.4374540943037331E-2</v>
      </c>
      <c r="H45" s="746">
        <v>0</v>
      </c>
      <c r="I45" s="746">
        <v>0</v>
      </c>
      <c r="J45" s="746">
        <v>0</v>
      </c>
      <c r="K45" s="746">
        <v>6.4929688447959391E-2</v>
      </c>
      <c r="L45" s="746">
        <v>5.3471508133613621E-2</v>
      </c>
      <c r="M45" s="746">
        <v>0</v>
      </c>
      <c r="N45" s="746">
        <v>0</v>
      </c>
      <c r="O45" s="746">
        <v>1.1458180314345775E-2</v>
      </c>
      <c r="P45" s="746">
        <v>2.8996306089547969E-2</v>
      </c>
      <c r="Q45" s="746">
        <v>1.1598522435819188E-2</v>
      </c>
      <c r="R45" s="746">
        <v>1.4498153044773985E-2</v>
      </c>
      <c r="S45" s="746">
        <v>8.6988918268643915E-3</v>
      </c>
      <c r="T45" s="746">
        <v>1.4498153044773985E-2</v>
      </c>
      <c r="U45" s="746">
        <v>8.6988918268643915E-3</v>
      </c>
      <c r="V45" s="7"/>
      <c r="W45" s="7"/>
      <c r="X45" s="7"/>
    </row>
    <row r="46" spans="1:24" x14ac:dyDescent="0.35">
      <c r="A46" s="623" t="s">
        <v>26</v>
      </c>
      <c r="B46" s="744">
        <v>55000.651565302629</v>
      </c>
      <c r="C46" s="745">
        <v>23.102980647857201</v>
      </c>
      <c r="D46" s="745">
        <v>9714.0712456431593</v>
      </c>
      <c r="E46" s="746">
        <v>0.17661738487060613</v>
      </c>
      <c r="F46" s="746">
        <v>1.2251274137721944E-2</v>
      </c>
      <c r="G46" s="746">
        <v>5.4853598713357219E-3</v>
      </c>
      <c r="H46" s="746">
        <v>5.8102766581395798E-3</v>
      </c>
      <c r="I46" s="746">
        <v>0</v>
      </c>
      <c r="J46" s="746">
        <v>9.5563760824664149E-4</v>
      </c>
      <c r="K46" s="746">
        <v>3.0962658507191182E-2</v>
      </c>
      <c r="L46" s="746">
        <v>1.3570054037102307E-2</v>
      </c>
      <c r="M46" s="746">
        <v>1.3570054037102307E-2</v>
      </c>
      <c r="N46" s="746">
        <v>1.911275216493283E-3</v>
      </c>
      <c r="O46" s="746">
        <v>1.911275216493283E-3</v>
      </c>
      <c r="P46" s="746">
        <v>1.451013677872216E-2</v>
      </c>
      <c r="Q46" s="746">
        <v>8.7060820672332957E-3</v>
      </c>
      <c r="R46" s="746">
        <v>1.1124438197020321E-2</v>
      </c>
      <c r="S46" s="746">
        <v>2.7085588653614698E-3</v>
      </c>
      <c r="T46" s="746">
        <v>1.1124438197020321E-2</v>
      </c>
      <c r="U46" s="746">
        <v>2.7085588653614698E-3</v>
      </c>
      <c r="V46" s="7"/>
      <c r="W46" s="7"/>
      <c r="X46" s="7"/>
    </row>
    <row r="47" spans="1:24" x14ac:dyDescent="0.35">
      <c r="A47" s="623" t="s">
        <v>25</v>
      </c>
      <c r="B47" s="744">
        <v>28031.845136747816</v>
      </c>
      <c r="C47" s="745">
        <v>0.42315646387880601</v>
      </c>
      <c r="D47" s="745">
        <v>9165.4041260510967</v>
      </c>
      <c r="E47" s="746">
        <v>0.32696399688780686</v>
      </c>
      <c r="F47" s="746">
        <v>3.3513809681000199E-2</v>
      </c>
      <c r="G47" s="746">
        <v>2.3704889774365995E-2</v>
      </c>
      <c r="H47" s="746">
        <v>9.8089199066342062E-3</v>
      </c>
      <c r="I47" s="746">
        <v>0</v>
      </c>
      <c r="J47" s="746">
        <v>0</v>
      </c>
      <c r="K47" s="746">
        <v>5.6401289463146681E-2</v>
      </c>
      <c r="L47" s="746">
        <v>2.8609349727683097E-2</v>
      </c>
      <c r="M47" s="746">
        <v>2.4522299766585515E-2</v>
      </c>
      <c r="N47" s="746">
        <v>0</v>
      </c>
      <c r="O47" s="746">
        <v>3.2696399688780685E-3</v>
      </c>
      <c r="P47" s="746">
        <v>1.701258610162211E-2</v>
      </c>
      <c r="Q47" s="746">
        <v>1.701258610162211E-2</v>
      </c>
      <c r="R47" s="746">
        <v>2.6861978055192807E-2</v>
      </c>
      <c r="S47" s="746">
        <v>0</v>
      </c>
      <c r="T47" s="746">
        <v>2.6861978055192807E-2</v>
      </c>
      <c r="U47" s="746">
        <v>0</v>
      </c>
      <c r="V47" s="7"/>
      <c r="W47" s="7"/>
      <c r="X47" s="7"/>
    </row>
    <row r="48" spans="1:24" x14ac:dyDescent="0.35">
      <c r="A48" s="623" t="s">
        <v>31</v>
      </c>
      <c r="B48" s="744">
        <v>72611.737405991866</v>
      </c>
      <c r="C48" s="745">
        <v>3.6342715294039798</v>
      </c>
      <c r="D48" s="745">
        <v>9938.7180368230984</v>
      </c>
      <c r="E48" s="746">
        <v>0.13687481379564073</v>
      </c>
      <c r="F48" s="746">
        <v>6.0224918070081925E-3</v>
      </c>
      <c r="G48" s="746">
        <v>6.0224918070081925E-3</v>
      </c>
      <c r="H48" s="746">
        <v>0</v>
      </c>
      <c r="I48" s="746">
        <v>0</v>
      </c>
      <c r="J48" s="746">
        <v>0</v>
      </c>
      <c r="K48" s="746">
        <v>1.2044983614016385E-2</v>
      </c>
      <c r="L48" s="746">
        <v>1.2044983614016385E-2</v>
      </c>
      <c r="M48" s="746">
        <v>0</v>
      </c>
      <c r="N48" s="746">
        <v>0</v>
      </c>
      <c r="O48" s="746">
        <v>0</v>
      </c>
      <c r="P48" s="746">
        <v>0</v>
      </c>
      <c r="Q48" s="746">
        <v>5.2476924995590148E-3</v>
      </c>
      <c r="R48" s="746">
        <v>5.6225276780989455E-3</v>
      </c>
      <c r="S48" s="746">
        <v>0</v>
      </c>
      <c r="T48" s="746">
        <v>5.6225276780989455E-3</v>
      </c>
      <c r="U48" s="746">
        <v>0</v>
      </c>
      <c r="V48" s="7"/>
      <c r="W48" s="7"/>
      <c r="X48" s="7"/>
    </row>
    <row r="49" spans="1:37" x14ac:dyDescent="0.35">
      <c r="A49" s="623" t="s">
        <v>14</v>
      </c>
      <c r="B49" s="744">
        <v>66316.344137277571</v>
      </c>
      <c r="C49" s="745">
        <v>25.926311753506798</v>
      </c>
      <c r="D49" s="745">
        <v>9769.3803271396955</v>
      </c>
      <c r="E49" s="746">
        <v>0.14731482041465788</v>
      </c>
      <c r="F49" s="746">
        <v>2.9208151034702184E-2</v>
      </c>
      <c r="G49" s="746">
        <v>2.3912637378843336E-2</v>
      </c>
      <c r="H49" s="746">
        <v>5.1360960733332264E-3</v>
      </c>
      <c r="I49" s="746">
        <v>0</v>
      </c>
      <c r="J49" s="746">
        <v>1.5941758252562222E-4</v>
      </c>
      <c r="K49" s="746">
        <v>2.9646199901291581E-2</v>
      </c>
      <c r="L49" s="746">
        <v>1.1956318689421668E-2</v>
      </c>
      <c r="M49" s="746">
        <v>7.3657410207328949E-3</v>
      </c>
      <c r="N49" s="746">
        <v>1.0164722608611395E-2</v>
      </c>
      <c r="O49" s="746">
        <v>1.5941758252562222E-4</v>
      </c>
      <c r="P49" s="746">
        <v>1.2102762110964336E-2</v>
      </c>
      <c r="Q49" s="746">
        <v>8.4719334776750359E-3</v>
      </c>
      <c r="R49" s="746">
        <v>1.4442629452417439E-2</v>
      </c>
      <c r="S49" s="746">
        <v>0</v>
      </c>
      <c r="T49" s="746">
        <v>1.4442629452417439E-2</v>
      </c>
      <c r="U49" s="746">
        <v>0</v>
      </c>
      <c r="V49" s="7"/>
      <c r="W49" s="7"/>
      <c r="X49" s="7"/>
    </row>
    <row r="50" spans="1:37" x14ac:dyDescent="0.35">
      <c r="A50" s="623" t="s">
        <v>22</v>
      </c>
      <c r="B50" s="744">
        <v>18255.222216705592</v>
      </c>
      <c r="C50" s="745">
        <v>13.786</v>
      </c>
      <c r="D50" s="745">
        <v>113.1582765124039</v>
      </c>
      <c r="E50" s="746">
        <v>6.1986797623778738E-3</v>
      </c>
      <c r="F50" s="746">
        <v>3.719207857426724E-4</v>
      </c>
      <c r="G50" s="746">
        <v>2.4794719049511495E-4</v>
      </c>
      <c r="H50" s="746">
        <v>0</v>
      </c>
      <c r="I50" s="746">
        <v>0</v>
      </c>
      <c r="J50" s="746">
        <v>1.2397359524755748E-4</v>
      </c>
      <c r="K50" s="746">
        <v>9.7629206257451515E-4</v>
      </c>
      <c r="L50" s="746">
        <v>5.5788117861400865E-4</v>
      </c>
      <c r="M50" s="746">
        <v>0</v>
      </c>
      <c r="N50" s="746">
        <v>4.649009821783405E-5</v>
      </c>
      <c r="O50" s="746">
        <v>3.719207857426724E-4</v>
      </c>
      <c r="P50" s="746">
        <v>5.0925729234126474E-4</v>
      </c>
      <c r="Q50" s="746">
        <v>3.2252961848280095E-4</v>
      </c>
      <c r="R50" s="746">
        <v>5.0925729234126474E-4</v>
      </c>
      <c r="S50" s="746">
        <v>0</v>
      </c>
      <c r="T50" s="746">
        <v>5.0925729234126474E-4</v>
      </c>
      <c r="U50" s="746">
        <v>0</v>
      </c>
      <c r="V50" s="7"/>
      <c r="W50" s="7"/>
      <c r="X50" s="7"/>
    </row>
    <row r="51" spans="1:37" ht="14.5" customHeight="1" x14ac:dyDescent="0.35">
      <c r="V51" s="7"/>
      <c r="W51" s="7"/>
      <c r="X51" s="7"/>
    </row>
    <row r="52" spans="1:37" x14ac:dyDescent="0.35">
      <c r="V52" s="7"/>
      <c r="W52" s="7"/>
      <c r="X52" s="7"/>
    </row>
    <row r="53" spans="1:37" x14ac:dyDescent="0.35">
      <c r="D53" s="177"/>
      <c r="K53" s="56"/>
      <c r="L53" s="56"/>
      <c r="M53" s="56"/>
      <c r="N53" s="56"/>
      <c r="O53" s="56"/>
    </row>
    <row r="54" spans="1:37" ht="21.5" customHeight="1" x14ac:dyDescent="0.35">
      <c r="A54" s="623"/>
      <c r="B54" s="623"/>
      <c r="C54" s="623"/>
      <c r="D54" s="940" t="s">
        <v>69</v>
      </c>
      <c r="E54" s="941"/>
      <c r="F54" s="940" t="s">
        <v>70</v>
      </c>
      <c r="G54" s="941"/>
      <c r="H54" s="623"/>
      <c r="I54" s="623"/>
      <c r="J54" s="623"/>
      <c r="K54" s="623"/>
    </row>
    <row r="55" spans="1:37" ht="28.5" customHeight="1" x14ac:dyDescent="0.35">
      <c r="A55" s="748" t="s">
        <v>169</v>
      </c>
      <c r="B55" s="184" t="s">
        <v>60</v>
      </c>
      <c r="C55" s="184" t="s">
        <v>68</v>
      </c>
      <c r="D55" s="184" t="s">
        <v>82</v>
      </c>
      <c r="E55" s="184" t="s">
        <v>83</v>
      </c>
      <c r="F55" s="184" t="s">
        <v>84</v>
      </c>
      <c r="G55" s="184" t="s">
        <v>85</v>
      </c>
      <c r="H55" s="184" t="s">
        <v>86</v>
      </c>
      <c r="I55" s="184" t="s">
        <v>491</v>
      </c>
      <c r="J55" s="184" t="s">
        <v>492</v>
      </c>
      <c r="K55" s="184" t="s">
        <v>493</v>
      </c>
      <c r="O55" s="426"/>
      <c r="P55" s="426"/>
      <c r="Q55" s="25"/>
      <c r="R55" s="426"/>
      <c r="T55" s="426"/>
      <c r="AA55" s="7"/>
      <c r="AB55" s="7"/>
      <c r="AC55" s="25"/>
      <c r="AD55" s="25"/>
      <c r="AE55" s="25"/>
      <c r="AF55" s="25"/>
      <c r="AG55" s="25"/>
    </row>
    <row r="56" spans="1:37" ht="15" customHeight="1" x14ac:dyDescent="0.35">
      <c r="A56" s="708" t="s">
        <v>27</v>
      </c>
      <c r="B56" s="746">
        <v>0.7514074923714763</v>
      </c>
      <c r="C56" s="746">
        <v>5.7858376912603676E-2</v>
      </c>
      <c r="D56" s="746">
        <v>0.12346491823389356</v>
      </c>
      <c r="E56" s="746">
        <v>4.1154972744631195E-2</v>
      </c>
      <c r="F56" s="746">
        <v>6.1732459116946796E-2</v>
      </c>
      <c r="G56" s="746">
        <v>2.4692983646778712E-2</v>
      </c>
      <c r="H56" s="746">
        <v>1.0603112030263302</v>
      </c>
      <c r="I56" s="708">
        <v>0.70866693686421134</v>
      </c>
      <c r="J56" s="746">
        <v>0.29133306313578866</v>
      </c>
      <c r="K56" s="749">
        <v>1</v>
      </c>
      <c r="P56" s="428"/>
      <c r="Q56" s="25"/>
      <c r="R56" s="428"/>
      <c r="AD56" s="25"/>
      <c r="AE56" s="25"/>
      <c r="AF56" s="25"/>
      <c r="AG56" s="25"/>
    </row>
    <row r="57" spans="1:37" x14ac:dyDescent="0.35">
      <c r="A57" s="708" t="s">
        <v>20</v>
      </c>
      <c r="B57" s="746">
        <v>0.35294303772197783</v>
      </c>
      <c r="C57" s="746">
        <v>9.9304229390996729E-2</v>
      </c>
      <c r="D57" s="746">
        <v>2.8996306089547969E-2</v>
      </c>
      <c r="E57" s="746">
        <v>1.1598522435819188E-2</v>
      </c>
      <c r="F57" s="746">
        <v>1.4498153044773985E-2</v>
      </c>
      <c r="G57" s="746">
        <v>8.6988918268643915E-3</v>
      </c>
      <c r="H57" s="746">
        <v>0.51603914050998012</v>
      </c>
      <c r="I57" s="708">
        <v>0.68394625526501507</v>
      </c>
      <c r="J57" s="746">
        <v>0.31605374473498493</v>
      </c>
      <c r="K57" s="749">
        <v>1</v>
      </c>
      <c r="L57" s="7"/>
      <c r="Q57" s="22"/>
      <c r="R57" s="5"/>
      <c r="AE57" s="424"/>
      <c r="AF57" s="424"/>
      <c r="AG57" s="424"/>
    </row>
    <row r="58" spans="1:37" x14ac:dyDescent="0.35">
      <c r="A58" s="708" t="s">
        <v>23</v>
      </c>
      <c r="B58" s="746">
        <v>8.8062686527185033E-2</v>
      </c>
      <c r="C58" s="746">
        <v>2.782780894259047E-2</v>
      </c>
      <c r="D58" s="746">
        <v>7.2348575852107322E-3</v>
      </c>
      <c r="E58" s="746">
        <v>7.2348575852107322E-3</v>
      </c>
      <c r="F58" s="746">
        <v>6.3600829158522512E-3</v>
      </c>
      <c r="G58" s="746">
        <v>0</v>
      </c>
      <c r="H58" s="746">
        <v>0.1367202935560492</v>
      </c>
      <c r="I58" s="708">
        <v>0.64410837803740728</v>
      </c>
      <c r="J58" s="746">
        <v>0.35589162196259272</v>
      </c>
      <c r="K58" s="749">
        <v>1</v>
      </c>
      <c r="Q58" s="22"/>
      <c r="R58" s="680"/>
      <c r="AD58" s="440"/>
      <c r="AE58" s="424"/>
      <c r="AF58" s="424"/>
      <c r="AG58" s="424"/>
    </row>
    <row r="59" spans="1:37" x14ac:dyDescent="0.35">
      <c r="A59" s="708" t="s">
        <v>21</v>
      </c>
      <c r="B59" s="746">
        <v>0.35819143483257881</v>
      </c>
      <c r="C59" s="746">
        <v>6.2683501095701283E-2</v>
      </c>
      <c r="D59" s="746">
        <v>5.885498436289497E-2</v>
      </c>
      <c r="E59" s="746">
        <v>1.4713746090723743E-2</v>
      </c>
      <c r="F59" s="746">
        <v>2.9427492181447492E-2</v>
      </c>
      <c r="G59" s="746">
        <v>0</v>
      </c>
      <c r="H59" s="746">
        <v>0.52387115856334632</v>
      </c>
      <c r="I59" s="708">
        <v>0.68373955881609472</v>
      </c>
      <c r="J59" s="746">
        <v>0.31626044118390528</v>
      </c>
      <c r="K59" s="749">
        <v>1</v>
      </c>
      <c r="Q59" s="22"/>
      <c r="R59" s="680"/>
      <c r="AE59" s="944"/>
      <c r="AF59" s="944"/>
      <c r="AG59" s="944"/>
      <c r="AH59" s="944"/>
      <c r="AI59" s="944"/>
      <c r="AJ59" s="944"/>
      <c r="AK59" s="944"/>
    </row>
    <row r="60" spans="1:37" x14ac:dyDescent="0.35">
      <c r="A60" s="708" t="s">
        <v>13</v>
      </c>
      <c r="B60" s="746">
        <v>0.60912005316749462</v>
      </c>
      <c r="C60" s="746">
        <v>0.14874711698350218</v>
      </c>
      <c r="D60" s="746">
        <v>0.10008545073406092</v>
      </c>
      <c r="E60" s="746">
        <v>3.3361816911353641E-2</v>
      </c>
      <c r="F60" s="746">
        <v>5.0042725367030458E-2</v>
      </c>
      <c r="G60" s="746">
        <v>3.002563522021828E-2</v>
      </c>
      <c r="H60" s="746">
        <v>0.97138279838366004</v>
      </c>
      <c r="I60" s="708">
        <v>0.62706489571469115</v>
      </c>
      <c r="J60" s="746">
        <v>0.37293510428530885</v>
      </c>
      <c r="K60" s="749">
        <v>1</v>
      </c>
      <c r="Q60" s="22"/>
      <c r="R60" s="680"/>
      <c r="AE60" s="424"/>
      <c r="AF60" s="424"/>
      <c r="AG60" s="424"/>
      <c r="AH60" s="453"/>
      <c r="AI60" s="453"/>
      <c r="AJ60" s="453"/>
      <c r="AK60" s="453"/>
    </row>
    <row r="61" spans="1:37" x14ac:dyDescent="0.35">
      <c r="A61" s="708" t="s">
        <v>18</v>
      </c>
      <c r="B61" s="746">
        <v>0.23664740855778121</v>
      </c>
      <c r="C61" s="746">
        <v>9.8261486662932246E-2</v>
      </c>
      <c r="D61" s="746">
        <v>1.944194943787227E-2</v>
      </c>
      <c r="E61" s="746">
        <v>9.0729097376737247E-3</v>
      </c>
      <c r="F61" s="746">
        <v>1.3764900202013562E-2</v>
      </c>
      <c r="G61" s="746">
        <v>3.8883898875744531E-3</v>
      </c>
      <c r="H61" s="746">
        <v>0.38107704448584745</v>
      </c>
      <c r="I61" s="708">
        <v>0.62099623155487627</v>
      </c>
      <c r="J61" s="746">
        <v>0.37900376844512373</v>
      </c>
      <c r="K61" s="749">
        <v>1</v>
      </c>
      <c r="Q61" s="22"/>
      <c r="R61" s="680"/>
      <c r="AE61" s="424"/>
      <c r="AF61" s="424"/>
      <c r="AG61" s="424"/>
    </row>
    <row r="62" spans="1:37" x14ac:dyDescent="0.35">
      <c r="A62" s="708" t="s">
        <v>17</v>
      </c>
      <c r="B62" s="746">
        <v>0.38760764283361826</v>
      </c>
      <c r="C62" s="746">
        <v>0.12134741909277841</v>
      </c>
      <c r="D62" s="746">
        <v>6.4144840224656455E-2</v>
      </c>
      <c r="E62" s="746">
        <v>1.6150318451400761E-2</v>
      </c>
      <c r="F62" s="746">
        <v>3.184420332185494E-2</v>
      </c>
      <c r="G62" s="746">
        <v>0</v>
      </c>
      <c r="H62" s="746">
        <v>0.6210944239243088</v>
      </c>
      <c r="I62" s="708">
        <v>0.62407200564540088</v>
      </c>
      <c r="J62" s="746">
        <v>0.37592799435459912</v>
      </c>
      <c r="K62" s="749">
        <v>1</v>
      </c>
      <c r="Q62" s="22"/>
      <c r="R62" s="680"/>
      <c r="AE62" s="424"/>
      <c r="AF62" s="424"/>
      <c r="AG62" s="424"/>
    </row>
    <row r="63" spans="1:37" x14ac:dyDescent="0.35">
      <c r="A63" s="708" t="s">
        <v>16</v>
      </c>
      <c r="B63" s="746">
        <v>0.22901326073318545</v>
      </c>
      <c r="C63" s="746">
        <v>8.3005521450012124E-2</v>
      </c>
      <c r="D63" s="746">
        <v>3.762952033078959E-2</v>
      </c>
      <c r="E63" s="746">
        <v>1.8814760165394795E-2</v>
      </c>
      <c r="F63" s="746">
        <v>2.8222140248092192E-2</v>
      </c>
      <c r="G63" s="746">
        <v>0</v>
      </c>
      <c r="H63" s="746">
        <v>0.39668520292747417</v>
      </c>
      <c r="I63" s="708">
        <v>0.57731737670854311</v>
      </c>
      <c r="J63" s="746">
        <v>0.42268262329145689</v>
      </c>
      <c r="K63" s="749">
        <v>1</v>
      </c>
      <c r="Q63" s="22"/>
      <c r="R63" s="680"/>
      <c r="AE63" s="424"/>
      <c r="AF63" s="424"/>
      <c r="AG63" s="424"/>
    </row>
    <row r="64" spans="1:37" x14ac:dyDescent="0.35">
      <c r="A64" s="708" t="s">
        <v>11</v>
      </c>
      <c r="B64" s="746">
        <v>0.17756910344678647</v>
      </c>
      <c r="C64" s="746">
        <v>8.0629257374318905E-2</v>
      </c>
      <c r="D64" s="746">
        <v>1.4588325948635105E-2</v>
      </c>
      <c r="E64" s="746">
        <v>6.8078854426963809E-3</v>
      </c>
      <c r="F64" s="746">
        <v>1.4588325948635102E-2</v>
      </c>
      <c r="G64" s="746">
        <v>5.8353303794540417E-3</v>
      </c>
      <c r="H64" s="746">
        <v>0.30001822854052601</v>
      </c>
      <c r="I64" s="708">
        <v>0.59186104894556668</v>
      </c>
      <c r="J64" s="746">
        <v>0.40813895105443332</v>
      </c>
      <c r="K64" s="749">
        <v>1</v>
      </c>
      <c r="Q64" s="22"/>
      <c r="R64" s="680"/>
      <c r="AE64" s="429"/>
      <c r="AF64" s="429"/>
      <c r="AG64" s="429"/>
    </row>
    <row r="65" spans="1:33" x14ac:dyDescent="0.35">
      <c r="A65" s="708" t="s">
        <v>25</v>
      </c>
      <c r="B65" s="746">
        <v>0.32696399688780686</v>
      </c>
      <c r="C65" s="746">
        <v>8.9915099144146887E-2</v>
      </c>
      <c r="D65" s="746">
        <v>1.701258610162211E-2</v>
      </c>
      <c r="E65" s="746">
        <v>1.701258610162211E-2</v>
      </c>
      <c r="F65" s="746">
        <v>2.6861978055192807E-2</v>
      </c>
      <c r="G65" s="746">
        <v>0</v>
      </c>
      <c r="H65" s="746">
        <v>0.47776624629039077</v>
      </c>
      <c r="I65" s="708">
        <v>0.68435976678242583</v>
      </c>
      <c r="J65" s="746">
        <v>0.31564023321757417</v>
      </c>
      <c r="K65" s="749">
        <v>1</v>
      </c>
      <c r="Q65" s="22"/>
      <c r="R65" s="680"/>
      <c r="AE65" s="424"/>
      <c r="AF65" s="424"/>
      <c r="AG65" s="424"/>
    </row>
    <row r="66" spans="1:33" x14ac:dyDescent="0.35">
      <c r="A66" s="708" t="s">
        <v>19</v>
      </c>
      <c r="B66" s="746">
        <v>0.18973565157016781</v>
      </c>
      <c r="C66" s="746">
        <v>5.4979536394525609E-2</v>
      </c>
      <c r="D66" s="746">
        <v>1.5587878045528079E-2</v>
      </c>
      <c r="E66" s="746">
        <v>1.5587878045528079E-2</v>
      </c>
      <c r="F66" s="746">
        <v>1.2366383249452278E-2</v>
      </c>
      <c r="G66" s="746">
        <v>0</v>
      </c>
      <c r="H66" s="746">
        <v>0.28825732730520182</v>
      </c>
      <c r="I66" s="708">
        <v>0.65821623111519045</v>
      </c>
      <c r="J66" s="746">
        <v>0.34178376888480955</v>
      </c>
      <c r="K66" s="749">
        <v>1</v>
      </c>
      <c r="Q66" s="22"/>
      <c r="R66" s="680"/>
      <c r="AE66" s="424"/>
      <c r="AF66" s="424"/>
      <c r="AG66" s="424"/>
    </row>
    <row r="67" spans="1:33" x14ac:dyDescent="0.35">
      <c r="A67" s="708" t="s">
        <v>15</v>
      </c>
      <c r="B67" s="746">
        <v>0.23271004888417116</v>
      </c>
      <c r="C67" s="746">
        <v>8.1573934289929845E-2</v>
      </c>
      <c r="D67" s="746">
        <v>1.9118472632613473E-2</v>
      </c>
      <c r="E67" s="746">
        <v>9.5592363163067347E-3</v>
      </c>
      <c r="F67" s="746">
        <v>1.4020213263916545E-2</v>
      </c>
      <c r="G67" s="746">
        <v>9.5592363163067324E-4</v>
      </c>
      <c r="H67" s="746">
        <v>0.35793782901856841</v>
      </c>
      <c r="I67" s="708">
        <v>0.65014097426427386</v>
      </c>
      <c r="J67" s="746">
        <v>0.34985902573572614</v>
      </c>
      <c r="K67" s="749">
        <v>1</v>
      </c>
      <c r="Q67" s="22"/>
      <c r="R67" s="680"/>
      <c r="AE67" s="424"/>
      <c r="AF67" s="424"/>
      <c r="AG67" s="424"/>
    </row>
    <row r="68" spans="1:33" x14ac:dyDescent="0.35">
      <c r="A68" s="708" t="s">
        <v>14</v>
      </c>
      <c r="B68" s="746">
        <v>0.14731482041465788</v>
      </c>
      <c r="C68" s="746">
        <v>5.8854350935993768E-2</v>
      </c>
      <c r="D68" s="746">
        <v>1.2102762110964336E-2</v>
      </c>
      <c r="E68" s="746">
        <v>8.4719334776750359E-3</v>
      </c>
      <c r="F68" s="746">
        <v>1.4442629452417439E-2</v>
      </c>
      <c r="G68" s="746">
        <v>0</v>
      </c>
      <c r="H68" s="746">
        <v>0.24118649639170847</v>
      </c>
      <c r="I68" s="708">
        <v>0.61079215718364854</v>
      </c>
      <c r="J68" s="746">
        <v>0.38920784281635146</v>
      </c>
      <c r="K68" s="749">
        <v>1</v>
      </c>
      <c r="Q68" s="22"/>
      <c r="R68" s="680"/>
      <c r="AE68" s="424"/>
      <c r="AF68" s="424"/>
      <c r="AG68" s="424"/>
    </row>
    <row r="69" spans="1:33" x14ac:dyDescent="0.35">
      <c r="A69" s="708" t="s">
        <v>29</v>
      </c>
      <c r="B69" s="746">
        <v>0.34927186820475431</v>
      </c>
      <c r="C69" s="746">
        <v>6.8108014299927092E-2</v>
      </c>
      <c r="D69" s="746">
        <v>0</v>
      </c>
      <c r="E69" s="746">
        <v>1.3390859225727246E-2</v>
      </c>
      <c r="F69" s="746">
        <v>1.3390859225727246E-2</v>
      </c>
      <c r="G69" s="746">
        <v>5.3563436902908977E-3</v>
      </c>
      <c r="H69" s="746">
        <v>0.4495179446464268</v>
      </c>
      <c r="I69" s="708">
        <v>0.77699204751320416</v>
      </c>
      <c r="J69" s="746">
        <v>0.22300795248679584</v>
      </c>
      <c r="K69" s="749">
        <v>1</v>
      </c>
      <c r="Q69" s="22"/>
      <c r="R69" s="680"/>
      <c r="AE69" s="424"/>
      <c r="AF69" s="424"/>
      <c r="AG69" s="425"/>
    </row>
    <row r="70" spans="1:33" x14ac:dyDescent="0.35">
      <c r="A70" s="708" t="s">
        <v>22</v>
      </c>
      <c r="B70" s="746">
        <v>6.1986797623778738E-3</v>
      </c>
      <c r="C70" s="746">
        <v>1.3482128483171874E-3</v>
      </c>
      <c r="D70" s="746">
        <v>5.0925729234126474E-4</v>
      </c>
      <c r="E70" s="746">
        <v>3.2252961848280095E-4</v>
      </c>
      <c r="F70" s="746">
        <v>5.0925729234126474E-4</v>
      </c>
      <c r="G70" s="746">
        <v>0</v>
      </c>
      <c r="H70" s="746">
        <v>8.8879368138603913E-3</v>
      </c>
      <c r="I70" s="708">
        <v>0.69742617349746161</v>
      </c>
      <c r="J70" s="746">
        <v>0.30257382650253839</v>
      </c>
      <c r="K70" s="749">
        <v>1</v>
      </c>
      <c r="Q70" s="22"/>
      <c r="R70" s="680"/>
      <c r="AE70" s="424"/>
      <c r="AF70" s="424"/>
      <c r="AG70" s="424"/>
    </row>
    <row r="71" spans="1:33" x14ac:dyDescent="0.35">
      <c r="A71" s="708" t="s">
        <v>28</v>
      </c>
      <c r="B71" s="746">
        <v>0.19568298367505335</v>
      </c>
      <c r="C71" s="746">
        <v>4.6768233098337761E-2</v>
      </c>
      <c r="D71" s="746">
        <v>0</v>
      </c>
      <c r="E71" s="746">
        <v>8.0382428391001202E-3</v>
      </c>
      <c r="F71" s="746">
        <v>1.6076485678200244E-2</v>
      </c>
      <c r="G71" s="746">
        <v>3.215297135640048E-3</v>
      </c>
      <c r="H71" s="746">
        <v>0.2697812424263315</v>
      </c>
      <c r="I71" s="708">
        <v>0.72533947102896901</v>
      </c>
      <c r="J71" s="746">
        <v>0.27466052897103099</v>
      </c>
      <c r="K71" s="749">
        <v>1</v>
      </c>
      <c r="Q71" s="22"/>
      <c r="R71" s="680"/>
      <c r="AE71" s="424"/>
      <c r="AF71" s="424"/>
      <c r="AG71" s="424"/>
    </row>
    <row r="72" spans="1:33" x14ac:dyDescent="0.35">
      <c r="A72" s="708" t="s">
        <v>26</v>
      </c>
      <c r="B72" s="746">
        <v>0.17661738487060613</v>
      </c>
      <c r="C72" s="746">
        <v>4.3213932644913126E-2</v>
      </c>
      <c r="D72" s="746">
        <v>1.451013677872216E-2</v>
      </c>
      <c r="E72" s="746">
        <v>8.7060820672332957E-3</v>
      </c>
      <c r="F72" s="746">
        <v>1.1124438197020321E-2</v>
      </c>
      <c r="G72" s="746">
        <v>2.7085588653614698E-3</v>
      </c>
      <c r="H72" s="746">
        <v>0.25688053342385653</v>
      </c>
      <c r="I72" s="708">
        <v>0.68754678494529964</v>
      </c>
      <c r="J72" s="746">
        <v>0.31245321505470036</v>
      </c>
      <c r="K72" s="749">
        <v>1</v>
      </c>
      <c r="Q72" s="22"/>
      <c r="R72" s="680"/>
      <c r="AE72" s="424"/>
      <c r="AF72" s="424"/>
      <c r="AG72" s="424"/>
    </row>
    <row r="73" spans="1:33" ht="14.5" customHeight="1" x14ac:dyDescent="0.35">
      <c r="A73" s="708" t="s">
        <v>12</v>
      </c>
      <c r="B73" s="746">
        <v>0.15394615942433684</v>
      </c>
      <c r="C73" s="746">
        <v>7.1635301440442584E-2</v>
      </c>
      <c r="D73" s="746">
        <v>1.2647564855762147E-2</v>
      </c>
      <c r="E73" s="746">
        <v>1.6863419807682863E-2</v>
      </c>
      <c r="F73" s="746">
        <v>4.8566649046126635E-3</v>
      </c>
      <c r="G73" s="746">
        <v>3.7942694567286443E-3</v>
      </c>
      <c r="H73" s="746">
        <v>0.26374337988956575</v>
      </c>
      <c r="I73" s="708">
        <v>0.58369677179687673</v>
      </c>
      <c r="J73" s="746">
        <v>0.41630322820312327</v>
      </c>
      <c r="K73" s="749">
        <v>1</v>
      </c>
      <c r="Q73" s="22"/>
      <c r="R73" s="680"/>
      <c r="AE73" s="424"/>
      <c r="AF73" s="424"/>
      <c r="AG73" s="424"/>
    </row>
    <row r="74" spans="1:33" x14ac:dyDescent="0.35">
      <c r="A74" s="708" t="s">
        <v>24</v>
      </c>
      <c r="B74" s="746">
        <v>0.14296248294433631</v>
      </c>
      <c r="C74" s="746">
        <v>4.198054138249338E-2</v>
      </c>
      <c r="D74" s="746">
        <v>5.9567701226806782E-3</v>
      </c>
      <c r="E74" s="746">
        <v>7.8301283242598486E-3</v>
      </c>
      <c r="F74" s="746">
        <v>1.4877243816093712E-2</v>
      </c>
      <c r="G74" s="746">
        <v>0</v>
      </c>
      <c r="H74" s="746">
        <v>0.21360716658986392</v>
      </c>
      <c r="I74" s="708">
        <v>0.66927755855135318</v>
      </c>
      <c r="J74" s="746">
        <v>0.33072244144864682</v>
      </c>
      <c r="K74" s="749">
        <v>1</v>
      </c>
      <c r="Q74" s="22"/>
      <c r="R74" s="680"/>
      <c r="AE74" s="424"/>
      <c r="AF74" s="424"/>
      <c r="AG74" s="424"/>
    </row>
    <row r="75" spans="1:33" x14ac:dyDescent="0.35">
      <c r="A75" s="708" t="s">
        <v>31</v>
      </c>
      <c r="B75" s="746">
        <v>0.13687481379564073</v>
      </c>
      <c r="C75" s="746">
        <v>1.8067475421024576E-2</v>
      </c>
      <c r="D75" s="746">
        <v>0</v>
      </c>
      <c r="E75" s="746">
        <v>5.2476924995590148E-3</v>
      </c>
      <c r="F75" s="746">
        <v>5.6225276780989455E-3</v>
      </c>
      <c r="G75" s="746">
        <v>0</v>
      </c>
      <c r="H75" s="746">
        <v>0.16581250939432327</v>
      </c>
      <c r="I75" s="708">
        <v>0.82547941826352189</v>
      </c>
      <c r="J75" s="746">
        <v>0.17452058173647811</v>
      </c>
      <c r="K75" s="749">
        <v>1</v>
      </c>
      <c r="Q75" s="22"/>
      <c r="R75" s="680"/>
      <c r="AE75" s="424"/>
      <c r="AF75" s="424"/>
      <c r="AG75" s="424"/>
    </row>
    <row r="76" spans="1:33" x14ac:dyDescent="0.35">
      <c r="A76" s="708" t="s">
        <v>125</v>
      </c>
      <c r="B76" s="749">
        <v>0.28636553579646828</v>
      </c>
      <c r="C76" s="749">
        <v>7.3718518223032214E-2</v>
      </c>
      <c r="D76" s="749">
        <v>3.0230137000569104E-2</v>
      </c>
      <c r="E76" s="749">
        <v>1.4576832815799322E-2</v>
      </c>
      <c r="F76" s="750">
        <v>2.0986656830640372E-2</v>
      </c>
      <c r="G76" s="749">
        <v>4.9539790966967572E-3</v>
      </c>
      <c r="H76" s="749">
        <v>0.43083165976320614</v>
      </c>
      <c r="I76" s="623"/>
      <c r="J76" s="623"/>
      <c r="K76" s="623"/>
      <c r="Q76" s="22"/>
      <c r="R76" s="680"/>
    </row>
    <row r="77" spans="1:33" x14ac:dyDescent="0.35">
      <c r="A77" s="708"/>
      <c r="B77" s="750">
        <v>3.0637696045712367E-2</v>
      </c>
      <c r="C77" s="430"/>
      <c r="D77" s="430"/>
      <c r="E77" s="430"/>
      <c r="F77" s="430"/>
      <c r="G77" s="430"/>
      <c r="H77" s="750"/>
      <c r="I77" s="750"/>
      <c r="J77" s="430"/>
      <c r="K77" s="623"/>
      <c r="O77" s="427"/>
      <c r="P77" s="427"/>
      <c r="Q77" s="22"/>
      <c r="R77" s="680"/>
      <c r="AD77" s="22"/>
    </row>
    <row r="78" spans="1:33" ht="18.5" x14ac:dyDescent="0.45">
      <c r="A78" s="21"/>
      <c r="B78" s="31"/>
      <c r="C78" s="31"/>
      <c r="D78" s="31"/>
      <c r="E78" s="31"/>
      <c r="F78" s="31"/>
      <c r="G78" s="31"/>
      <c r="H78" s="31"/>
      <c r="O78" s="427"/>
      <c r="P78" s="427"/>
      <c r="Q78" s="22"/>
      <c r="R78" s="680"/>
      <c r="AD78" s="22"/>
    </row>
    <row r="79" spans="1:33" x14ac:dyDescent="0.35">
      <c r="O79" s="427"/>
      <c r="P79" s="427"/>
      <c r="Q79" s="428"/>
      <c r="R79" s="680"/>
      <c r="AD79" s="424"/>
    </row>
    <row r="80" spans="1:33" x14ac:dyDescent="0.35">
      <c r="O80" s="427"/>
      <c r="P80" s="427"/>
      <c r="Q80" s="428"/>
      <c r="R80" s="680"/>
      <c r="AD80" s="424"/>
    </row>
    <row r="81" spans="1:30" x14ac:dyDescent="0.35">
      <c r="C81" s="751"/>
      <c r="D81" s="751"/>
      <c r="E81" s="751"/>
      <c r="F81" s="751"/>
      <c r="G81" s="751"/>
      <c r="H81" s="751"/>
      <c r="I81" s="751"/>
      <c r="J81" s="751"/>
      <c r="O81" s="427"/>
      <c r="P81" s="427"/>
      <c r="Q81" s="428"/>
      <c r="R81" s="680"/>
      <c r="AD81" s="424"/>
    </row>
    <row r="82" spans="1:30" x14ac:dyDescent="0.35">
      <c r="B82" s="428"/>
      <c r="D82" s="2"/>
      <c r="K82" s="25"/>
      <c r="O82" s="427"/>
      <c r="P82" s="427"/>
      <c r="Q82" s="428"/>
      <c r="R82" s="680"/>
      <c r="AD82" s="424"/>
    </row>
    <row r="83" spans="1:30" ht="16" x14ac:dyDescent="0.4">
      <c r="A83" s="623"/>
      <c r="B83" s="623"/>
      <c r="C83" s="752" t="s">
        <v>60</v>
      </c>
      <c r="D83" s="752" t="s">
        <v>68</v>
      </c>
      <c r="E83" s="752" t="s">
        <v>82</v>
      </c>
      <c r="F83" s="752" t="s">
        <v>83</v>
      </c>
      <c r="G83" s="752" t="s">
        <v>84</v>
      </c>
      <c r="H83" s="752" t="s">
        <v>85</v>
      </c>
      <c r="I83" s="788" t="s">
        <v>483</v>
      </c>
      <c r="J83" s="790"/>
      <c r="N83" s="427"/>
      <c r="O83" s="427"/>
      <c r="P83" s="428"/>
      <c r="Q83" s="680"/>
      <c r="AC83" s="424"/>
    </row>
    <row r="84" spans="1:30" x14ac:dyDescent="0.35">
      <c r="A84" s="954" t="s">
        <v>27</v>
      </c>
      <c r="B84" s="448">
        <v>2013</v>
      </c>
      <c r="C84" s="516">
        <v>0.60360037170655934</v>
      </c>
      <c r="D84" s="516">
        <v>4.6477228621405076E-2</v>
      </c>
      <c r="E84" s="516">
        <v>9.9276376925420948E-2</v>
      </c>
      <c r="F84" s="516">
        <v>3.309212564180699E-2</v>
      </c>
      <c r="G84" s="516">
        <v>4.9638188462710481E-2</v>
      </c>
      <c r="H84" s="516">
        <v>9.9276376925420944E-3</v>
      </c>
      <c r="I84" s="789">
        <v>0.84201192905044497</v>
      </c>
      <c r="J84" s="791"/>
      <c r="N84" s="427"/>
      <c r="O84" s="427"/>
      <c r="P84" s="428"/>
      <c r="Q84" s="680"/>
      <c r="AC84" s="424"/>
    </row>
    <row r="85" spans="1:30" x14ac:dyDescent="0.35">
      <c r="A85" s="954"/>
      <c r="B85" s="448">
        <v>2023</v>
      </c>
      <c r="C85" s="516">
        <v>0.7514074923714763</v>
      </c>
      <c r="D85" s="516">
        <v>5.7858376912603676E-2</v>
      </c>
      <c r="E85" s="516">
        <v>0.12346491823389356</v>
      </c>
      <c r="F85" s="516">
        <v>4.1154972744631195E-2</v>
      </c>
      <c r="G85" s="516">
        <v>6.1732459116946796E-2</v>
      </c>
      <c r="H85" s="516">
        <v>2.4692983646778712E-2</v>
      </c>
      <c r="I85" s="789">
        <v>1.0603112030263302</v>
      </c>
      <c r="J85" s="791"/>
      <c r="N85" s="427"/>
      <c r="O85" s="427"/>
      <c r="P85" s="428"/>
      <c r="Q85" s="680"/>
      <c r="AC85" s="424"/>
    </row>
    <row r="86" spans="1:30" x14ac:dyDescent="0.35">
      <c r="A86" s="954" t="s">
        <v>20</v>
      </c>
      <c r="B86" s="448">
        <v>2013</v>
      </c>
      <c r="C86" s="516">
        <v>0.47318120928341578</v>
      </c>
      <c r="D86" s="516">
        <v>0.13313450140133914</v>
      </c>
      <c r="E86" s="516">
        <v>3.8874565337119277E-2</v>
      </c>
      <c r="F86" s="516">
        <v>1.5549826134847712E-2</v>
      </c>
      <c r="G86" s="516">
        <v>1.9437282668559638E-2</v>
      </c>
      <c r="H86" s="516">
        <v>1.1662369601135782E-2</v>
      </c>
      <c r="I86" s="789">
        <v>0.69183975442641732</v>
      </c>
      <c r="J86" s="791"/>
      <c r="N86" s="427"/>
      <c r="O86" s="427"/>
      <c r="P86" s="428"/>
      <c r="Q86" s="680"/>
      <c r="AC86" s="424"/>
    </row>
    <row r="87" spans="1:30" x14ac:dyDescent="0.35">
      <c r="A87" s="954"/>
      <c r="B87" s="448">
        <v>2023</v>
      </c>
      <c r="C87" s="516">
        <v>0.35294303772197783</v>
      </c>
      <c r="D87" s="516">
        <v>9.9304229390996729E-2</v>
      </c>
      <c r="E87" s="516">
        <v>2.8996306089547969E-2</v>
      </c>
      <c r="F87" s="516">
        <v>1.1598522435819188E-2</v>
      </c>
      <c r="G87" s="516">
        <v>1.4498153044773985E-2</v>
      </c>
      <c r="H87" s="516">
        <v>8.6988918268643915E-3</v>
      </c>
      <c r="I87" s="789">
        <v>0.51603914050998012</v>
      </c>
      <c r="J87" s="791"/>
      <c r="N87" s="427"/>
      <c r="O87" s="427"/>
      <c r="P87" s="428"/>
      <c r="Q87" s="680"/>
      <c r="AC87" s="424"/>
    </row>
    <row r="88" spans="1:30" hidden="1" x14ac:dyDescent="0.35">
      <c r="A88" s="955" t="s">
        <v>23</v>
      </c>
      <c r="B88" s="448">
        <v>2013</v>
      </c>
      <c r="C88" s="516">
        <v>0.43611853942482925</v>
      </c>
      <c r="D88" s="516">
        <v>0.10647565299861668</v>
      </c>
      <c r="E88" s="516">
        <v>3.584535940478048E-2</v>
      </c>
      <c r="F88" s="516">
        <v>3.584535940478048E-2</v>
      </c>
      <c r="G88" s="516">
        <v>3.1065978150809755E-2</v>
      </c>
      <c r="H88" s="516">
        <v>0</v>
      </c>
      <c r="I88" s="789">
        <v>0.64535088938381679</v>
      </c>
      <c r="J88" s="791"/>
      <c r="N88" s="427"/>
      <c r="O88" s="427"/>
      <c r="P88" s="428"/>
      <c r="Q88" s="680"/>
      <c r="AC88" s="424"/>
    </row>
    <row r="89" spans="1:30" hidden="1" x14ac:dyDescent="0.35">
      <c r="A89" s="956"/>
      <c r="B89" s="448">
        <v>2023</v>
      </c>
      <c r="C89" s="516">
        <v>8.8062686527185033E-2</v>
      </c>
      <c r="D89" s="516">
        <v>2.782780894259047E-2</v>
      </c>
      <c r="E89" s="516">
        <v>7.2348575852107322E-3</v>
      </c>
      <c r="F89" s="516">
        <v>7.2348575852107322E-3</v>
      </c>
      <c r="G89" s="516">
        <v>6.3600829158522512E-3</v>
      </c>
      <c r="H89" s="516">
        <v>0</v>
      </c>
      <c r="I89" s="789">
        <v>0.13672029355604923</v>
      </c>
      <c r="J89" s="791"/>
      <c r="N89" s="427"/>
      <c r="O89" s="427"/>
      <c r="P89" s="428"/>
      <c r="Q89" s="680"/>
      <c r="AC89" s="424"/>
    </row>
    <row r="90" spans="1:30" x14ac:dyDescent="0.35">
      <c r="A90" s="955" t="s">
        <v>21</v>
      </c>
      <c r="B90" s="448">
        <v>2013</v>
      </c>
      <c r="C90" s="516">
        <v>0.43111527077335021</v>
      </c>
      <c r="D90" s="516">
        <v>7.5445172385336295E-2</v>
      </c>
      <c r="E90" s="516">
        <v>7.0868263688769903E-2</v>
      </c>
      <c r="F90" s="516">
        <v>1.7717065922192476E-2</v>
      </c>
      <c r="G90" s="516">
        <v>3.5434131844384952E-2</v>
      </c>
      <c r="H90" s="516">
        <v>0</v>
      </c>
      <c r="I90" s="789">
        <v>0.63057990461403379</v>
      </c>
      <c r="J90" s="791"/>
      <c r="N90" s="427"/>
      <c r="O90" s="427"/>
      <c r="P90" s="428"/>
      <c r="Q90" s="680"/>
      <c r="AC90" s="424"/>
    </row>
    <row r="91" spans="1:30" x14ac:dyDescent="0.35">
      <c r="A91" s="956"/>
      <c r="B91" s="448">
        <v>2023</v>
      </c>
      <c r="C91" s="516">
        <v>0.35819143483257881</v>
      </c>
      <c r="D91" s="516">
        <v>6.2683501095701283E-2</v>
      </c>
      <c r="E91" s="516">
        <v>5.885498436289497E-2</v>
      </c>
      <c r="F91" s="516">
        <v>1.4713746090723743E-2</v>
      </c>
      <c r="G91" s="516">
        <v>2.9427492181447492E-2</v>
      </c>
      <c r="H91" s="516">
        <v>0</v>
      </c>
      <c r="I91" s="789">
        <v>0.52387115856334632</v>
      </c>
      <c r="J91" s="791"/>
      <c r="N91" s="427"/>
      <c r="O91" s="427"/>
      <c r="P91" s="428"/>
      <c r="Q91" s="680"/>
      <c r="AC91" s="424"/>
    </row>
    <row r="92" spans="1:30" x14ac:dyDescent="0.35">
      <c r="A92" s="957" t="s">
        <v>13</v>
      </c>
      <c r="B92" s="448">
        <v>2013</v>
      </c>
      <c r="C92" s="516">
        <v>0.33260979240199495</v>
      </c>
      <c r="D92" s="516">
        <v>8.122331130456717E-2</v>
      </c>
      <c r="E92" s="516">
        <v>5.4675582312656706E-2</v>
      </c>
      <c r="F92" s="516">
        <v>1.8225194104218904E-2</v>
      </c>
      <c r="G92" s="516">
        <v>2.733779115632835E-2</v>
      </c>
      <c r="H92" s="516">
        <v>1.6402674693797008E-2</v>
      </c>
      <c r="I92" s="789">
        <v>0.53047434597356302</v>
      </c>
      <c r="J92" s="791"/>
      <c r="N92" s="427"/>
      <c r="O92" s="427"/>
      <c r="P92" s="428"/>
      <c r="Q92" s="680"/>
      <c r="AC92" s="424"/>
    </row>
    <row r="93" spans="1:30" x14ac:dyDescent="0.35">
      <c r="A93" s="958"/>
      <c r="B93" s="448">
        <v>2023</v>
      </c>
      <c r="C93" s="516">
        <v>0.60912005316749462</v>
      </c>
      <c r="D93" s="516">
        <v>0.14874711698350218</v>
      </c>
      <c r="E93" s="516">
        <v>0.10008545073406092</v>
      </c>
      <c r="F93" s="516">
        <v>3.3361816911353641E-2</v>
      </c>
      <c r="G93" s="516">
        <v>5.0042725367030458E-2</v>
      </c>
      <c r="H93" s="516">
        <v>3.002563522021828E-2</v>
      </c>
      <c r="I93" s="789">
        <v>0.97138279838366015</v>
      </c>
      <c r="J93" s="791"/>
      <c r="N93" s="427"/>
      <c r="O93" s="427"/>
      <c r="P93" s="428"/>
      <c r="Q93" s="680"/>
      <c r="AC93" s="424"/>
    </row>
    <row r="94" spans="1:30" x14ac:dyDescent="0.35">
      <c r="A94" s="957" t="s">
        <v>17</v>
      </c>
      <c r="B94" s="448">
        <v>2013</v>
      </c>
      <c r="C94" s="516">
        <v>0.2913081494928525</v>
      </c>
      <c r="D94" s="516">
        <v>9.8321355027826282E-2</v>
      </c>
      <c r="E94" s="516">
        <v>4.8551356306754417E-2</v>
      </c>
      <c r="F94" s="516">
        <v>1.2137839562202187E-2</v>
      </c>
      <c r="G94" s="516">
        <v>2.4275679124404377E-2</v>
      </c>
      <c r="H94" s="516">
        <v>0</v>
      </c>
      <c r="I94" s="789">
        <v>0.47459437951403982</v>
      </c>
      <c r="J94" s="791"/>
      <c r="N94" s="427"/>
      <c r="O94" s="427"/>
      <c r="P94" s="428"/>
      <c r="Q94" s="680"/>
      <c r="AC94" s="424"/>
    </row>
    <row r="95" spans="1:30" x14ac:dyDescent="0.35">
      <c r="A95" s="958"/>
      <c r="B95" s="448">
        <v>2023</v>
      </c>
      <c r="C95" s="516">
        <v>0.38760764283361826</v>
      </c>
      <c r="D95" s="516">
        <v>0.12134741909277841</v>
      </c>
      <c r="E95" s="516">
        <v>6.4144840224656455E-2</v>
      </c>
      <c r="F95" s="516">
        <v>1.6150318451400761E-2</v>
      </c>
      <c r="G95" s="516">
        <v>3.1858162424680946E-2</v>
      </c>
      <c r="H95" s="516">
        <v>0</v>
      </c>
      <c r="I95" s="789">
        <v>0.621108383027135</v>
      </c>
      <c r="J95" s="791"/>
      <c r="N95" s="427"/>
      <c r="O95" s="427"/>
      <c r="P95" s="428"/>
      <c r="Q95" s="680"/>
      <c r="AC95" s="424"/>
    </row>
    <row r="96" spans="1:30" x14ac:dyDescent="0.35">
      <c r="A96" s="955" t="s">
        <v>18</v>
      </c>
      <c r="B96" s="448">
        <v>2013</v>
      </c>
      <c r="C96" s="794">
        <v>0.28651801085937356</v>
      </c>
      <c r="D96" s="794">
        <v>0.11052334146293877</v>
      </c>
      <c r="E96" s="794">
        <v>2.3549425550085497E-2</v>
      </c>
      <c r="F96" s="794">
        <v>1.0989731923373233E-2</v>
      </c>
      <c r="G96" s="794">
        <v>1.6641594055393751E-2</v>
      </c>
      <c r="H96" s="794">
        <v>4.7098851100170992E-3</v>
      </c>
      <c r="I96" s="795">
        <v>0.45293198896118181</v>
      </c>
      <c r="J96" s="796"/>
      <c r="N96" s="427"/>
      <c r="O96" s="427"/>
      <c r="P96" s="428"/>
      <c r="Q96" s="680"/>
      <c r="AC96" s="424"/>
    </row>
    <row r="97" spans="1:27" x14ac:dyDescent="0.35">
      <c r="A97" s="956"/>
      <c r="B97" s="448">
        <v>2023</v>
      </c>
      <c r="C97" s="794">
        <v>0.23664740855778121</v>
      </c>
      <c r="D97" s="794">
        <v>9.8261486662932246E-2</v>
      </c>
      <c r="E97" s="794">
        <v>1.944194943787227E-2</v>
      </c>
      <c r="F97" s="794">
        <v>9.0729097376737247E-3</v>
      </c>
      <c r="G97" s="794">
        <v>1.3764900202013562E-2</v>
      </c>
      <c r="H97" s="794">
        <v>3.8883898875744531E-3</v>
      </c>
      <c r="I97" s="795">
        <v>0.38107704448584739</v>
      </c>
      <c r="J97" s="796"/>
      <c r="N97" s="427"/>
      <c r="O97" s="427"/>
      <c r="P97" s="428"/>
      <c r="Q97" s="680"/>
    </row>
    <row r="98" spans="1:27" x14ac:dyDescent="0.35">
      <c r="A98" s="954" t="s">
        <v>16</v>
      </c>
      <c r="B98" s="448">
        <v>2013</v>
      </c>
      <c r="C98" s="794">
        <v>0.26411503866993924</v>
      </c>
      <c r="D98" s="794">
        <v>9.1238153873919231E-2</v>
      </c>
      <c r="E98" s="794">
        <v>4.3397147333213801E-2</v>
      </c>
      <c r="F98" s="794">
        <v>2.16985736666069E-2</v>
      </c>
      <c r="G98" s="794">
        <v>3.2547860499910347E-2</v>
      </c>
      <c r="H98" s="794">
        <v>0</v>
      </c>
      <c r="I98" s="795">
        <v>0.45299677404358951</v>
      </c>
      <c r="J98" s="796"/>
      <c r="P98" s="428"/>
      <c r="Q98" s="680"/>
    </row>
    <row r="99" spans="1:27" x14ac:dyDescent="0.35">
      <c r="A99" s="954"/>
      <c r="B99" s="448">
        <v>2023</v>
      </c>
      <c r="C99" s="794">
        <v>0.22901326073318545</v>
      </c>
      <c r="D99" s="794">
        <v>8.3005521450012124E-2</v>
      </c>
      <c r="E99" s="794">
        <v>3.762952033078959E-2</v>
      </c>
      <c r="F99" s="794">
        <v>1.8814760165394795E-2</v>
      </c>
      <c r="G99" s="794">
        <v>2.8222140248092192E-2</v>
      </c>
      <c r="H99" s="794">
        <v>0</v>
      </c>
      <c r="I99" s="795">
        <v>0.39668520292747411</v>
      </c>
      <c r="J99" s="796"/>
      <c r="P99" s="428"/>
      <c r="Q99" s="680"/>
    </row>
    <row r="100" spans="1:27" x14ac:dyDescent="0.35">
      <c r="A100" s="954" t="s">
        <v>125</v>
      </c>
      <c r="B100" s="448">
        <v>2013</v>
      </c>
      <c r="C100" s="740">
        <v>0.25373341501477159</v>
      </c>
      <c r="D100" s="740">
        <v>6.6760485099831957E-2</v>
      </c>
      <c r="E100" s="740">
        <v>2.8576493211027038E-2</v>
      </c>
      <c r="F100" s="740">
        <v>1.2861392295970589E-2</v>
      </c>
      <c r="G100" s="740">
        <v>1.8428871659998333E-2</v>
      </c>
      <c r="H100" s="740">
        <v>3.4481290793055043E-3</v>
      </c>
      <c r="I100" s="795">
        <v>0.3838087863609051</v>
      </c>
      <c r="J100" s="796"/>
      <c r="R100" s="9"/>
      <c r="S100" s="540"/>
      <c r="T100" s="9"/>
      <c r="U100" s="9"/>
      <c r="V100" s="9"/>
      <c r="W100" s="9"/>
      <c r="X100" s="9"/>
      <c r="Y100" s="9"/>
    </row>
    <row r="101" spans="1:27" ht="18.5" x14ac:dyDescent="0.45">
      <c r="A101" s="954"/>
      <c r="B101" s="448">
        <v>2023</v>
      </c>
      <c r="C101" s="794">
        <v>0.28636553579646834</v>
      </c>
      <c r="D101" s="794">
        <v>7.3718518223032228E-2</v>
      </c>
      <c r="E101" s="794">
        <v>3.0230137000569104E-2</v>
      </c>
      <c r="F101" s="794">
        <v>1.4576832815799322E-2</v>
      </c>
      <c r="G101" s="794">
        <v>2.0987432336352932E-2</v>
      </c>
      <c r="H101" s="794">
        <v>4.9539790966967555E-3</v>
      </c>
      <c r="I101" s="795">
        <v>0.43083243526891862</v>
      </c>
      <c r="J101" s="796"/>
      <c r="Q101" s="515"/>
      <c r="R101" s="9"/>
      <c r="S101" s="540"/>
      <c r="T101" s="9"/>
      <c r="U101" s="9"/>
      <c r="V101" s="9"/>
      <c r="W101" s="9"/>
      <c r="X101" s="9"/>
      <c r="Y101" s="9"/>
    </row>
    <row r="102" spans="1:27" ht="18.5" x14ac:dyDescent="0.45">
      <c r="A102" s="955" t="s">
        <v>11</v>
      </c>
      <c r="B102" s="448">
        <v>2013</v>
      </c>
      <c r="C102" s="794">
        <v>0.20378784204525005</v>
      </c>
      <c r="D102" s="794">
        <v>9.0596816376204231E-2</v>
      </c>
      <c r="E102" s="794">
        <v>1.6749685647554798E-2</v>
      </c>
      <c r="F102" s="794">
        <v>7.8130950504806135E-3</v>
      </c>
      <c r="G102" s="794">
        <v>1.6742346536744172E-2</v>
      </c>
      <c r="H102" s="794">
        <v>6.696938614697669E-3</v>
      </c>
      <c r="I102" s="795">
        <v>0.34238672427093153</v>
      </c>
      <c r="J102" s="796"/>
      <c r="Q102" s="515"/>
      <c r="S102" s="9"/>
      <c r="T102" s="31"/>
      <c r="U102" s="31"/>
      <c r="V102" s="31"/>
      <c r="W102" s="31"/>
      <c r="X102" s="31"/>
      <c r="Y102" s="31"/>
      <c r="Z102" s="31"/>
      <c r="AA102" s="31"/>
    </row>
    <row r="103" spans="1:27" ht="18.5" x14ac:dyDescent="0.45">
      <c r="A103" s="956"/>
      <c r="B103" s="448">
        <v>2023</v>
      </c>
      <c r="C103" s="794">
        <v>0.17756910344678647</v>
      </c>
      <c r="D103" s="794">
        <v>8.0629257374318905E-2</v>
      </c>
      <c r="E103" s="794">
        <v>1.4588325948635105E-2</v>
      </c>
      <c r="F103" s="794">
        <v>6.8078854426963809E-3</v>
      </c>
      <c r="G103" s="794">
        <v>1.4588325948635102E-2</v>
      </c>
      <c r="H103" s="794">
        <v>5.8353303794540417E-3</v>
      </c>
      <c r="I103" s="795">
        <v>0.30001822854052607</v>
      </c>
      <c r="J103" s="796"/>
      <c r="Q103" s="515"/>
      <c r="R103" s="944"/>
      <c r="T103" s="9"/>
      <c r="U103" s="9"/>
      <c r="V103" s="9"/>
      <c r="W103" s="9"/>
      <c r="X103" s="9"/>
      <c r="Y103" s="9"/>
    </row>
    <row r="104" spans="1:27" ht="18.5" x14ac:dyDescent="0.45">
      <c r="A104" s="455" t="s">
        <v>25</v>
      </c>
      <c r="B104" s="448">
        <v>2013</v>
      </c>
      <c r="C104" s="794">
        <v>0.23729517918828463</v>
      </c>
      <c r="D104" s="794">
        <v>5.8137318901129727E-2</v>
      </c>
      <c r="E104" s="794">
        <v>1.2346939436349569E-2</v>
      </c>
      <c r="F104" s="794">
        <v>1.2346939436349569E-2</v>
      </c>
      <c r="G104" s="794">
        <v>1.95037133579412E-2</v>
      </c>
      <c r="H104" s="794">
        <v>0</v>
      </c>
      <c r="I104" s="795">
        <v>0.3396300903200547</v>
      </c>
      <c r="J104" s="796"/>
      <c r="Q104" s="515"/>
      <c r="R104" s="944"/>
      <c r="T104" s="9"/>
      <c r="U104" s="9"/>
      <c r="V104" s="9"/>
      <c r="W104" s="9"/>
      <c r="X104" s="9"/>
      <c r="Y104" s="9"/>
    </row>
    <row r="105" spans="1:27" ht="18.5" x14ac:dyDescent="0.45">
      <c r="A105" s="760"/>
      <c r="B105" s="448">
        <v>2023</v>
      </c>
      <c r="C105" s="516">
        <v>0.32696399688780686</v>
      </c>
      <c r="D105" s="516">
        <v>8.9915099144146887E-2</v>
      </c>
      <c r="E105" s="516">
        <v>1.701258610162211E-2</v>
      </c>
      <c r="F105" s="516">
        <v>1.701258610162211E-2</v>
      </c>
      <c r="G105" s="516">
        <v>2.6861978055192807E-2</v>
      </c>
      <c r="H105" s="516">
        <v>0</v>
      </c>
      <c r="I105" s="789">
        <v>0.47776624629039072</v>
      </c>
      <c r="J105" s="791"/>
      <c r="Q105" s="515"/>
      <c r="R105" s="944"/>
    </row>
    <row r="106" spans="1:27" ht="18.5" x14ac:dyDescent="0.45">
      <c r="A106" s="455" t="s">
        <v>19</v>
      </c>
      <c r="B106" s="448">
        <v>2013</v>
      </c>
      <c r="C106" s="516">
        <v>0.22496508801246287</v>
      </c>
      <c r="D106" s="516">
        <v>6.7397288702945285E-2</v>
      </c>
      <c r="E106" s="516">
        <v>1.8482179429219758E-2</v>
      </c>
      <c r="F106" s="516">
        <v>1.8482179429219758E-2</v>
      </c>
      <c r="G106" s="516">
        <v>1.4662529013847674E-2</v>
      </c>
      <c r="H106" s="516">
        <v>0</v>
      </c>
      <c r="I106" s="789">
        <v>0.34398926458769535</v>
      </c>
      <c r="J106" s="791"/>
      <c r="Q106" s="515"/>
      <c r="R106" s="944"/>
      <c r="T106" s="9"/>
      <c r="U106" s="9"/>
      <c r="V106" s="9"/>
      <c r="W106" s="9"/>
      <c r="X106" s="9"/>
      <c r="Y106" s="9"/>
    </row>
    <row r="107" spans="1:27" ht="18.5" x14ac:dyDescent="0.45">
      <c r="A107" s="760"/>
      <c r="B107" s="448">
        <v>2023</v>
      </c>
      <c r="C107" s="516">
        <v>0.18973565157016781</v>
      </c>
      <c r="D107" s="516">
        <v>5.4979536394525609E-2</v>
      </c>
      <c r="E107" s="516">
        <v>1.5587878045528079E-2</v>
      </c>
      <c r="F107" s="516">
        <v>1.5587878045528079E-2</v>
      </c>
      <c r="G107" s="516">
        <v>1.2366383249452278E-2</v>
      </c>
      <c r="H107" s="516">
        <v>0</v>
      </c>
      <c r="I107" s="789">
        <v>0.28825732730520182</v>
      </c>
      <c r="J107" s="791"/>
      <c r="Q107" s="515"/>
      <c r="R107" s="944"/>
      <c r="T107" s="9"/>
      <c r="U107" s="9"/>
      <c r="V107" s="9"/>
      <c r="W107" s="9"/>
      <c r="X107" s="9"/>
      <c r="Y107" s="9"/>
    </row>
    <row r="108" spans="1:27" ht="18.5" x14ac:dyDescent="0.45">
      <c r="A108" s="957" t="s">
        <v>15</v>
      </c>
      <c r="B108" s="448">
        <v>2013</v>
      </c>
      <c r="C108" s="516">
        <v>0.21508332584110071</v>
      </c>
      <c r="D108" s="516">
        <v>7.376768806963889E-2</v>
      </c>
      <c r="E108" s="516">
        <v>1.7678081575980883E-2</v>
      </c>
      <c r="F108" s="516">
        <v>8.8390407879904414E-3</v>
      </c>
      <c r="G108" s="516">
        <v>1.2963926489052643E-2</v>
      </c>
      <c r="H108" s="516">
        <v>8.8390407879904414E-4</v>
      </c>
      <c r="I108" s="789">
        <v>0.3292159668425626</v>
      </c>
      <c r="J108" s="791"/>
      <c r="Q108" s="515"/>
      <c r="R108" s="944"/>
    </row>
    <row r="109" spans="1:27" ht="18.5" x14ac:dyDescent="0.45">
      <c r="A109" s="958"/>
      <c r="B109" s="448">
        <v>2023</v>
      </c>
      <c r="C109" s="516">
        <v>0.23271004888417116</v>
      </c>
      <c r="D109" s="516">
        <v>8.1573934289929845E-2</v>
      </c>
      <c r="E109" s="516">
        <v>1.9118472632613473E-2</v>
      </c>
      <c r="F109" s="516">
        <v>9.5592363163067347E-3</v>
      </c>
      <c r="G109" s="516">
        <v>1.4020213263916545E-2</v>
      </c>
      <c r="H109" s="516">
        <v>9.5592363163067324E-4</v>
      </c>
      <c r="I109" s="789">
        <v>0.35793782901856841</v>
      </c>
      <c r="J109" s="791"/>
      <c r="Q109" s="515"/>
      <c r="R109" s="944"/>
      <c r="T109" s="9"/>
      <c r="U109" s="9"/>
      <c r="V109" s="9"/>
      <c r="W109" s="9"/>
      <c r="X109" s="9"/>
      <c r="Y109" s="9"/>
    </row>
    <row r="110" spans="1:27" ht="18.5" x14ac:dyDescent="0.45">
      <c r="A110" s="957" t="s">
        <v>29</v>
      </c>
      <c r="B110" s="448">
        <v>2013</v>
      </c>
      <c r="C110" s="516">
        <v>0.21637842937200005</v>
      </c>
      <c r="D110" s="516">
        <v>4.0286958818699252E-2</v>
      </c>
      <c r="E110" s="516">
        <v>0</v>
      </c>
      <c r="F110" s="516">
        <v>8.2994466060493152E-3</v>
      </c>
      <c r="G110" s="516">
        <v>8.2994466060493169E-3</v>
      </c>
      <c r="H110" s="516">
        <v>3.3197786424197261E-3</v>
      </c>
      <c r="I110" s="789">
        <v>0.27658406004521763</v>
      </c>
      <c r="J110" s="791"/>
      <c r="Q110" s="515"/>
      <c r="R110" s="944"/>
      <c r="T110" s="9"/>
      <c r="U110" s="9"/>
      <c r="V110" s="9"/>
      <c r="W110" s="9"/>
      <c r="X110" s="9"/>
      <c r="Y110" s="9"/>
    </row>
    <row r="111" spans="1:27" ht="18.5" x14ac:dyDescent="0.45">
      <c r="A111" s="958"/>
      <c r="B111" s="448">
        <v>2023</v>
      </c>
      <c r="C111" s="516">
        <v>0.34927186820475431</v>
      </c>
      <c r="D111" s="516">
        <v>6.8108014299927092E-2</v>
      </c>
      <c r="E111" s="516">
        <v>0</v>
      </c>
      <c r="F111" s="516">
        <v>1.3390859225727246E-2</v>
      </c>
      <c r="G111" s="516">
        <v>1.3390859225727246E-2</v>
      </c>
      <c r="H111" s="516">
        <v>5.3563436902908977E-3</v>
      </c>
      <c r="I111" s="789">
        <v>0.4495179446464268</v>
      </c>
      <c r="J111" s="791"/>
      <c r="Q111" s="515"/>
      <c r="R111" s="944"/>
    </row>
    <row r="112" spans="1:27" ht="18.5" x14ac:dyDescent="0.45">
      <c r="A112" s="455" t="s">
        <v>22</v>
      </c>
      <c r="B112" s="448">
        <v>2013</v>
      </c>
      <c r="C112" s="516">
        <v>0.18819818749349776</v>
      </c>
      <c r="D112" s="516">
        <v>4.0937810734523107E-2</v>
      </c>
      <c r="E112" s="516">
        <v>1.5468344177547761E-2</v>
      </c>
      <c r="F112" s="516">
        <v>9.7966179791135824E-3</v>
      </c>
      <c r="G112" s="516">
        <v>1.546834417754776E-2</v>
      </c>
      <c r="H112" s="516">
        <v>0</v>
      </c>
      <c r="I112" s="789">
        <v>0.26986930456222996</v>
      </c>
      <c r="J112" s="791"/>
      <c r="Q112" s="515"/>
      <c r="S112" s="540"/>
    </row>
    <row r="113" spans="1:28" ht="18.5" x14ac:dyDescent="0.45">
      <c r="A113" s="760"/>
      <c r="B113" s="448">
        <v>2023</v>
      </c>
      <c r="C113" s="516">
        <v>6.1986797623778738E-3</v>
      </c>
      <c r="D113" s="516">
        <v>1.3482128483171874E-3</v>
      </c>
      <c r="E113" s="516">
        <v>5.0925729234126474E-4</v>
      </c>
      <c r="F113" s="516">
        <v>3.2252961848280095E-4</v>
      </c>
      <c r="G113" s="516">
        <v>5.0925729234126474E-4</v>
      </c>
      <c r="H113" s="516">
        <v>0</v>
      </c>
      <c r="I113" s="789">
        <v>8.8879368138603931E-3</v>
      </c>
      <c r="J113" s="791"/>
      <c r="Q113" s="515"/>
      <c r="S113" s="540"/>
    </row>
    <row r="114" spans="1:28" ht="18.5" x14ac:dyDescent="0.45">
      <c r="A114" s="455" t="s">
        <v>12</v>
      </c>
      <c r="B114" s="448">
        <v>2013</v>
      </c>
      <c r="C114" s="516">
        <v>0.15517232954099469</v>
      </c>
      <c r="D114" s="516">
        <v>7.0864864688187423E-2</v>
      </c>
      <c r="E114" s="516">
        <v>1.275389009925984E-2</v>
      </c>
      <c r="F114" s="516">
        <v>1.7005186799013122E-2</v>
      </c>
      <c r="G114" s="516">
        <v>4.8974937981157785E-3</v>
      </c>
      <c r="H114" s="516">
        <v>3.5710892277927555E-3</v>
      </c>
      <c r="I114" s="789">
        <v>0.26426485415336359</v>
      </c>
      <c r="J114" s="791"/>
      <c r="Q114" s="792"/>
      <c r="S114" s="793"/>
    </row>
    <row r="115" spans="1:28" ht="18.5" x14ac:dyDescent="0.45">
      <c r="A115" s="760"/>
      <c r="B115" s="448">
        <v>2023</v>
      </c>
      <c r="C115" s="516">
        <v>0.15394615942433684</v>
      </c>
      <c r="D115" s="516">
        <v>7.1635301440442584E-2</v>
      </c>
      <c r="E115" s="516">
        <v>1.2647564855762147E-2</v>
      </c>
      <c r="F115" s="516">
        <v>1.6863419807682863E-2</v>
      </c>
      <c r="G115" s="516">
        <v>4.8566649046126635E-3</v>
      </c>
      <c r="H115" s="516">
        <v>3.7942694567286443E-3</v>
      </c>
      <c r="I115" s="789">
        <v>0.26374337988956581</v>
      </c>
      <c r="J115" s="791"/>
      <c r="Q115" s="792"/>
      <c r="S115" s="793"/>
    </row>
    <row r="116" spans="1:28" ht="18.5" x14ac:dyDescent="0.45">
      <c r="A116" s="455" t="s">
        <v>14</v>
      </c>
      <c r="B116" s="448">
        <v>2013</v>
      </c>
      <c r="C116" s="516">
        <v>0.14994018775599496</v>
      </c>
      <c r="D116" s="516">
        <v>5.9518715647008197E-2</v>
      </c>
      <c r="E116" s="516">
        <v>1.2318451179427783E-2</v>
      </c>
      <c r="F116" s="516">
        <v>8.6229158255994483E-3</v>
      </c>
      <c r="G116" s="516">
        <v>1.4700018407450489E-2</v>
      </c>
      <c r="H116" s="516">
        <v>0</v>
      </c>
      <c r="I116" s="789">
        <v>0.2451002888154809</v>
      </c>
      <c r="J116" s="791"/>
      <c r="Q116" s="792"/>
      <c r="S116" s="793"/>
    </row>
    <row r="117" spans="1:28" ht="18.5" x14ac:dyDescent="0.45">
      <c r="A117" s="760"/>
      <c r="B117" s="448">
        <v>2023</v>
      </c>
      <c r="C117" s="516">
        <v>0.14731482041465788</v>
      </c>
      <c r="D117" s="516">
        <v>5.8854350935993768E-2</v>
      </c>
      <c r="E117" s="516">
        <v>1.2102762110964336E-2</v>
      </c>
      <c r="F117" s="516">
        <v>8.4719334776750359E-3</v>
      </c>
      <c r="G117" s="516">
        <v>1.4442629452417439E-2</v>
      </c>
      <c r="H117" s="516">
        <v>0</v>
      </c>
      <c r="I117" s="789">
        <v>0.24118649639170847</v>
      </c>
      <c r="J117" s="791"/>
      <c r="Q117" s="792"/>
      <c r="S117" s="793"/>
    </row>
    <row r="118" spans="1:28" ht="18.5" x14ac:dyDescent="0.45">
      <c r="A118" s="455" t="s">
        <v>28</v>
      </c>
      <c r="B118" s="448">
        <v>2013</v>
      </c>
      <c r="C118" s="516">
        <v>0.14874173741316807</v>
      </c>
      <c r="D118" s="516">
        <v>3.5236917593179512E-2</v>
      </c>
      <c r="E118" s="516">
        <v>0</v>
      </c>
      <c r="F118" s="516">
        <v>6.1126741402671809E-3</v>
      </c>
      <c r="G118" s="516">
        <v>1.2225348280534362E-2</v>
      </c>
      <c r="H118" s="516">
        <v>2.4450696561068722E-3</v>
      </c>
      <c r="I118" s="789">
        <v>0.20476174708325601</v>
      </c>
      <c r="J118" s="791"/>
      <c r="Q118" s="792"/>
    </row>
    <row r="119" spans="1:28" ht="18.5" x14ac:dyDescent="0.45">
      <c r="A119" s="760"/>
      <c r="B119" s="448">
        <v>2023</v>
      </c>
      <c r="C119" s="516">
        <v>0.19568298367505335</v>
      </c>
      <c r="D119" s="516">
        <v>4.6768233098337761E-2</v>
      </c>
      <c r="E119" s="516">
        <v>0</v>
      </c>
      <c r="F119" s="516">
        <v>8.0382428391001202E-3</v>
      </c>
      <c r="G119" s="516">
        <v>1.6076485678200244E-2</v>
      </c>
      <c r="H119" s="516">
        <v>3.215297135640048E-3</v>
      </c>
      <c r="I119" s="789">
        <v>0.2697812424263315</v>
      </c>
      <c r="J119" s="791"/>
      <c r="Q119" s="792"/>
      <c r="S119" s="793"/>
    </row>
    <row r="120" spans="1:28" ht="18.5" x14ac:dyDescent="0.45">
      <c r="A120" s="455" t="s">
        <v>26</v>
      </c>
      <c r="B120" s="448">
        <v>2013</v>
      </c>
      <c r="C120" s="753">
        <v>0.15956032078524277</v>
      </c>
      <c r="D120" s="753">
        <v>3.904048834301229E-2</v>
      </c>
      <c r="E120" s="753">
        <v>1.3108800590309133E-2</v>
      </c>
      <c r="F120" s="753">
        <v>7.8652803541854784E-3</v>
      </c>
      <c r="G120" s="753">
        <v>1.0050080452570335E-2</v>
      </c>
      <c r="H120" s="753">
        <v>2.4469761101910386E-3</v>
      </c>
      <c r="I120" s="789">
        <v>0.23207194663551106</v>
      </c>
      <c r="J120" s="791"/>
      <c r="Q120" s="792"/>
      <c r="S120" s="793"/>
    </row>
    <row r="121" spans="1:28" ht="18.5" x14ac:dyDescent="0.45">
      <c r="A121" s="760"/>
      <c r="B121" s="448">
        <v>2023</v>
      </c>
      <c r="C121" s="516">
        <v>0.17661738487060613</v>
      </c>
      <c r="D121" s="516">
        <v>4.3213932644913126E-2</v>
      </c>
      <c r="E121" s="516">
        <v>1.451013677872216E-2</v>
      </c>
      <c r="F121" s="516">
        <v>8.7060820672332957E-3</v>
      </c>
      <c r="G121" s="516">
        <v>1.1124438197020321E-2</v>
      </c>
      <c r="H121" s="516">
        <v>2.7085588653614698E-3</v>
      </c>
      <c r="I121" s="789">
        <v>0.25688053342385653</v>
      </c>
      <c r="J121" s="791"/>
      <c r="Q121" s="792"/>
      <c r="S121" s="793"/>
    </row>
    <row r="122" spans="1:28" ht="18.5" x14ac:dyDescent="0.45">
      <c r="A122" s="455" t="s">
        <v>24</v>
      </c>
      <c r="B122" s="448">
        <v>2013</v>
      </c>
      <c r="C122" s="753">
        <v>7.6071340208097735E-2</v>
      </c>
      <c r="D122" s="753">
        <v>1.7310648858482013E-2</v>
      </c>
      <c r="E122" s="753">
        <v>3.1696391753374058E-3</v>
      </c>
      <c r="F122" s="753">
        <v>2.9583298969815788E-3</v>
      </c>
      <c r="G122" s="753">
        <v>7.9162858141847807E-3</v>
      </c>
      <c r="H122" s="753">
        <v>0</v>
      </c>
      <c r="I122" s="789">
        <v>0.10742624395308351</v>
      </c>
      <c r="J122" s="791"/>
      <c r="Q122" s="792"/>
      <c r="S122" s="793"/>
    </row>
    <row r="123" spans="1:28" ht="18.5" x14ac:dyDescent="0.45">
      <c r="A123" s="760"/>
      <c r="B123" s="448">
        <v>2023</v>
      </c>
      <c r="C123" s="516">
        <v>0.14296248294433631</v>
      </c>
      <c r="D123" s="516">
        <v>4.198054138249338E-2</v>
      </c>
      <c r="E123" s="516">
        <v>5.9567701226806782E-3</v>
      </c>
      <c r="F123" s="516">
        <v>7.8301283242598486E-3</v>
      </c>
      <c r="G123" s="516">
        <v>1.4877243816093712E-2</v>
      </c>
      <c r="H123" s="516">
        <v>0</v>
      </c>
      <c r="I123" s="789">
        <v>0.21360716658986392</v>
      </c>
      <c r="J123" s="791"/>
      <c r="Q123" s="792"/>
      <c r="S123" s="793"/>
    </row>
    <row r="124" spans="1:28" ht="18.5" x14ac:dyDescent="0.45">
      <c r="A124" s="455" t="s">
        <v>31</v>
      </c>
      <c r="B124" s="448">
        <v>2013</v>
      </c>
      <c r="C124" s="753">
        <v>9.7757846915806731E-2</v>
      </c>
      <c r="D124" s="753">
        <v>1.3167961721156521E-2</v>
      </c>
      <c r="E124" s="753"/>
      <c r="F124" s="753">
        <v>3.749616046085738E-3</v>
      </c>
      <c r="G124" s="753">
        <v>4.4459733117873743E-3</v>
      </c>
      <c r="H124" s="753">
        <v>0</v>
      </c>
      <c r="I124" s="789">
        <v>0.11912139799483637</v>
      </c>
      <c r="J124" s="791"/>
      <c r="Q124" s="792"/>
      <c r="S124" s="793"/>
    </row>
    <row r="125" spans="1:28" x14ac:dyDescent="0.35">
      <c r="A125" s="760"/>
      <c r="B125" s="448">
        <v>2023</v>
      </c>
      <c r="C125" s="753">
        <v>0.13687481379564073</v>
      </c>
      <c r="D125" s="753">
        <v>1.8067475421024576E-2</v>
      </c>
      <c r="E125" s="753">
        <v>0</v>
      </c>
      <c r="F125" s="753">
        <v>5.2476924995590148E-3</v>
      </c>
      <c r="G125" s="753">
        <v>5.6225276780989455E-3</v>
      </c>
      <c r="H125" s="753">
        <v>0</v>
      </c>
      <c r="I125" s="789">
        <v>0.16581250939432327</v>
      </c>
      <c r="S125" s="579"/>
    </row>
    <row r="126" spans="1:28" x14ac:dyDescent="0.35">
      <c r="G126" s="755"/>
      <c r="R126" s="482"/>
      <c r="S126" s="482"/>
      <c r="T126" s="482"/>
      <c r="U126" s="482"/>
      <c r="V126" s="482"/>
      <c r="W126" s="482"/>
      <c r="X126" s="482"/>
      <c r="Y126" s="482"/>
      <c r="Z126" s="482"/>
      <c r="AA126" s="482"/>
      <c r="AB126" s="482"/>
    </row>
    <row r="127" spans="1:28" s="482" customFormat="1" x14ac:dyDescent="0.35">
      <c r="A127" s="12"/>
      <c r="B127" s="756"/>
      <c r="C127" s="756"/>
      <c r="D127" s="12"/>
      <c r="E127" s="12"/>
      <c r="F127"/>
      <c r="G127"/>
      <c r="H127"/>
      <c r="I127"/>
      <c r="J127"/>
    </row>
    <row r="128" spans="1:28" s="482" customFormat="1" x14ac:dyDescent="0.35">
      <c r="A128" s="12"/>
      <c r="B128" s="756"/>
      <c r="C128" s="756"/>
      <c r="D128" s="12"/>
      <c r="E128" s="12"/>
      <c r="F128"/>
      <c r="G128"/>
      <c r="H128"/>
      <c r="I128"/>
      <c r="J128"/>
      <c r="R128"/>
      <c r="S128" s="540"/>
      <c r="T128"/>
      <c r="U128"/>
      <c r="V128"/>
      <c r="W128"/>
      <c r="X128"/>
      <c r="Y128"/>
      <c r="Z128"/>
      <c r="AA128"/>
      <c r="AB128"/>
    </row>
    <row r="129" spans="1:29" s="482" customFormat="1" x14ac:dyDescent="0.35">
      <c r="A129" s="12"/>
      <c r="B129" s="756"/>
      <c r="C129" s="756"/>
      <c r="D129" s="12"/>
      <c r="E129" s="12"/>
      <c r="F129"/>
      <c r="G129"/>
      <c r="H129"/>
      <c r="I129"/>
      <c r="J129"/>
    </row>
    <row r="130" spans="1:29" s="482" customFormat="1" x14ac:dyDescent="0.35">
      <c r="A130" s="12"/>
      <c r="B130" s="756"/>
      <c r="C130" s="756"/>
      <c r="D130" s="12"/>
      <c r="E130" s="12"/>
      <c r="F130"/>
      <c r="G130"/>
      <c r="H130"/>
      <c r="I130"/>
      <c r="J130"/>
    </row>
    <row r="131" spans="1:29" s="482" customFormat="1" x14ac:dyDescent="0.35">
      <c r="A131" s="12"/>
      <c r="B131" s="756"/>
      <c r="C131" s="756"/>
      <c r="D131" s="12"/>
      <c r="E131" s="12"/>
      <c r="F131"/>
      <c r="G131"/>
      <c r="H131"/>
      <c r="I131"/>
      <c r="J131"/>
      <c r="K131"/>
    </row>
    <row r="132" spans="1:29" s="482" customFormat="1" x14ac:dyDescent="0.35">
      <c r="A132" s="12"/>
      <c r="B132" s="756"/>
      <c r="C132" s="756"/>
      <c r="D132" s="12"/>
      <c r="E132" s="12"/>
      <c r="F132"/>
      <c r="G132"/>
      <c r="H132"/>
      <c r="I132"/>
      <c r="J132"/>
      <c r="K132"/>
      <c r="S132"/>
      <c r="T132" s="579"/>
      <c r="U132"/>
      <c r="V132"/>
      <c r="W132"/>
      <c r="X132"/>
      <c r="Y132"/>
      <c r="Z132"/>
      <c r="AA132"/>
      <c r="AB132"/>
      <c r="AC132"/>
    </row>
    <row r="133" spans="1:29" s="482" customFormat="1" x14ac:dyDescent="0.35">
      <c r="A133" s="12"/>
      <c r="B133" s="756"/>
      <c r="C133" s="756"/>
      <c r="D133" s="12"/>
      <c r="E133" s="12"/>
      <c r="F133"/>
      <c r="G133"/>
      <c r="H133"/>
      <c r="I133"/>
      <c r="J133"/>
      <c r="K133"/>
    </row>
    <row r="134" spans="1:29" s="482" customFormat="1" x14ac:dyDescent="0.35">
      <c r="A134" s="356"/>
      <c r="B134" s="488"/>
      <c r="C134" s="488"/>
      <c r="D134" s="356"/>
      <c r="E134" s="356"/>
    </row>
    <row r="135" spans="1:29" s="482" customFormat="1" x14ac:dyDescent="0.35">
      <c r="A135" s="486"/>
      <c r="B135" s="487"/>
      <c r="C135" s="487"/>
      <c r="D135" s="486"/>
      <c r="E135" s="486"/>
    </row>
    <row r="136" spans="1:29" s="482" customFormat="1" x14ac:dyDescent="0.35">
      <c r="A136" s="356"/>
      <c r="B136" s="488"/>
      <c r="C136" s="488"/>
      <c r="D136" s="356"/>
      <c r="E136" s="356"/>
    </row>
    <row r="137" spans="1:29" s="482" customFormat="1" x14ac:dyDescent="0.35">
      <c r="D137" s="489"/>
      <c r="E137" s="489"/>
    </row>
    <row r="138" spans="1:29" s="482" customFormat="1" x14ac:dyDescent="0.35">
      <c r="D138" s="489"/>
      <c r="E138" s="489"/>
    </row>
    <row r="139" spans="1:29" s="482" customFormat="1" x14ac:dyDescent="0.35"/>
    <row r="140" spans="1:29" s="482" customFormat="1" x14ac:dyDescent="0.35"/>
    <row r="141" spans="1:29" s="482" customFormat="1" x14ac:dyDescent="0.35"/>
    <row r="142" spans="1:29" s="482" customFormat="1" x14ac:dyDescent="0.35"/>
    <row r="143" spans="1:29" s="482" customFormat="1" x14ac:dyDescent="0.35"/>
    <row r="144" spans="1:29" s="482" customFormat="1" x14ac:dyDescent="0.35"/>
    <row r="145" s="482" customFormat="1" x14ac:dyDescent="0.35"/>
    <row r="146" s="482" customFormat="1" x14ac:dyDescent="0.35"/>
    <row r="147" s="482" customFormat="1" x14ac:dyDescent="0.35"/>
    <row r="148" s="482" customFormat="1" x14ac:dyDescent="0.35"/>
    <row r="149" s="482" customFormat="1" x14ac:dyDescent="0.35"/>
    <row r="150" s="482" customFormat="1" x14ac:dyDescent="0.35"/>
    <row r="151" s="482" customFormat="1" x14ac:dyDescent="0.35"/>
    <row r="152" s="482" customFormat="1" x14ac:dyDescent="0.35"/>
    <row r="153" s="482" customFormat="1" x14ac:dyDescent="0.35"/>
    <row r="154" s="482" customFormat="1" x14ac:dyDescent="0.35"/>
    <row r="155" s="482" customFormat="1" x14ac:dyDescent="0.35"/>
    <row r="156" s="482" customFormat="1" x14ac:dyDescent="0.35"/>
    <row r="157" s="482" customFormat="1" x14ac:dyDescent="0.35"/>
    <row r="158" s="482" customFormat="1" x14ac:dyDescent="0.35"/>
    <row r="159" s="482" customFormat="1" x14ac:dyDescent="0.35"/>
    <row r="160" s="482" customFormat="1" x14ac:dyDescent="0.35"/>
    <row r="161" s="482" customFormat="1" x14ac:dyDescent="0.35"/>
    <row r="162" s="482" customFormat="1" x14ac:dyDescent="0.35"/>
    <row r="163" s="482" customFormat="1" x14ac:dyDescent="0.35"/>
    <row r="164" s="482" customFormat="1" x14ac:dyDescent="0.35"/>
    <row r="165" s="482" customFormat="1" x14ac:dyDescent="0.35"/>
    <row r="166" s="482" customFormat="1" x14ac:dyDescent="0.35"/>
    <row r="167" s="482" customFormat="1" x14ac:dyDescent="0.35"/>
    <row r="168" s="482" customFormat="1" x14ac:dyDescent="0.35"/>
    <row r="169" s="482" customFormat="1" x14ac:dyDescent="0.35"/>
    <row r="170" s="482" customFormat="1" x14ac:dyDescent="0.35"/>
    <row r="171" s="482" customFormat="1" x14ac:dyDescent="0.35"/>
    <row r="172" s="482" customFormat="1" x14ac:dyDescent="0.35"/>
    <row r="173" s="482" customFormat="1" x14ac:dyDescent="0.35"/>
    <row r="174" s="482" customFormat="1" x14ac:dyDescent="0.35"/>
    <row r="175" s="482" customFormat="1" x14ac:dyDescent="0.35"/>
    <row r="176" s="482" customFormat="1" x14ac:dyDescent="0.35"/>
    <row r="177" s="482" customFormat="1" x14ac:dyDescent="0.35"/>
    <row r="178" s="482" customFormat="1" x14ac:dyDescent="0.35"/>
    <row r="179" s="482" customFormat="1" x14ac:dyDescent="0.35"/>
    <row r="180" s="482" customFormat="1" x14ac:dyDescent="0.35"/>
    <row r="181" s="482" customFormat="1" x14ac:dyDescent="0.35"/>
    <row r="182" s="482" customFormat="1" x14ac:dyDescent="0.35"/>
    <row r="183" s="482" customFormat="1" x14ac:dyDescent="0.35"/>
    <row r="184" s="482" customFormat="1" x14ac:dyDescent="0.35"/>
    <row r="185" s="482" customFormat="1" x14ac:dyDescent="0.35"/>
    <row r="186" s="482" customFormat="1" x14ac:dyDescent="0.35"/>
    <row r="187" s="482" customFormat="1" x14ac:dyDescent="0.35"/>
    <row r="188" s="482" customFormat="1" x14ac:dyDescent="0.35"/>
    <row r="189" s="482" customFormat="1" x14ac:dyDescent="0.35"/>
    <row r="190" s="482" customFormat="1" x14ac:dyDescent="0.35"/>
    <row r="191" s="482" customFormat="1" x14ac:dyDescent="0.35"/>
    <row r="192" s="482" customFormat="1" x14ac:dyDescent="0.35"/>
    <row r="193" s="482" customFormat="1" x14ac:dyDescent="0.35"/>
    <row r="194" s="482" customFormat="1" x14ac:dyDescent="0.35"/>
    <row r="195" s="482" customFormat="1" x14ac:dyDescent="0.35"/>
    <row r="196" s="482" customFormat="1" x14ac:dyDescent="0.35"/>
    <row r="197" s="482" customFormat="1" x14ac:dyDescent="0.35"/>
    <row r="198" s="482" customFormat="1" x14ac:dyDescent="0.35"/>
    <row r="199" s="482" customFormat="1" x14ac:dyDescent="0.35"/>
    <row r="200" s="482" customFormat="1" x14ac:dyDescent="0.35"/>
    <row r="201" s="482" customFormat="1" x14ac:dyDescent="0.35"/>
    <row r="202" s="482" customFormat="1" x14ac:dyDescent="0.35"/>
    <row r="203" s="482" customFormat="1" x14ac:dyDescent="0.35"/>
    <row r="204" s="482" customFormat="1" x14ac:dyDescent="0.35"/>
    <row r="205" s="482" customFormat="1" x14ac:dyDescent="0.35"/>
    <row r="206" s="482" customFormat="1" x14ac:dyDescent="0.35"/>
    <row r="207" s="482" customFormat="1" x14ac:dyDescent="0.35"/>
    <row r="208" s="482" customFormat="1" x14ac:dyDescent="0.35"/>
    <row r="209" s="482" customFormat="1" x14ac:dyDescent="0.35"/>
    <row r="210" s="482" customFormat="1" x14ac:dyDescent="0.35"/>
    <row r="211" s="482" customFormat="1" x14ac:dyDescent="0.35"/>
    <row r="212" s="482" customFormat="1" x14ac:dyDescent="0.35"/>
    <row r="213" s="482" customFormat="1" x14ac:dyDescent="0.35"/>
    <row r="214" s="482" customFormat="1" x14ac:dyDescent="0.35"/>
    <row r="215" s="482" customFormat="1" x14ac:dyDescent="0.35"/>
    <row r="216" s="482" customFormat="1" x14ac:dyDescent="0.35"/>
    <row r="217" s="482" customFormat="1" x14ac:dyDescent="0.35"/>
    <row r="218" s="482" customFormat="1" x14ac:dyDescent="0.35"/>
    <row r="219" s="482" customFormat="1" x14ac:dyDescent="0.35"/>
    <row r="220" s="482" customFormat="1" x14ac:dyDescent="0.35"/>
    <row r="221" s="482" customFormat="1" x14ac:dyDescent="0.35"/>
    <row r="222" s="482" customFormat="1" x14ac:dyDescent="0.35"/>
    <row r="223" s="482" customFormat="1" x14ac:dyDescent="0.35"/>
    <row r="224" s="482" customFormat="1" x14ac:dyDescent="0.35"/>
    <row r="225" s="482" customFormat="1" x14ac:dyDescent="0.35"/>
    <row r="226" s="482" customFormat="1" x14ac:dyDescent="0.35"/>
    <row r="227" s="482" customFormat="1" x14ac:dyDescent="0.35"/>
    <row r="228" s="482" customFormat="1" x14ac:dyDescent="0.35"/>
    <row r="229" s="482" customFormat="1" x14ac:dyDescent="0.35"/>
    <row r="230" s="482" customFormat="1" x14ac:dyDescent="0.35"/>
    <row r="231" s="482" customFormat="1" x14ac:dyDescent="0.35"/>
    <row r="232" s="482" customFormat="1" x14ac:dyDescent="0.35"/>
    <row r="233" s="482" customFormat="1" x14ac:dyDescent="0.35"/>
    <row r="234" s="482" customFormat="1" x14ac:dyDescent="0.35"/>
    <row r="235" s="482" customFormat="1" x14ac:dyDescent="0.35"/>
    <row r="236" s="482" customFormat="1" x14ac:dyDescent="0.35"/>
    <row r="237" s="482" customFormat="1" x14ac:dyDescent="0.35"/>
    <row r="238" s="482" customFormat="1" x14ac:dyDescent="0.35"/>
    <row r="239" s="482" customFormat="1" x14ac:dyDescent="0.35"/>
    <row r="240" s="482" customFormat="1" x14ac:dyDescent="0.35"/>
    <row r="241" s="482" customFormat="1" x14ac:dyDescent="0.35"/>
    <row r="242" s="482" customFormat="1" x14ac:dyDescent="0.35"/>
    <row r="243" s="482" customFormat="1" x14ac:dyDescent="0.35"/>
    <row r="244" s="482" customFormat="1" x14ac:dyDescent="0.35"/>
    <row r="245" s="482" customFormat="1" x14ac:dyDescent="0.35"/>
    <row r="246" s="482" customFormat="1" x14ac:dyDescent="0.35"/>
    <row r="247" s="482" customFormat="1" x14ac:dyDescent="0.35"/>
    <row r="248" s="482" customFormat="1" x14ac:dyDescent="0.35"/>
    <row r="249" s="482" customFormat="1" x14ac:dyDescent="0.35"/>
    <row r="250" s="482" customFormat="1" x14ac:dyDescent="0.35"/>
    <row r="251" s="482" customFormat="1" x14ac:dyDescent="0.35"/>
    <row r="252" s="482" customFormat="1" x14ac:dyDescent="0.35"/>
    <row r="253" s="482" customFormat="1" x14ac:dyDescent="0.35"/>
    <row r="254" s="482" customFormat="1" x14ac:dyDescent="0.35"/>
    <row r="255" s="482" customFormat="1" x14ac:dyDescent="0.35"/>
    <row r="256" s="482" customFormat="1" x14ac:dyDescent="0.35"/>
    <row r="257" s="482" customFormat="1" x14ac:dyDescent="0.35"/>
    <row r="258" s="482" customFormat="1" x14ac:dyDescent="0.35"/>
    <row r="259" s="482" customFormat="1" x14ac:dyDescent="0.35"/>
    <row r="260" s="482" customFormat="1" x14ac:dyDescent="0.35"/>
    <row r="261" s="482" customFormat="1" x14ac:dyDescent="0.35"/>
    <row r="262" s="482" customFormat="1" x14ac:dyDescent="0.35"/>
    <row r="263" s="482" customFormat="1" x14ac:dyDescent="0.35"/>
    <row r="264" s="482" customFormat="1" x14ac:dyDescent="0.35"/>
    <row r="265" s="482" customFormat="1" x14ac:dyDescent="0.35"/>
    <row r="266" s="482" customFormat="1" x14ac:dyDescent="0.35"/>
    <row r="267" s="482" customFormat="1" x14ac:dyDescent="0.35"/>
    <row r="268" s="482" customFormat="1" x14ac:dyDescent="0.35"/>
    <row r="269" s="482" customFormat="1" x14ac:dyDescent="0.35"/>
    <row r="270" s="482" customFormat="1" x14ac:dyDescent="0.35"/>
    <row r="271" s="482" customFormat="1" x14ac:dyDescent="0.35"/>
    <row r="272" s="482" customFormat="1" x14ac:dyDescent="0.35"/>
    <row r="273" s="482" customFormat="1" x14ac:dyDescent="0.35"/>
    <row r="274" s="482" customFormat="1" x14ac:dyDescent="0.35"/>
    <row r="275" s="482" customFormat="1" x14ac:dyDescent="0.35"/>
    <row r="276" s="482" customFormat="1" x14ac:dyDescent="0.35"/>
    <row r="277" s="482" customFormat="1" x14ac:dyDescent="0.35"/>
    <row r="278" s="482" customFormat="1" x14ac:dyDescent="0.35"/>
    <row r="279" s="482" customFormat="1" x14ac:dyDescent="0.35"/>
    <row r="280" s="482" customFormat="1" x14ac:dyDescent="0.35"/>
    <row r="281" s="482" customFormat="1" x14ac:dyDescent="0.35"/>
    <row r="282" s="482" customFormat="1" x14ac:dyDescent="0.35"/>
    <row r="283" s="482" customFormat="1" x14ac:dyDescent="0.35"/>
    <row r="284" s="482" customFormat="1" x14ac:dyDescent="0.35"/>
    <row r="285" s="482" customFormat="1" x14ac:dyDescent="0.35"/>
    <row r="286" s="482" customFormat="1" x14ac:dyDescent="0.35"/>
    <row r="287" s="482" customFormat="1" x14ac:dyDescent="0.35"/>
    <row r="288" s="482" customFormat="1" x14ac:dyDescent="0.35"/>
    <row r="289" s="482" customFormat="1" x14ac:dyDescent="0.35"/>
    <row r="290" s="482" customFormat="1" x14ac:dyDescent="0.35"/>
    <row r="291" s="482" customFormat="1" x14ac:dyDescent="0.35"/>
    <row r="292" s="482" customFormat="1" x14ac:dyDescent="0.35"/>
    <row r="293" s="482" customFormat="1" x14ac:dyDescent="0.35"/>
    <row r="294" s="482" customFormat="1" x14ac:dyDescent="0.35"/>
    <row r="295" s="482" customFormat="1" x14ac:dyDescent="0.35"/>
    <row r="296" s="482" customFormat="1" x14ac:dyDescent="0.35"/>
    <row r="297" s="482" customFormat="1" x14ac:dyDescent="0.35"/>
    <row r="298" s="482" customFormat="1" x14ac:dyDescent="0.35"/>
    <row r="299" s="482" customFormat="1" x14ac:dyDescent="0.35"/>
    <row r="300" s="482" customFormat="1" x14ac:dyDescent="0.35"/>
    <row r="301" s="482" customFormat="1" x14ac:dyDescent="0.35"/>
    <row r="302" s="482" customFormat="1" x14ac:dyDescent="0.35"/>
    <row r="303" s="482" customFormat="1" x14ac:dyDescent="0.35"/>
    <row r="304" s="482" customFormat="1" x14ac:dyDescent="0.35"/>
    <row r="305" s="482" customFormat="1" x14ac:dyDescent="0.35"/>
    <row r="306" s="482" customFormat="1" x14ac:dyDescent="0.35"/>
    <row r="307" s="482" customFormat="1" x14ac:dyDescent="0.35"/>
    <row r="308" s="482" customFormat="1" x14ac:dyDescent="0.35"/>
    <row r="309" s="482" customFormat="1" x14ac:dyDescent="0.35"/>
    <row r="310" s="482" customFormat="1" x14ac:dyDescent="0.35"/>
    <row r="311" s="482" customFormat="1" x14ac:dyDescent="0.35"/>
    <row r="312" s="482" customFormat="1" x14ac:dyDescent="0.35"/>
    <row r="313" s="482" customFormat="1" x14ac:dyDescent="0.35"/>
    <row r="314" s="482" customFormat="1" x14ac:dyDescent="0.35"/>
    <row r="315" s="482" customFormat="1" x14ac:dyDescent="0.35"/>
    <row r="316" s="482" customFormat="1" x14ac:dyDescent="0.35"/>
    <row r="317" s="482" customFormat="1" x14ac:dyDescent="0.35"/>
    <row r="318" s="482" customFormat="1" x14ac:dyDescent="0.35"/>
    <row r="319" s="482" customFormat="1" x14ac:dyDescent="0.35"/>
    <row r="320" s="482" customFormat="1" x14ac:dyDescent="0.35"/>
    <row r="321" s="482" customFormat="1" x14ac:dyDescent="0.35"/>
    <row r="322" s="482" customFormat="1" x14ac:dyDescent="0.35"/>
    <row r="323" s="482" customFormat="1" x14ac:dyDescent="0.35"/>
    <row r="324" s="482" customFormat="1" x14ac:dyDescent="0.35"/>
    <row r="325" s="482" customFormat="1" x14ac:dyDescent="0.35"/>
    <row r="326" s="482" customFormat="1" x14ac:dyDescent="0.35"/>
    <row r="327" s="482" customFormat="1" x14ac:dyDescent="0.35"/>
    <row r="328" s="482" customFormat="1" x14ac:dyDescent="0.35"/>
    <row r="329" s="482" customFormat="1" x14ac:dyDescent="0.35"/>
    <row r="330" s="482" customFormat="1" x14ac:dyDescent="0.35"/>
    <row r="331" s="482" customFormat="1" x14ac:dyDescent="0.35"/>
    <row r="332" s="482" customFormat="1" x14ac:dyDescent="0.35"/>
    <row r="333" s="482" customFormat="1" x14ac:dyDescent="0.35"/>
    <row r="334" s="482" customFormat="1" x14ac:dyDescent="0.35"/>
    <row r="335" s="482" customFormat="1" x14ac:dyDescent="0.35"/>
    <row r="336" s="482" customFormat="1" x14ac:dyDescent="0.35"/>
    <row r="337" s="482" customFormat="1" x14ac:dyDescent="0.35"/>
    <row r="338" s="482" customFormat="1" x14ac:dyDescent="0.35"/>
    <row r="339" s="482" customFormat="1" x14ac:dyDescent="0.35"/>
    <row r="340" s="482" customFormat="1" x14ac:dyDescent="0.35"/>
    <row r="341" s="482" customFormat="1" x14ac:dyDescent="0.35"/>
    <row r="342" s="482" customFormat="1" x14ac:dyDescent="0.35"/>
    <row r="343" s="482" customFormat="1" x14ac:dyDescent="0.35"/>
    <row r="344" s="482" customFormat="1" x14ac:dyDescent="0.35"/>
    <row r="345" s="482" customFormat="1" x14ac:dyDescent="0.35"/>
    <row r="346" s="482" customFormat="1" x14ac:dyDescent="0.35"/>
    <row r="347" s="482" customFormat="1" x14ac:dyDescent="0.35"/>
    <row r="348" s="482" customFormat="1" x14ac:dyDescent="0.35"/>
    <row r="349" s="482" customFormat="1" x14ac:dyDescent="0.35"/>
    <row r="350" s="482" customFormat="1" x14ac:dyDescent="0.35"/>
    <row r="351" s="482" customFormat="1" x14ac:dyDescent="0.35"/>
    <row r="352" s="482" customFormat="1" x14ac:dyDescent="0.35"/>
    <row r="353" s="482" customFormat="1" x14ac:dyDescent="0.35"/>
    <row r="354" s="482" customFormat="1" x14ac:dyDescent="0.35"/>
    <row r="355" s="482" customFormat="1" x14ac:dyDescent="0.35"/>
    <row r="356" s="482" customFormat="1" x14ac:dyDescent="0.35"/>
    <row r="357" s="482" customFormat="1" x14ac:dyDescent="0.35"/>
    <row r="358" s="482" customFormat="1" x14ac:dyDescent="0.35"/>
    <row r="359" s="482" customFormat="1" x14ac:dyDescent="0.35"/>
    <row r="360" s="482" customFormat="1" x14ac:dyDescent="0.35"/>
    <row r="361" s="482" customFormat="1" x14ac:dyDescent="0.35"/>
    <row r="362" s="482" customFormat="1" x14ac:dyDescent="0.35"/>
    <row r="363" s="482" customFormat="1" x14ac:dyDescent="0.35"/>
    <row r="364" s="482" customFormat="1" x14ac:dyDescent="0.35"/>
    <row r="365" s="482" customFormat="1" x14ac:dyDescent="0.35"/>
    <row r="366" s="482" customFormat="1" x14ac:dyDescent="0.35"/>
    <row r="367" s="482" customFormat="1" x14ac:dyDescent="0.35"/>
    <row r="368" s="482" customFormat="1" x14ac:dyDescent="0.35"/>
    <row r="369" s="482" customFormat="1" x14ac:dyDescent="0.35"/>
    <row r="370" s="482" customFormat="1" x14ac:dyDescent="0.35"/>
    <row r="371" s="482" customFormat="1" x14ac:dyDescent="0.35"/>
    <row r="372" s="482" customFormat="1" x14ac:dyDescent="0.35"/>
    <row r="373" s="482" customFormat="1" x14ac:dyDescent="0.35"/>
    <row r="374" s="482" customFormat="1" x14ac:dyDescent="0.35"/>
    <row r="375" s="482" customFormat="1" x14ac:dyDescent="0.35"/>
    <row r="376" s="482" customFormat="1" x14ac:dyDescent="0.35"/>
    <row r="377" s="482" customFormat="1" x14ac:dyDescent="0.35"/>
    <row r="378" s="482" customFormat="1" x14ac:dyDescent="0.35"/>
    <row r="379" s="482" customFormat="1" x14ac:dyDescent="0.35"/>
    <row r="380" s="482" customFormat="1" x14ac:dyDescent="0.35"/>
    <row r="381" s="482" customFormat="1" x14ac:dyDescent="0.35"/>
    <row r="382" s="482" customFormat="1" x14ac:dyDescent="0.35"/>
    <row r="383" s="482" customFormat="1" x14ac:dyDescent="0.35"/>
    <row r="384" s="482" customFormat="1" x14ac:dyDescent="0.35"/>
    <row r="385" s="482" customFormat="1" x14ac:dyDescent="0.35"/>
    <row r="386" s="482" customFormat="1" x14ac:dyDescent="0.35"/>
  </sheetData>
  <mergeCells count="26">
    <mergeCell ref="R103:R105"/>
    <mergeCell ref="R106:R108"/>
    <mergeCell ref="A102:A103"/>
    <mergeCell ref="A108:A109"/>
    <mergeCell ref="R109:R111"/>
    <mergeCell ref="A110:A111"/>
    <mergeCell ref="A100:A101"/>
    <mergeCell ref="A84:A85"/>
    <mergeCell ref="A86:A87"/>
    <mergeCell ref="A88:A89"/>
    <mergeCell ref="A90:A91"/>
    <mergeCell ref="A92:A93"/>
    <mergeCell ref="A94:A95"/>
    <mergeCell ref="A96:A97"/>
    <mergeCell ref="A98:A99"/>
    <mergeCell ref="AE59:AK59"/>
    <mergeCell ref="F54:G54"/>
    <mergeCell ref="D54:E54"/>
    <mergeCell ref="B28:D29"/>
    <mergeCell ref="F28:O28"/>
    <mergeCell ref="P28:Q29"/>
    <mergeCell ref="R28:U28"/>
    <mergeCell ref="F29:J29"/>
    <mergeCell ref="K29:O29"/>
    <mergeCell ref="R29:S29"/>
    <mergeCell ref="T29:U29"/>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25C219-6245-4F21-8055-9CEFAA548C9A}">
  <dimension ref="A1:O45"/>
  <sheetViews>
    <sheetView showGridLines="0" zoomScale="77" zoomScaleNormal="77" workbookViewId="0">
      <selection activeCell="G1" sqref="G1"/>
    </sheetView>
  </sheetViews>
  <sheetFormatPr defaultRowHeight="14.5" x14ac:dyDescent="0.35"/>
  <cols>
    <col min="2" max="2" width="13.6328125" customWidth="1"/>
    <col min="3" max="7" width="9.81640625" style="22" customWidth="1"/>
    <col min="8" max="8" width="13.6328125" style="22" customWidth="1"/>
    <col min="9" max="14" width="9.81640625" style="22" customWidth="1"/>
    <col min="15" max="15" width="28.26953125" style="742" customWidth="1"/>
  </cols>
  <sheetData>
    <row r="1" spans="1:15" ht="18.5" x14ac:dyDescent="0.45">
      <c r="A1" s="21" t="s">
        <v>539</v>
      </c>
      <c r="B1" s="89"/>
    </row>
    <row r="2" spans="1:15" ht="15" x14ac:dyDescent="0.35">
      <c r="A2" t="s">
        <v>632</v>
      </c>
      <c r="B2" s="89"/>
    </row>
    <row r="3" spans="1:15" ht="15" x14ac:dyDescent="0.35">
      <c r="B3" s="89"/>
    </row>
    <row r="5" spans="1:15" ht="65" x14ac:dyDescent="0.35">
      <c r="A5" s="747" t="s">
        <v>169</v>
      </c>
      <c r="B5" s="747" t="s">
        <v>249</v>
      </c>
      <c r="C5" s="747" t="s">
        <v>468</v>
      </c>
      <c r="D5" s="747" t="s">
        <v>469</v>
      </c>
      <c r="E5" s="747" t="s">
        <v>467</v>
      </c>
      <c r="F5" s="747" t="s">
        <v>90</v>
      </c>
      <c r="G5" s="747" t="s">
        <v>92</v>
      </c>
      <c r="H5" s="747" t="s">
        <v>471</v>
      </c>
      <c r="I5" s="747" t="s">
        <v>94</v>
      </c>
      <c r="J5" s="747" t="s">
        <v>95</v>
      </c>
      <c r="K5" s="747" t="s">
        <v>84</v>
      </c>
      <c r="L5" s="747" t="s">
        <v>120</v>
      </c>
      <c r="M5" s="747" t="s">
        <v>469</v>
      </c>
      <c r="N5" s="747" t="s">
        <v>470</v>
      </c>
      <c r="O5" s="838" t="s">
        <v>626</v>
      </c>
    </row>
    <row r="6" spans="1:15" x14ac:dyDescent="0.35">
      <c r="A6" s="448" t="s">
        <v>27</v>
      </c>
      <c r="B6" s="733">
        <v>2013</v>
      </c>
      <c r="C6" s="733">
        <v>0.39735259557314256</v>
      </c>
      <c r="D6" s="847">
        <v>1.0270155418625908</v>
      </c>
      <c r="E6" s="847">
        <v>0.6296629462894483</v>
      </c>
      <c r="F6" s="847"/>
      <c r="G6" s="847"/>
      <c r="H6" s="847">
        <v>7.7462047702341788E-2</v>
      </c>
      <c r="I6" s="847">
        <v>0.16546062820903493</v>
      </c>
      <c r="J6" s="847">
        <v>5.5153542736344978E-2</v>
      </c>
      <c r="K6" s="847">
        <v>8.2730314104517463E-2</v>
      </c>
      <c r="L6" s="847">
        <v>1.6546062820903491E-2</v>
      </c>
      <c r="M6" s="847">
        <v>1.0270155418625908</v>
      </c>
      <c r="N6" s="847">
        <v>0.31989054787080085</v>
      </c>
      <c r="O6" s="839">
        <v>2.3562297601611917</v>
      </c>
    </row>
    <row r="7" spans="1:15" x14ac:dyDescent="0.35">
      <c r="A7" s="448" t="s">
        <v>27</v>
      </c>
      <c r="B7" s="733">
        <v>2023</v>
      </c>
      <c r="C7" s="733">
        <v>0.98930368296870408</v>
      </c>
      <c r="D7" s="847">
        <v>2.3957823815815757</v>
      </c>
      <c r="E7" s="847">
        <v>1.4064786986128714</v>
      </c>
      <c r="F7" s="847">
        <v>0.12032393493064358</v>
      </c>
      <c r="G7" s="847">
        <v>6.4974924862547537E-2</v>
      </c>
      <c r="H7" s="847">
        <v>0.18529885979319111</v>
      </c>
      <c r="I7" s="847">
        <v>0.39541220811910477</v>
      </c>
      <c r="J7" s="847">
        <v>0.13180406937303493</v>
      </c>
      <c r="K7" s="847">
        <v>0.19770610405955241</v>
      </c>
      <c r="L7" s="847">
        <v>7.9082441623820943E-2</v>
      </c>
      <c r="M7" s="847">
        <v>2.3957823815815757</v>
      </c>
      <c r="N7" s="847">
        <v>0.80400482317551303</v>
      </c>
      <c r="O7" s="839">
        <v>2.3562297601611917</v>
      </c>
    </row>
    <row r="8" spans="1:15" x14ac:dyDescent="0.35">
      <c r="A8" s="448" t="s">
        <v>18</v>
      </c>
      <c r="B8" s="733">
        <v>2013</v>
      </c>
      <c r="C8" s="733">
        <v>0.58081506849315079</v>
      </c>
      <c r="D8" s="847">
        <v>1.3207393154403708</v>
      </c>
      <c r="E8" s="847">
        <v>0.73992424694722003</v>
      </c>
      <c r="F8" s="847"/>
      <c r="G8" s="847"/>
      <c r="H8" s="847">
        <v>0.38574657534246581</v>
      </c>
      <c r="I8" s="847">
        <v>8.2191780821917818E-2</v>
      </c>
      <c r="J8" s="847">
        <v>3.8356164383561646E-2</v>
      </c>
      <c r="K8" s="847">
        <v>5.8082191780821912E-2</v>
      </c>
      <c r="L8" s="847">
        <v>1.643835616438356E-2</v>
      </c>
      <c r="M8" s="847">
        <v>1.3207393154403708</v>
      </c>
      <c r="N8" s="847">
        <v>0.19506849315068492</v>
      </c>
      <c r="O8" s="839">
        <v>1.5803757035790778</v>
      </c>
    </row>
    <row r="9" spans="1:15" x14ac:dyDescent="0.35">
      <c r="A9" s="448" t="s">
        <v>18</v>
      </c>
      <c r="B9" s="733">
        <v>2023</v>
      </c>
      <c r="C9" s="733">
        <v>0.97176512311185148</v>
      </c>
      <c r="D9" s="847">
        <v>1.5639985773718081</v>
      </c>
      <c r="E9" s="847">
        <v>0.59223345425995655</v>
      </c>
      <c r="F9" s="847">
        <v>0.20159622001009872</v>
      </c>
      <c r="G9" s="847">
        <v>0.45953599894609687</v>
      </c>
      <c r="H9" s="847">
        <v>0.66113221895619556</v>
      </c>
      <c r="I9" s="847">
        <v>0.13081116121097247</v>
      </c>
      <c r="J9" s="847">
        <v>6.1045208565120475E-2</v>
      </c>
      <c r="K9" s="847">
        <v>9.2614302137368473E-2</v>
      </c>
      <c r="L9" s="847">
        <v>2.6162232242194487E-2</v>
      </c>
      <c r="M9" s="847">
        <v>1.5639985773718079</v>
      </c>
      <c r="N9" s="847">
        <v>0.31063290415565592</v>
      </c>
      <c r="O9" s="839">
        <v>1.5803757035790778</v>
      </c>
    </row>
    <row r="10" spans="1:15" x14ac:dyDescent="0.35">
      <c r="A10" s="448" t="s">
        <v>17</v>
      </c>
      <c r="B10" s="733">
        <v>2013</v>
      </c>
      <c r="C10" s="733">
        <v>0.6291833246570161</v>
      </c>
      <c r="D10" s="847">
        <v>0.7640015045404619</v>
      </c>
      <c r="E10" s="847">
        <v>0.1348181798834458</v>
      </c>
      <c r="F10" s="847"/>
      <c r="G10" s="847"/>
      <c r="H10" s="847">
        <v>0.33751666469455732</v>
      </c>
      <c r="I10" s="847">
        <v>0.1666666599785479</v>
      </c>
      <c r="J10" s="847">
        <v>4.1666666661303642E-2</v>
      </c>
      <c r="K10" s="847">
        <v>8.3333333322607298E-2</v>
      </c>
      <c r="L10" s="847">
        <v>0</v>
      </c>
      <c r="M10" s="847">
        <v>0.7640015045404619</v>
      </c>
      <c r="N10" s="847">
        <v>0.29166665996245883</v>
      </c>
      <c r="O10" s="839">
        <v>1.334994593958271</v>
      </c>
    </row>
    <row r="11" spans="1:15" x14ac:dyDescent="0.35">
      <c r="A11" s="448" t="s">
        <v>17</v>
      </c>
      <c r="B11" s="733">
        <v>2023</v>
      </c>
      <c r="C11" s="733">
        <v>0.90522284976098333</v>
      </c>
      <c r="D11" s="847">
        <v>1.4078788787919687</v>
      </c>
      <c r="E11" s="847">
        <v>0.50265602903098516</v>
      </c>
      <c r="F11" s="847">
        <v>0.15366719542888882</v>
      </c>
      <c r="G11" s="847">
        <v>0.3167658166089688</v>
      </c>
      <c r="H11" s="847">
        <v>0.47043301203785759</v>
      </c>
      <c r="I11" s="847">
        <v>0.24867319485798672</v>
      </c>
      <c r="J11" s="847">
        <v>6.2610667876291048E-2</v>
      </c>
      <c r="K11" s="847">
        <v>0.12350597498884808</v>
      </c>
      <c r="L11" s="847">
        <v>0</v>
      </c>
      <c r="M11" s="847">
        <v>1.4078788787919685</v>
      </c>
      <c r="N11" s="847">
        <v>0.43478983772312585</v>
      </c>
      <c r="O11" s="839">
        <v>1.334994593958271</v>
      </c>
    </row>
    <row r="12" spans="1:15" x14ac:dyDescent="0.35">
      <c r="A12" s="448" t="s">
        <v>19</v>
      </c>
      <c r="B12" s="733">
        <v>2013</v>
      </c>
      <c r="C12" s="733">
        <v>0.50803458162556525</v>
      </c>
      <c r="D12" s="847">
        <v>0.7388017896213489</v>
      </c>
      <c r="E12" s="847">
        <v>0.23076720799578365</v>
      </c>
      <c r="F12" s="847"/>
      <c r="G12" s="847"/>
      <c r="H12" s="847">
        <v>0.27682721974498975</v>
      </c>
      <c r="I12" s="847">
        <v>8.2771131938153525E-2</v>
      </c>
      <c r="J12" s="847">
        <v>8.2771131938153525E-2</v>
      </c>
      <c r="K12" s="847">
        <v>6.5665098004268452E-2</v>
      </c>
      <c r="L12" s="847">
        <v>0</v>
      </c>
      <c r="M12" s="847">
        <v>0.7388017896213489</v>
      </c>
      <c r="N12" s="847">
        <v>0.2312073618805755</v>
      </c>
      <c r="O12" s="839">
        <v>1.2725451388157742</v>
      </c>
    </row>
    <row r="13" spans="1:15" x14ac:dyDescent="0.35">
      <c r="A13" s="448" t="s">
        <v>19</v>
      </c>
      <c r="B13" s="733">
        <v>2023</v>
      </c>
      <c r="C13" s="733">
        <v>0.78446424902689493</v>
      </c>
      <c r="D13" s="847">
        <v>1.2952062691171284</v>
      </c>
      <c r="E13" s="847">
        <v>0.51074202009023351</v>
      </c>
      <c r="F13" s="847">
        <v>0.17686047403845678</v>
      </c>
      <c r="G13" s="847">
        <v>0.26090594038562964</v>
      </c>
      <c r="H13" s="847">
        <v>0.43776641442408643</v>
      </c>
      <c r="I13" s="847">
        <v>0.12411616990554004</v>
      </c>
      <c r="J13" s="847">
        <v>0.12411616990554004</v>
      </c>
      <c r="K13" s="847">
        <v>9.8465494791728447E-2</v>
      </c>
      <c r="L13" s="847">
        <v>0</v>
      </c>
      <c r="M13" s="847">
        <v>1.2952062691171284</v>
      </c>
      <c r="N13" s="847">
        <v>0.34669783460280856</v>
      </c>
      <c r="O13" s="839">
        <v>1.2725451388157742</v>
      </c>
    </row>
    <row r="14" spans="1:15" x14ac:dyDescent="0.35">
      <c r="A14" s="448" t="s">
        <v>21</v>
      </c>
      <c r="B14" s="733">
        <v>2013</v>
      </c>
      <c r="C14" s="733">
        <v>0.46267123287671236</v>
      </c>
      <c r="D14" s="847">
        <v>0.87510079704339616</v>
      </c>
      <c r="E14" s="847">
        <v>0.41242956416668375</v>
      </c>
      <c r="F14" s="847"/>
      <c r="G14" s="847"/>
      <c r="H14" s="847">
        <v>0.17500000000000002</v>
      </c>
      <c r="I14" s="847">
        <v>0.16438356164383561</v>
      </c>
      <c r="J14" s="847">
        <v>4.1095890410958902E-2</v>
      </c>
      <c r="K14" s="847">
        <v>8.2191780821917804E-2</v>
      </c>
      <c r="L14" s="847">
        <v>0</v>
      </c>
      <c r="M14" s="847">
        <v>0.87510079704339616</v>
      </c>
      <c r="N14" s="847">
        <v>0.28767123287671231</v>
      </c>
      <c r="O14" s="839">
        <v>1.2418066410938839</v>
      </c>
    </row>
    <row r="15" spans="1:15" x14ac:dyDescent="0.35">
      <c r="A15" s="448" t="s">
        <v>21</v>
      </c>
      <c r="B15" s="733">
        <v>2023</v>
      </c>
      <c r="C15" s="733">
        <v>0.70899475736136042</v>
      </c>
      <c r="D15" s="847">
        <v>1.2418066410938835</v>
      </c>
      <c r="E15" s="847">
        <v>0.53281188373252308</v>
      </c>
      <c r="F15" s="847">
        <v>7.403481398428087E-2</v>
      </c>
      <c r="G15" s="847">
        <v>0.19420726566891067</v>
      </c>
      <c r="H15" s="847">
        <v>0.26824207965319152</v>
      </c>
      <c r="I15" s="847">
        <v>0.25185867297609643</v>
      </c>
      <c r="J15" s="847">
        <v>6.2964668244024108E-2</v>
      </c>
      <c r="K15" s="847">
        <v>0.12592933648804827</v>
      </c>
      <c r="L15" s="847">
        <v>0</v>
      </c>
      <c r="M15" s="847">
        <v>1.2418066410938835</v>
      </c>
      <c r="N15" s="847">
        <v>0.44075267770816884</v>
      </c>
      <c r="O15" s="839">
        <v>1.2418066410938839</v>
      </c>
    </row>
    <row r="16" spans="1:15" x14ac:dyDescent="0.35">
      <c r="A16" s="448" t="s">
        <v>11</v>
      </c>
      <c r="B16" s="733">
        <v>2013</v>
      </c>
      <c r="C16" s="733">
        <v>0.71719178082191781</v>
      </c>
      <c r="D16" s="847">
        <v>0.81667893719662066</v>
      </c>
      <c r="E16" s="847">
        <v>9.9487156374702845E-2</v>
      </c>
      <c r="F16" s="847"/>
      <c r="G16" s="847"/>
      <c r="H16" s="847">
        <v>0.48157534246575345</v>
      </c>
      <c r="I16" s="847">
        <v>8.2191780821917818E-2</v>
      </c>
      <c r="J16" s="847">
        <v>3.8356164383561639E-2</v>
      </c>
      <c r="K16" s="847">
        <v>8.219178082191779E-2</v>
      </c>
      <c r="L16" s="847">
        <v>3.287671232876712E-2</v>
      </c>
      <c r="M16" s="847">
        <v>0.77960078912841257</v>
      </c>
      <c r="N16" s="847">
        <v>0.23561643835616439</v>
      </c>
      <c r="O16" s="839">
        <v>1.0478888404312852</v>
      </c>
    </row>
    <row r="17" spans="1:15" x14ac:dyDescent="0.35">
      <c r="A17" s="448" t="s">
        <v>11</v>
      </c>
      <c r="B17" s="733">
        <v>2023</v>
      </c>
      <c r="C17" s="733">
        <v>0.71386841085815833</v>
      </c>
      <c r="D17" s="847">
        <v>0.74908179925946339</v>
      </c>
      <c r="E17" s="847">
        <v>3.5213388401305057E-2</v>
      </c>
      <c r="F17" s="847">
        <v>0.19044456357572617</v>
      </c>
      <c r="G17" s="847">
        <v>0.27961742981471321</v>
      </c>
      <c r="H17" s="847">
        <v>0.47006199339043941</v>
      </c>
      <c r="I17" s="847">
        <v>8.5048750279436841E-2</v>
      </c>
      <c r="J17" s="847">
        <v>3.9689416797070519E-2</v>
      </c>
      <c r="K17" s="847">
        <v>8.5048750279436827E-2</v>
      </c>
      <c r="L17" s="847">
        <v>3.4019500111774736E-2</v>
      </c>
      <c r="M17" s="847">
        <v>0.74908179925946339</v>
      </c>
      <c r="N17" s="847">
        <v>0.24380641746771892</v>
      </c>
      <c r="O17" s="839">
        <v>1.0478888404312852</v>
      </c>
    </row>
    <row r="18" spans="1:15" x14ac:dyDescent="0.35">
      <c r="A18" s="448" t="s">
        <v>26</v>
      </c>
      <c r="B18" s="733">
        <v>2013</v>
      </c>
      <c r="C18" s="733">
        <v>0.45444640944702719</v>
      </c>
      <c r="D18" s="847">
        <v>0.55898982306445222</v>
      </c>
      <c r="E18" s="847">
        <v>0.10454341361742503</v>
      </c>
      <c r="F18" s="847"/>
      <c r="G18" s="847"/>
      <c r="H18" s="847">
        <v>0.24467538194738761</v>
      </c>
      <c r="I18" s="847">
        <v>8.2155754895420208E-2</v>
      </c>
      <c r="J18" s="847">
        <v>4.9293452937252111E-2</v>
      </c>
      <c r="K18" s="847">
        <v>6.2986078753155497E-2</v>
      </c>
      <c r="L18" s="847">
        <v>1.5335740913811775E-2</v>
      </c>
      <c r="M18" s="847">
        <v>0.55898982306445222</v>
      </c>
      <c r="N18" s="847">
        <v>0.20977102749963958</v>
      </c>
      <c r="O18" s="839">
        <v>1.0148200806795946</v>
      </c>
    </row>
    <row r="19" spans="1:15" x14ac:dyDescent="0.35">
      <c r="A19" s="448" t="s">
        <v>26</v>
      </c>
      <c r="B19" s="733">
        <v>2023</v>
      </c>
      <c r="C19" s="733">
        <v>0.6295342068542179</v>
      </c>
      <c r="D19" s="847">
        <v>1.0148111029806723</v>
      </c>
      <c r="E19" s="847">
        <v>0.38527689612645433</v>
      </c>
      <c r="F19" s="847">
        <v>9.6091373018184989E-2</v>
      </c>
      <c r="G19" s="847">
        <v>0.2428518319648357</v>
      </c>
      <c r="H19" s="847">
        <v>0.33894320498302066</v>
      </c>
      <c r="I19" s="847">
        <v>0.11380848637253158</v>
      </c>
      <c r="J19" s="847">
        <v>6.828509182351894E-2</v>
      </c>
      <c r="K19" s="847">
        <v>8.7253172885607536E-2</v>
      </c>
      <c r="L19" s="847">
        <v>2.1244250789539225E-2</v>
      </c>
      <c r="M19" s="847">
        <v>1.0148111029806723</v>
      </c>
      <c r="N19" s="847">
        <v>0.2905910018711973</v>
      </c>
      <c r="O19" s="839">
        <v>1.0148200806795946</v>
      </c>
    </row>
    <row r="20" spans="1:15" x14ac:dyDescent="0.35">
      <c r="A20" s="448" t="s">
        <v>14</v>
      </c>
      <c r="B20" s="733">
        <v>2013</v>
      </c>
      <c r="C20" s="733">
        <v>0.62930821917808222</v>
      </c>
      <c r="D20" s="847">
        <v>0.67279245796782472</v>
      </c>
      <c r="E20" s="847">
        <v>4.3484238789742502E-2</v>
      </c>
      <c r="F20" s="847"/>
      <c r="G20" s="847"/>
      <c r="H20" s="847">
        <v>0.39150000000000001</v>
      </c>
      <c r="I20" s="847">
        <v>8.2191780821917818E-2</v>
      </c>
      <c r="J20" s="847">
        <v>5.7534246575342472E-2</v>
      </c>
      <c r="K20" s="847">
        <v>9.808219178082192E-2</v>
      </c>
      <c r="L20" s="847">
        <v>0</v>
      </c>
      <c r="M20" s="847">
        <v>0.67279245796782472</v>
      </c>
      <c r="N20" s="847">
        <v>0.2378082191780822</v>
      </c>
      <c r="O20" s="839">
        <v>0.92203222561727949</v>
      </c>
    </row>
    <row r="21" spans="1:15" x14ac:dyDescent="0.35">
      <c r="A21" s="448" t="s">
        <v>14</v>
      </c>
      <c r="B21" s="733">
        <v>2023</v>
      </c>
      <c r="C21" s="733">
        <v>0.73872572849118523</v>
      </c>
      <c r="D21" s="847">
        <v>0.89802374778905625</v>
      </c>
      <c r="E21" s="847">
        <v>0.15929801929787102</v>
      </c>
      <c r="F21" s="847">
        <v>0.22985434558839624</v>
      </c>
      <c r="G21" s="847">
        <v>0.23330158315732066</v>
      </c>
      <c r="H21" s="847">
        <v>0.46315592874571687</v>
      </c>
      <c r="I21" s="847">
        <v>9.5243018345207944E-2</v>
      </c>
      <c r="J21" s="847">
        <v>6.6670112841645562E-2</v>
      </c>
      <c r="K21" s="847">
        <v>0.1136566685586148</v>
      </c>
      <c r="L21" s="847">
        <v>0</v>
      </c>
      <c r="M21" s="847">
        <v>0.89802374778905625</v>
      </c>
      <c r="N21" s="847">
        <v>0.2755697997454683</v>
      </c>
      <c r="O21" s="839">
        <v>0.92203222561727949</v>
      </c>
    </row>
    <row r="22" spans="1:15" x14ac:dyDescent="0.35">
      <c r="A22" s="448" t="s">
        <v>15</v>
      </c>
      <c r="B22" s="733">
        <v>2013</v>
      </c>
      <c r="C22" s="733">
        <v>0.53158465239675667</v>
      </c>
      <c r="D22" s="847">
        <v>0.63865708260147103</v>
      </c>
      <c r="E22" s="847">
        <v>0.10707243020471435</v>
      </c>
      <c r="F22" s="847"/>
      <c r="G22" s="847"/>
      <c r="H22" s="847">
        <v>0.34358068363728733</v>
      </c>
      <c r="I22" s="847">
        <v>8.2337504566190989E-2</v>
      </c>
      <c r="J22" s="847">
        <v>4.1168752283095494E-2</v>
      </c>
      <c r="K22" s="847">
        <v>6.038083668187337E-2</v>
      </c>
      <c r="L22" s="847">
        <v>4.1168752283095491E-3</v>
      </c>
      <c r="M22" s="847">
        <v>0.63865708260147103</v>
      </c>
      <c r="N22" s="847">
        <v>0.1880039687594694</v>
      </c>
      <c r="O22" s="839">
        <v>0.84139313657224657</v>
      </c>
    </row>
    <row r="23" spans="1:15" x14ac:dyDescent="0.35">
      <c r="A23" s="448" t="s">
        <v>15</v>
      </c>
      <c r="B23" s="733">
        <v>2023</v>
      </c>
      <c r="C23" s="733">
        <v>0.61915696217987637</v>
      </c>
      <c r="D23" s="847">
        <v>0.76973271127660003</v>
      </c>
      <c r="E23" s="847">
        <v>0.15057574909672367</v>
      </c>
      <c r="F23" s="847">
        <v>9.20460599277379E-2</v>
      </c>
      <c r="G23" s="847">
        <v>0.31127554566016358</v>
      </c>
      <c r="H23" s="847">
        <v>0.40332160558790148</v>
      </c>
      <c r="I23" s="847">
        <v>9.4526433543930657E-2</v>
      </c>
      <c r="J23" s="847">
        <v>4.7263216771965322E-2</v>
      </c>
      <c r="K23" s="847">
        <v>6.9319384598882469E-2</v>
      </c>
      <c r="L23" s="847">
        <v>4.726321677196531E-3</v>
      </c>
      <c r="M23" s="847">
        <v>0.76973271127660003</v>
      </c>
      <c r="N23" s="847">
        <v>0.21583535659197498</v>
      </c>
      <c r="O23" s="839">
        <v>0.84139313657224657</v>
      </c>
    </row>
    <row r="24" spans="1:15" x14ac:dyDescent="0.35">
      <c r="A24" s="448" t="s">
        <v>16</v>
      </c>
      <c r="B24" s="733">
        <v>2013</v>
      </c>
      <c r="C24" s="733">
        <v>0.71514949149722251</v>
      </c>
      <c r="D24" s="847">
        <v>0.71514949149722251</v>
      </c>
      <c r="E24" s="847">
        <v>0</v>
      </c>
      <c r="F24" s="847"/>
      <c r="G24" s="847"/>
      <c r="H24" s="847">
        <v>0.34544853804419862</v>
      </c>
      <c r="I24" s="847">
        <v>0.16431153486801064</v>
      </c>
      <c r="J24" s="847">
        <v>8.2155767434005322E-2</v>
      </c>
      <c r="K24" s="847">
        <v>0.12323365115100798</v>
      </c>
      <c r="L24" s="847">
        <v>0</v>
      </c>
      <c r="M24" s="847">
        <v>0.71514949149722251</v>
      </c>
      <c r="N24" s="847">
        <v>0.36970095345302395</v>
      </c>
      <c r="O24" s="839">
        <v>0.72418972256162317</v>
      </c>
    </row>
    <row r="25" spans="1:15" x14ac:dyDescent="0.35">
      <c r="A25" s="448" t="s">
        <v>16</v>
      </c>
      <c r="B25" s="733">
        <v>2023</v>
      </c>
      <c r="C25" s="733">
        <v>0.65853972362930402</v>
      </c>
      <c r="D25" s="847">
        <v>0.65853972362930402</v>
      </c>
      <c r="E25" s="847">
        <v>0</v>
      </c>
      <c r="F25" s="847">
        <v>0.13614282709864167</v>
      </c>
      <c r="G25" s="847">
        <v>0.18986540325905008</v>
      </c>
      <c r="H25" s="847">
        <v>0.32600823035769178</v>
      </c>
      <c r="I25" s="847">
        <v>0.14779177478738323</v>
      </c>
      <c r="J25" s="847">
        <v>7.3895887393691614E-2</v>
      </c>
      <c r="K25" s="847">
        <v>0.11084383109053741</v>
      </c>
      <c r="L25" s="847">
        <v>0</v>
      </c>
      <c r="M25" s="847">
        <v>0.65853972362930402</v>
      </c>
      <c r="N25" s="847">
        <v>0.33253149327161224</v>
      </c>
      <c r="O25" s="839">
        <v>0.72418972256162317</v>
      </c>
    </row>
    <row r="26" spans="1:15" x14ac:dyDescent="0.35">
      <c r="A26" s="448" t="s">
        <v>29</v>
      </c>
      <c r="B26" s="733">
        <v>2013</v>
      </c>
      <c r="C26" s="733">
        <v>0.27824229452054788</v>
      </c>
      <c r="D26" s="847">
        <v>0.7155953503712722</v>
      </c>
      <c r="E26" s="847">
        <v>0.43735305585072437</v>
      </c>
      <c r="F26" s="847"/>
      <c r="G26" s="847"/>
      <c r="H26" s="847">
        <v>0.18618749999999995</v>
      </c>
      <c r="I26" s="847">
        <v>0</v>
      </c>
      <c r="J26" s="847">
        <v>3.8356164383561639E-2</v>
      </c>
      <c r="K26" s="847">
        <v>3.8356164383561646E-2</v>
      </c>
      <c r="L26" s="847">
        <v>1.5342465753424656E-2</v>
      </c>
      <c r="M26" s="847">
        <v>0.7155953503712722</v>
      </c>
      <c r="N26" s="847">
        <v>9.2054794520547933E-2</v>
      </c>
      <c r="O26" s="839">
        <v>0.7155953503712722</v>
      </c>
    </row>
    <row r="27" spans="1:15" x14ac:dyDescent="0.35">
      <c r="A27" s="448" t="s">
        <v>29</v>
      </c>
      <c r="B27" s="733">
        <v>2023</v>
      </c>
      <c r="C27" s="733">
        <v>0.33416392149919477</v>
      </c>
      <c r="D27" s="847">
        <v>0.49843948510751163</v>
      </c>
      <c r="E27" s="847">
        <v>0.16427556360831685</v>
      </c>
      <c r="F27" s="847">
        <v>8.1499289452582183E-2</v>
      </c>
      <c r="G27" s="847">
        <v>0.14553444545103958</v>
      </c>
      <c r="H27" s="847">
        <v>0.22703373490362178</v>
      </c>
      <c r="I27" s="847">
        <v>0</v>
      </c>
      <c r="J27" s="847">
        <v>4.4637577748155431E-2</v>
      </c>
      <c r="K27" s="847">
        <v>4.4637577748155431E-2</v>
      </c>
      <c r="L27" s="847">
        <v>1.7855031099262168E-2</v>
      </c>
      <c r="M27" s="847">
        <v>0.49843948510751163</v>
      </c>
      <c r="N27" s="847">
        <v>0.10713018659557302</v>
      </c>
      <c r="O27" s="839">
        <v>0.7155953503712722</v>
      </c>
    </row>
    <row r="28" spans="1:15" x14ac:dyDescent="0.35">
      <c r="A28" s="448" t="s">
        <v>20</v>
      </c>
      <c r="B28" s="733">
        <v>2013</v>
      </c>
      <c r="C28" s="733">
        <v>0.43062823406052786</v>
      </c>
      <c r="D28" s="847">
        <v>0.48947220558789217</v>
      </c>
      <c r="E28" s="847">
        <v>5.8843971527364314E-2</v>
      </c>
      <c r="F28" s="847"/>
      <c r="G28" s="847"/>
      <c r="H28" s="847">
        <v>0.22710205109910306</v>
      </c>
      <c r="I28" s="847">
        <v>7.7015074301106573E-2</v>
      </c>
      <c r="J28" s="847">
        <v>7.7015074301106573E-2</v>
      </c>
      <c r="K28" s="847">
        <v>3.0935021474507302E-2</v>
      </c>
      <c r="L28" s="847">
        <v>1.8561012884704374E-2</v>
      </c>
      <c r="M28" s="847">
        <v>0.48947220558789217</v>
      </c>
      <c r="N28" s="847">
        <v>0.20352618296142483</v>
      </c>
      <c r="O28" s="839">
        <v>0.70568617156010405</v>
      </c>
    </row>
    <row r="29" spans="1:15" x14ac:dyDescent="0.35">
      <c r="A29" s="448" t="s">
        <v>20</v>
      </c>
      <c r="B29" s="733">
        <v>2023</v>
      </c>
      <c r="C29" s="733">
        <v>0.53956927881587935</v>
      </c>
      <c r="D29" s="847">
        <v>0.7072073588886445</v>
      </c>
      <c r="E29" s="847">
        <v>0.16763808007276504</v>
      </c>
      <c r="F29" s="847">
        <v>0.11372096542594987</v>
      </c>
      <c r="G29" s="847">
        <v>0.2148062680267942</v>
      </c>
      <c r="H29" s="847">
        <v>0.32852723345274404</v>
      </c>
      <c r="I29" s="847">
        <v>9.5928202437788795E-2</v>
      </c>
      <c r="J29" s="847">
        <v>3.8371280975115517E-2</v>
      </c>
      <c r="K29" s="847">
        <v>4.7964101218894398E-2</v>
      </c>
      <c r="L29" s="847">
        <v>2.8778460731336639E-2</v>
      </c>
      <c r="M29" s="847">
        <v>0.70720735888864439</v>
      </c>
      <c r="N29" s="847">
        <v>0.21104204536313534</v>
      </c>
      <c r="O29" s="839">
        <v>0.70568617156010405</v>
      </c>
    </row>
    <row r="30" spans="1:15" x14ac:dyDescent="0.35">
      <c r="A30" s="448" t="s">
        <v>12</v>
      </c>
      <c r="B30" s="733">
        <v>2013</v>
      </c>
      <c r="C30" s="733">
        <v>0.70304109589041108</v>
      </c>
      <c r="D30" s="847">
        <v>0.70304109589041108</v>
      </c>
      <c r="E30" s="847">
        <v>0</v>
      </c>
      <c r="F30" s="847"/>
      <c r="G30" s="847"/>
      <c r="H30" s="847">
        <v>0.45668493150684936</v>
      </c>
      <c r="I30" s="847">
        <v>8.2191780821917818E-2</v>
      </c>
      <c r="J30" s="847">
        <v>0.10958904109589043</v>
      </c>
      <c r="K30" s="847">
        <v>3.1561643835616437E-2</v>
      </c>
      <c r="L30" s="847">
        <v>2.301369863013699E-2</v>
      </c>
      <c r="M30" s="847">
        <v>0.70304109589041108</v>
      </c>
      <c r="N30" s="847">
        <v>0.2463561643835617</v>
      </c>
      <c r="O30" s="839">
        <v>0.70304109589041108</v>
      </c>
    </row>
    <row r="31" spans="1:15" x14ac:dyDescent="0.35">
      <c r="A31" s="448" t="s">
        <v>12</v>
      </c>
      <c r="B31" s="733">
        <v>2023</v>
      </c>
      <c r="C31" s="733">
        <v>0.68146809709878053</v>
      </c>
      <c r="D31" s="847">
        <v>0.68146809709878053</v>
      </c>
      <c r="E31" s="847">
        <v>0</v>
      </c>
      <c r="F31" s="847">
        <v>9.3058346116092802E-2</v>
      </c>
      <c r="G31" s="847">
        <v>0.35155375199412842</v>
      </c>
      <c r="H31" s="847">
        <v>0.44461209811022123</v>
      </c>
      <c r="I31" s="847">
        <v>7.8498453045258293E-2</v>
      </c>
      <c r="J31" s="847">
        <v>0.10466460406034439</v>
      </c>
      <c r="K31" s="847">
        <v>3.0143405969379179E-2</v>
      </c>
      <c r="L31" s="847">
        <v>2.3549535913577491E-2</v>
      </c>
      <c r="M31" s="847">
        <v>0.68146809709878053</v>
      </c>
      <c r="N31" s="847">
        <v>0.23685599898855936</v>
      </c>
      <c r="O31" s="839">
        <v>0.70304109589041108</v>
      </c>
    </row>
    <row r="32" spans="1:15" x14ac:dyDescent="0.35">
      <c r="A32" s="448" t="s">
        <v>13</v>
      </c>
      <c r="B32" s="733">
        <v>2013</v>
      </c>
      <c r="C32" s="733">
        <v>0.59488493150684929</v>
      </c>
      <c r="D32" s="847">
        <v>0.59488493150684929</v>
      </c>
      <c r="E32" s="847">
        <v>0</v>
      </c>
      <c r="F32" s="847"/>
      <c r="G32" s="847"/>
      <c r="H32" s="847">
        <v>0.2442</v>
      </c>
      <c r="I32" s="847">
        <v>0.16438356164383561</v>
      </c>
      <c r="J32" s="847">
        <v>5.4794520547945216E-2</v>
      </c>
      <c r="K32" s="847">
        <v>8.219178082191779E-2</v>
      </c>
      <c r="L32" s="847">
        <v>4.9315068493150677E-2</v>
      </c>
      <c r="M32" s="847">
        <v>0.59488493150684929</v>
      </c>
      <c r="N32" s="847">
        <v>0.35068493150684932</v>
      </c>
      <c r="O32" s="839">
        <v>0.59488493150684929</v>
      </c>
    </row>
    <row r="33" spans="1:15" x14ac:dyDescent="0.35">
      <c r="A33" s="448" t="s">
        <v>13</v>
      </c>
      <c r="B33" s="733">
        <v>2023</v>
      </c>
      <c r="C33" s="733">
        <v>0.5184285553320449</v>
      </c>
      <c r="D33" s="847">
        <v>0.5184285553320449</v>
      </c>
      <c r="E33" s="847">
        <v>0</v>
      </c>
      <c r="F33" s="847">
        <v>0.11079334863917396</v>
      </c>
      <c r="G33" s="847">
        <v>0.10207632671634359</v>
      </c>
      <c r="H33" s="847">
        <v>0.21286967535551754</v>
      </c>
      <c r="I33" s="847">
        <v>0.14323072498899719</v>
      </c>
      <c r="J33" s="847">
        <v>4.7743574996332389E-2</v>
      </c>
      <c r="K33" s="847">
        <v>7.1615362494498597E-2</v>
      </c>
      <c r="L33" s="847">
        <v>4.2969217496699165E-2</v>
      </c>
      <c r="M33" s="847">
        <v>0.5184285553320449</v>
      </c>
      <c r="N33" s="847">
        <v>0.30555887997652736</v>
      </c>
      <c r="O33" s="839">
        <v>0.59488493150684929</v>
      </c>
    </row>
    <row r="34" spans="1:15" x14ac:dyDescent="0.35">
      <c r="A34" s="448" t="s">
        <v>25</v>
      </c>
      <c r="B34" s="733">
        <v>2013</v>
      </c>
      <c r="C34" s="733">
        <v>0.43404109589041096</v>
      </c>
      <c r="D34" s="847">
        <v>0.43404109589041096</v>
      </c>
      <c r="E34" s="847">
        <v>0</v>
      </c>
      <c r="F34" s="847"/>
      <c r="G34" s="847"/>
      <c r="H34" s="847">
        <v>0.24500000000000002</v>
      </c>
      <c r="I34" s="847">
        <v>4.1095890410958902E-2</v>
      </c>
      <c r="J34" s="847">
        <v>6.575342465753424E-2</v>
      </c>
      <c r="K34" s="847">
        <v>8.2191780821917804E-2</v>
      </c>
      <c r="L34" s="847">
        <v>0</v>
      </c>
      <c r="M34" s="847">
        <v>0.43404109589041096</v>
      </c>
      <c r="N34" s="847">
        <v>0.18904109589041096</v>
      </c>
      <c r="O34" s="839">
        <v>0.43404109589041096</v>
      </c>
    </row>
    <row r="35" spans="1:15" x14ac:dyDescent="0.35">
      <c r="A35" s="448" t="s">
        <v>25</v>
      </c>
      <c r="B35" s="733">
        <v>2023</v>
      </c>
      <c r="C35" s="733">
        <v>0.4516132414687426</v>
      </c>
      <c r="D35" s="847">
        <v>0.4516132414687426</v>
      </c>
      <c r="E35" s="847">
        <v>0</v>
      </c>
      <c r="F35" s="847">
        <v>0.10036508264275064</v>
      </c>
      <c r="G35" s="847">
        <v>0.16890709030121448</v>
      </c>
      <c r="H35" s="847">
        <v>0.2692721729439651</v>
      </c>
      <c r="I35" s="847">
        <v>5.0948239734864294E-2</v>
      </c>
      <c r="J35" s="847">
        <v>5.0948239734864294E-2</v>
      </c>
      <c r="K35" s="847">
        <v>8.0444589055048893E-2</v>
      </c>
      <c r="L35" s="847">
        <v>0</v>
      </c>
      <c r="M35" s="847">
        <v>0.4516132414687426</v>
      </c>
      <c r="N35" s="847">
        <v>0.18234106852477749</v>
      </c>
      <c r="O35" s="839">
        <v>0.43404109589041096</v>
      </c>
    </row>
    <row r="36" spans="1:15" x14ac:dyDescent="0.35">
      <c r="A36" s="448" t="s">
        <v>24</v>
      </c>
      <c r="B36" s="733">
        <v>2013</v>
      </c>
      <c r="C36" s="733">
        <v>0.41222292751896</v>
      </c>
      <c r="D36" s="847">
        <v>0.41222292751896</v>
      </c>
      <c r="E36" s="847">
        <v>0</v>
      </c>
      <c r="F36" s="847"/>
      <c r="G36" s="847"/>
      <c r="H36" s="847">
        <v>0.22758310495012604</v>
      </c>
      <c r="I36" s="847">
        <v>4.1671247045219087E-2</v>
      </c>
      <c r="J36" s="847">
        <v>3.8893163908871153E-2</v>
      </c>
      <c r="K36" s="847">
        <v>0.10407541161474372</v>
      </c>
      <c r="L36" s="847">
        <v>0</v>
      </c>
      <c r="M36" s="847">
        <v>0.41222292751896</v>
      </c>
      <c r="N36" s="847">
        <v>0.18463982256883396</v>
      </c>
      <c r="O36" s="839">
        <v>0.42394296575042784</v>
      </c>
    </row>
    <row r="37" spans="1:15" x14ac:dyDescent="0.35">
      <c r="A37" s="448" t="s">
        <v>24</v>
      </c>
      <c r="B37" s="733">
        <v>2023</v>
      </c>
      <c r="C37" s="733">
        <v>0.42369129998296806</v>
      </c>
      <c r="D37" s="847">
        <v>0.42369129998296806</v>
      </c>
      <c r="E37" s="847">
        <v>0</v>
      </c>
      <c r="F37" s="847">
        <v>1.8964456965726916E-2</v>
      </c>
      <c r="G37" s="847">
        <v>0.2328137269608346</v>
      </c>
      <c r="H37" s="847">
        <v>0.25177818392656154</v>
      </c>
      <c r="I37" s="847">
        <v>3.5725712774680389E-2</v>
      </c>
      <c r="J37" s="847">
        <v>4.6961173545422799E-2</v>
      </c>
      <c r="K37" s="847">
        <v>8.9226229736303314E-2</v>
      </c>
      <c r="L37" s="847">
        <v>0</v>
      </c>
      <c r="M37" s="847">
        <v>0.42369129998296806</v>
      </c>
      <c r="N37" s="847">
        <v>0.1719131160564065</v>
      </c>
      <c r="O37" s="839">
        <v>0.42394296575042784</v>
      </c>
    </row>
    <row r="38" spans="1:15" x14ac:dyDescent="0.35">
      <c r="A38" s="448" t="s">
        <v>28</v>
      </c>
      <c r="B38" s="733">
        <v>2013</v>
      </c>
      <c r="C38" s="733">
        <v>0.37662602739726025</v>
      </c>
      <c r="D38" s="847">
        <v>0.37662602739726025</v>
      </c>
      <c r="E38" s="847">
        <v>0</v>
      </c>
      <c r="F38" s="847"/>
      <c r="G38" s="847"/>
      <c r="H38" s="847">
        <v>0.23689999999999997</v>
      </c>
      <c r="I38" s="847">
        <v>0</v>
      </c>
      <c r="J38" s="847">
        <v>4.1095890410958902E-2</v>
      </c>
      <c r="K38" s="847">
        <v>8.2191780821917804E-2</v>
      </c>
      <c r="L38" s="847">
        <v>1.643835616438356E-2</v>
      </c>
      <c r="M38" s="847">
        <v>0.37662602739726025</v>
      </c>
      <c r="N38" s="847">
        <v>0.13972602739726026</v>
      </c>
      <c r="O38" s="839">
        <v>0.37662602739726025</v>
      </c>
    </row>
    <row r="39" spans="1:15" x14ac:dyDescent="0.35">
      <c r="A39" s="448" t="s">
        <v>28</v>
      </c>
      <c r="B39" s="733">
        <v>2023</v>
      </c>
      <c r="C39" s="733">
        <v>0.3309119510928259</v>
      </c>
      <c r="D39" s="847">
        <v>0.3309119510928259</v>
      </c>
      <c r="E39" s="847">
        <v>0</v>
      </c>
      <c r="F39" s="847">
        <v>0.16691327504629064</v>
      </c>
      <c r="G39" s="847">
        <v>4.194679163466989E-2</v>
      </c>
      <c r="H39" s="847">
        <v>0.20886006668096052</v>
      </c>
      <c r="I39" s="847">
        <v>0</v>
      </c>
      <c r="J39" s="847">
        <v>3.5897613062313344E-2</v>
      </c>
      <c r="K39" s="847">
        <v>7.1795226124626702E-2</v>
      </c>
      <c r="L39" s="847">
        <v>1.4359045224925336E-2</v>
      </c>
      <c r="M39" s="847">
        <v>0.3309119510928259</v>
      </c>
      <c r="N39" s="847">
        <v>0.12205188441186537</v>
      </c>
      <c r="O39" s="839">
        <v>0.37662602739726025</v>
      </c>
    </row>
    <row r="40" spans="1:15" x14ac:dyDescent="0.35">
      <c r="A40" s="846" t="s">
        <v>31</v>
      </c>
      <c r="B40" s="733">
        <v>2013</v>
      </c>
      <c r="C40" s="733">
        <v>0.21853540920790576</v>
      </c>
      <c r="D40" s="847">
        <v>0.2732021930235336</v>
      </c>
      <c r="E40" s="847">
        <v>5.466678381562784E-2</v>
      </c>
      <c r="F40" s="847"/>
      <c r="G40" s="847"/>
      <c r="H40" s="847">
        <v>0.1346997927695496</v>
      </c>
      <c r="I40" s="847">
        <v>0</v>
      </c>
      <c r="J40" s="847">
        <v>3.8356164383561646E-2</v>
      </c>
      <c r="K40" s="847">
        <v>4.547945205479452E-2</v>
      </c>
      <c r="L40" s="847">
        <v>0</v>
      </c>
      <c r="M40" s="847">
        <v>0.2732021930235336</v>
      </c>
      <c r="N40" s="847">
        <v>8.3835616438356159E-2</v>
      </c>
      <c r="O40" s="839">
        <v>0.2732021930235336</v>
      </c>
    </row>
    <row r="41" spans="1:15" x14ac:dyDescent="0.35">
      <c r="A41" s="846" t="s">
        <v>31</v>
      </c>
      <c r="B41" s="733">
        <v>2023</v>
      </c>
      <c r="C41" s="733">
        <v>0.21110164129662778</v>
      </c>
      <c r="D41" s="847">
        <v>0.21110164129662778</v>
      </c>
      <c r="E41" s="847">
        <v>0</v>
      </c>
      <c r="F41" s="847">
        <v>4.3934317465583017E-2</v>
      </c>
      <c r="G41" s="847">
        <v>8.7868634931166034E-2</v>
      </c>
      <c r="H41" s="847">
        <v>0.13180295239674905</v>
      </c>
      <c r="I41" s="847">
        <v>0</v>
      </c>
      <c r="J41" s="847">
        <v>3.8282125675803511E-2</v>
      </c>
      <c r="K41" s="847">
        <v>4.1016563224075202E-2</v>
      </c>
      <c r="L41" s="847">
        <v>0</v>
      </c>
      <c r="M41" s="847">
        <v>0.21110164129662778</v>
      </c>
      <c r="N41" s="847">
        <v>7.9298688899878705E-2</v>
      </c>
      <c r="O41" s="839">
        <v>0.2732021930235336</v>
      </c>
    </row>
    <row r="42" spans="1:15" x14ac:dyDescent="0.35">
      <c r="A42" s="834"/>
      <c r="B42" s="836"/>
      <c r="D42" s="835"/>
      <c r="E42" s="835"/>
      <c r="F42" s="835"/>
      <c r="G42" s="835"/>
      <c r="H42" s="835"/>
      <c r="I42" s="835"/>
      <c r="J42" s="835"/>
      <c r="K42" s="835"/>
      <c r="L42" s="835"/>
      <c r="M42" s="835"/>
      <c r="N42" s="835"/>
    </row>
    <row r="43" spans="1:15" ht="65" x14ac:dyDescent="0.35">
      <c r="A43" s="747" t="s">
        <v>169</v>
      </c>
      <c r="B43" s="747" t="s">
        <v>249</v>
      </c>
      <c r="C43" s="747" t="s">
        <v>468</v>
      </c>
      <c r="D43" s="747" t="s">
        <v>469</v>
      </c>
      <c r="E43" s="747" t="s">
        <v>467</v>
      </c>
      <c r="F43" s="747" t="s">
        <v>90</v>
      </c>
      <c r="G43" s="747" t="s">
        <v>92</v>
      </c>
      <c r="H43" s="747" t="s">
        <v>471</v>
      </c>
      <c r="I43" s="747" t="s">
        <v>94</v>
      </c>
      <c r="J43" s="747" t="s">
        <v>95</v>
      </c>
      <c r="K43" s="747" t="s">
        <v>84</v>
      </c>
      <c r="L43" s="747" t="s">
        <v>120</v>
      </c>
      <c r="M43" s="837"/>
      <c r="N43" s="837"/>
    </row>
    <row r="44" spans="1:15" x14ac:dyDescent="0.35">
      <c r="A44" s="955" t="s">
        <v>125</v>
      </c>
      <c r="B44" s="733">
        <v>2013</v>
      </c>
      <c r="C44" s="759">
        <f t="shared" ref="C44:E45" si="0">AVERAGE(C6,C8,C10,C12,C14,C16,C18,C20,C22,C24,C26,C28,C30,C32,C34,C36,C38,C40)</f>
        <v>0.50410885403108141</v>
      </c>
      <c r="D44" s="759">
        <f t="shared" si="0"/>
        <v>0.67372292044568605</v>
      </c>
      <c r="E44" s="759">
        <f t="shared" si="0"/>
        <v>0.16961406641460458</v>
      </c>
      <c r="F44" s="759"/>
      <c r="G44" s="759"/>
      <c r="H44" s="759">
        <f t="shared" ref="H44:L44" si="1">AVERAGE(H6,H8,H10,H12,H14,H16,H18,H20,H22,H24,H26,H28,H30,H32,H34,H36,H38,H40)</f>
        <v>0.27876054632803393</v>
      </c>
      <c r="I44" s="759">
        <f t="shared" si="1"/>
        <v>8.6723315154888084E-2</v>
      </c>
      <c r="J44" s="759">
        <f t="shared" si="1"/>
        <v>5.507806796850051E-2</v>
      </c>
      <c r="K44" s="759">
        <f t="shared" si="1"/>
        <v>7.1992238502882597E-2</v>
      </c>
      <c r="L44" s="840">
        <f t="shared" si="1"/>
        <v>1.155468607677643E-2</v>
      </c>
      <c r="M44" s="835"/>
      <c r="N44" s="835"/>
    </row>
    <row r="45" spans="1:15" x14ac:dyDescent="0.35">
      <c r="A45" s="956"/>
      <c r="B45" s="733">
        <v>2023</v>
      </c>
      <c r="C45" s="759">
        <f t="shared" si="0"/>
        <v>0.62280687115720001</v>
      </c>
      <c r="D45" s="759">
        <f t="shared" si="0"/>
        <v>0.87876241461997806</v>
      </c>
      <c r="E45" s="759">
        <f t="shared" si="0"/>
        <v>0.25595554346277816</v>
      </c>
      <c r="F45" s="759"/>
      <c r="G45" s="759"/>
      <c r="H45" s="759">
        <f t="shared" ref="H45:L45" si="2">AVERAGE(H7,H9,H11,H13,H15,H17,H19,H21,H23,H25,H27,H29,H31,H33,H35,H37,H39,H41)</f>
        <v>0.33883998142775745</v>
      </c>
      <c r="I45" s="759">
        <f t="shared" si="2"/>
        <v>0.11620117796554331</v>
      </c>
      <c r="J45" s="759">
        <f t="shared" si="2"/>
        <v>6.3658372188347453E-2</v>
      </c>
      <c r="K45" s="759">
        <f t="shared" si="2"/>
        <v>8.7843670858311462E-2</v>
      </c>
      <c r="L45" s="840">
        <f t="shared" si="2"/>
        <v>1.6263668717240373E-2</v>
      </c>
      <c r="M45" s="835"/>
      <c r="N45" s="835"/>
    </row>
  </sheetData>
  <autoFilter ref="A5:O5" xr:uid="{C625C219-6245-4F21-8055-9CEFAA548C9A}">
    <sortState xmlns:xlrd2="http://schemas.microsoft.com/office/spreadsheetml/2017/richdata2" ref="A6:O41">
      <sortCondition descending="1" ref="O5"/>
    </sortState>
  </autoFilter>
  <mergeCells count="1">
    <mergeCell ref="A44:A45"/>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E3F516-1C2C-4CCC-8DDB-39D42121D418}">
  <dimension ref="A1:E24"/>
  <sheetViews>
    <sheetView showGridLines="0" zoomScale="55" zoomScaleNormal="115" workbookViewId="0">
      <selection activeCell="B12" sqref="B12"/>
    </sheetView>
  </sheetViews>
  <sheetFormatPr defaultRowHeight="14.5" x14ac:dyDescent="0.35"/>
  <cols>
    <col min="1" max="1" width="10.54296875" customWidth="1"/>
    <col min="2" max="2" width="11.36328125" customWidth="1"/>
    <col min="3" max="3" width="8.26953125" customWidth="1"/>
    <col min="5" max="5" width="7.54296875" customWidth="1"/>
    <col min="6" max="6" width="11.6328125" customWidth="1"/>
    <col min="7" max="7" width="11.7265625" customWidth="1"/>
    <col min="8" max="8" width="12" customWidth="1"/>
  </cols>
  <sheetData>
    <row r="1" spans="1:5" x14ac:dyDescent="0.35">
      <c r="A1" s="761" t="s">
        <v>540</v>
      </c>
    </row>
    <row r="2" spans="1:5" x14ac:dyDescent="0.35">
      <c r="A2" s="761"/>
    </row>
    <row r="3" spans="1:5" ht="29" x14ac:dyDescent="0.35">
      <c r="A3" s="638" t="s">
        <v>169</v>
      </c>
      <c r="B3" s="638" t="s">
        <v>169</v>
      </c>
      <c r="C3" s="638" t="s">
        <v>481</v>
      </c>
      <c r="D3" s="638" t="s">
        <v>542</v>
      </c>
      <c r="E3" s="638" t="s">
        <v>541</v>
      </c>
    </row>
    <row r="4" spans="1:5" x14ac:dyDescent="0.35">
      <c r="A4" t="s">
        <v>12</v>
      </c>
      <c r="B4" t="s">
        <v>99</v>
      </c>
      <c r="C4" s="606">
        <v>0.71321831525906454</v>
      </c>
      <c r="D4" s="600">
        <v>0.26374337988956575</v>
      </c>
      <c r="E4" s="9">
        <v>0.68146809709878053</v>
      </c>
    </row>
    <row r="5" spans="1:5" x14ac:dyDescent="0.35">
      <c r="A5" t="s">
        <v>13</v>
      </c>
      <c r="B5" t="s">
        <v>98</v>
      </c>
      <c r="C5" s="606">
        <v>0.62473127396209882</v>
      </c>
      <c r="D5" s="600">
        <v>0.97138279838366004</v>
      </c>
      <c r="E5" s="9">
        <v>0.5184285553320449</v>
      </c>
    </row>
    <row r="6" spans="1:5" x14ac:dyDescent="0.35">
      <c r="A6" t="s">
        <v>21</v>
      </c>
      <c r="B6" t="s">
        <v>104</v>
      </c>
      <c r="C6" s="606">
        <v>0.46254518567203418</v>
      </c>
      <c r="D6" s="600">
        <v>0.52387115856334632</v>
      </c>
      <c r="E6" s="9">
        <v>1.2418066410938835</v>
      </c>
    </row>
    <row r="7" spans="1:5" x14ac:dyDescent="0.35">
      <c r="A7" t="s">
        <v>22</v>
      </c>
      <c r="B7" t="s">
        <v>115</v>
      </c>
      <c r="C7" s="606">
        <v>0.43384352064848286</v>
      </c>
      <c r="D7" s="600">
        <v>0</v>
      </c>
      <c r="E7" s="9"/>
    </row>
    <row r="8" spans="1:5" x14ac:dyDescent="0.35">
      <c r="A8" t="s">
        <v>27</v>
      </c>
      <c r="B8" t="s">
        <v>105</v>
      </c>
      <c r="C8" s="606">
        <v>0.48110012049512541</v>
      </c>
      <c r="D8" s="600">
        <v>1.0603112030263302</v>
      </c>
      <c r="E8" s="9">
        <v>2.3957823815815757</v>
      </c>
    </row>
    <row r="9" spans="1:5" x14ac:dyDescent="0.35">
      <c r="A9" t="s">
        <v>20</v>
      </c>
      <c r="B9" t="s">
        <v>111</v>
      </c>
      <c r="C9" s="606">
        <v>0.46210318764377262</v>
      </c>
      <c r="D9" s="600">
        <v>0.51603914050998012</v>
      </c>
      <c r="E9" s="9">
        <v>0.70720735888864439</v>
      </c>
    </row>
    <row r="10" spans="1:5" x14ac:dyDescent="0.35">
      <c r="A10" t="s">
        <v>19</v>
      </c>
      <c r="B10" t="s">
        <v>122</v>
      </c>
      <c r="C10" s="606">
        <v>0.51925758242961995</v>
      </c>
      <c r="D10" s="600">
        <v>0.28825732730520182</v>
      </c>
      <c r="E10" s="9">
        <v>1.2952062691171284</v>
      </c>
    </row>
    <row r="11" spans="1:5" x14ac:dyDescent="0.35">
      <c r="A11" t="s">
        <v>17</v>
      </c>
      <c r="B11" t="s">
        <v>103</v>
      </c>
      <c r="C11" s="606">
        <v>0.57130898549945486</v>
      </c>
      <c r="D11" s="600">
        <v>0.62110838302713489</v>
      </c>
      <c r="E11" s="9">
        <v>1.4078788787919685</v>
      </c>
    </row>
    <row r="12" spans="1:5" x14ac:dyDescent="0.35">
      <c r="A12" t="s">
        <v>26</v>
      </c>
      <c r="B12" t="s">
        <v>482</v>
      </c>
      <c r="C12" s="606">
        <v>0.45444647825610684</v>
      </c>
      <c r="D12" s="600">
        <v>0.25688053342385653</v>
      </c>
      <c r="E12" s="9">
        <v>1.0148111029806723</v>
      </c>
    </row>
    <row r="13" spans="1:5" x14ac:dyDescent="0.35">
      <c r="A13" t="s">
        <v>14</v>
      </c>
      <c r="B13" t="s">
        <v>114</v>
      </c>
      <c r="C13" s="606">
        <v>0.64284575964360935</v>
      </c>
      <c r="D13" s="600">
        <v>0.24118649639170847</v>
      </c>
      <c r="E13" s="9">
        <v>0.89802374778905625</v>
      </c>
    </row>
    <row r="14" spans="1:5" x14ac:dyDescent="0.35">
      <c r="A14" t="s">
        <v>28</v>
      </c>
      <c r="B14" t="s">
        <v>100</v>
      </c>
      <c r="C14" s="606">
        <v>0.37866480446927375</v>
      </c>
      <c r="D14" s="600">
        <v>0.2697812424263315</v>
      </c>
      <c r="E14" s="9">
        <v>0.3309119510928259</v>
      </c>
    </row>
    <row r="15" spans="1:5" x14ac:dyDescent="0.35">
      <c r="A15" t="s">
        <v>15</v>
      </c>
      <c r="B15" t="s">
        <v>101</v>
      </c>
      <c r="C15" s="606">
        <v>0.53812794391499619</v>
      </c>
      <c r="D15" s="600">
        <v>0.35793782901856841</v>
      </c>
      <c r="E15" s="9">
        <v>0.76973271127660003</v>
      </c>
    </row>
    <row r="16" spans="1:5" x14ac:dyDescent="0.35">
      <c r="A16" t="s">
        <v>125</v>
      </c>
      <c r="B16" t="s">
        <v>480</v>
      </c>
      <c r="C16" s="606">
        <v>0.51355137647258253</v>
      </c>
      <c r="D16" s="600">
        <v>0.43140885333660756</v>
      </c>
      <c r="E16" s="9"/>
    </row>
    <row r="17" spans="1:5" x14ac:dyDescent="0.35">
      <c r="A17" t="s">
        <v>29</v>
      </c>
      <c r="B17" t="s">
        <v>106</v>
      </c>
      <c r="C17" s="606">
        <v>0.28701445941505094</v>
      </c>
      <c r="D17" s="600">
        <v>0.4495179446464268</v>
      </c>
      <c r="E17" s="9">
        <v>0.49843948510751163</v>
      </c>
    </row>
    <row r="18" spans="1:5" x14ac:dyDescent="0.35">
      <c r="A18" t="s">
        <v>31</v>
      </c>
      <c r="B18" t="s">
        <v>293</v>
      </c>
      <c r="C18" s="606">
        <v>0.21141724175703799</v>
      </c>
      <c r="D18" s="600">
        <v>0.16581250939432327</v>
      </c>
      <c r="E18" s="9">
        <v>0.21110164129662778</v>
      </c>
    </row>
    <row r="19" spans="1:5" x14ac:dyDescent="0.35">
      <c r="A19" t="s">
        <v>11</v>
      </c>
      <c r="B19" t="s">
        <v>97</v>
      </c>
      <c r="C19" s="606">
        <v>0.68958575966699531</v>
      </c>
      <c r="D19" s="600">
        <v>0.30001822854052601</v>
      </c>
      <c r="E19" s="9">
        <v>0.74908179925946339</v>
      </c>
    </row>
    <row r="20" spans="1:5" x14ac:dyDescent="0.35">
      <c r="A20" t="s">
        <v>16</v>
      </c>
      <c r="B20" t="s">
        <v>110</v>
      </c>
      <c r="C20" s="606">
        <v>0.71736145251396655</v>
      </c>
      <c r="D20" s="600">
        <v>0.39668520292747417</v>
      </c>
      <c r="E20" s="9">
        <v>0.65853972362930402</v>
      </c>
    </row>
    <row r="21" spans="1:5" x14ac:dyDescent="0.35">
      <c r="A21" t="s">
        <v>24</v>
      </c>
      <c r="B21" t="s">
        <v>121</v>
      </c>
      <c r="C21" s="606">
        <v>0.44049427311054778</v>
      </c>
      <c r="D21" s="600">
        <v>0.21360716658986392</v>
      </c>
      <c r="E21" s="9">
        <v>0.42369129998296806</v>
      </c>
    </row>
    <row r="22" spans="1:5" x14ac:dyDescent="0.35">
      <c r="A22" t="s">
        <v>18</v>
      </c>
      <c r="B22" t="s">
        <v>102</v>
      </c>
      <c r="C22" s="606">
        <v>0.61031573009091922</v>
      </c>
      <c r="D22" s="600">
        <v>0.38107704448584745</v>
      </c>
      <c r="E22" s="9">
        <v>1.5639985773718079</v>
      </c>
    </row>
    <row r="23" spans="1:5" x14ac:dyDescent="0.35">
      <c r="A23" t="s">
        <v>25</v>
      </c>
      <c r="B23" t="s">
        <v>113</v>
      </c>
      <c r="C23" s="606">
        <v>0.46121973929236493</v>
      </c>
      <c r="D23" s="600">
        <v>0.47776624629039077</v>
      </c>
      <c r="E23" s="9">
        <v>0.4516132414687426</v>
      </c>
    </row>
    <row r="24" spans="1:5" x14ac:dyDescent="0.35">
      <c r="C24" s="2"/>
    </row>
  </sheetData>
  <autoFilter ref="A3:E3" xr:uid="{E7C363A6-40D7-4AEA-8280-4F10E81AE3E0}"/>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72"/>
  <sheetViews>
    <sheetView showGridLines="0" zoomScale="46" zoomScaleNormal="55" workbookViewId="0">
      <selection activeCell="F59" sqref="F59"/>
    </sheetView>
  </sheetViews>
  <sheetFormatPr defaultColWidth="9.1796875" defaultRowHeight="14.5" x14ac:dyDescent="0.35"/>
  <cols>
    <col min="1" max="1" width="13.54296875" customWidth="1"/>
    <col min="2" max="2" width="17.81640625" customWidth="1"/>
    <col min="3" max="3" width="9.90625" customWidth="1"/>
    <col min="5" max="5" width="23.54296875" customWidth="1"/>
    <col min="6" max="6" width="12.36328125" customWidth="1"/>
    <col min="7" max="7" width="9.6328125" customWidth="1"/>
    <col min="8" max="8" width="18.81640625" customWidth="1"/>
    <col min="9" max="9" width="10.90625" customWidth="1"/>
    <col min="10" max="10" width="9.36328125" customWidth="1"/>
    <col min="11" max="11" width="24.54296875" customWidth="1"/>
    <col min="12" max="12" width="11.26953125" customWidth="1"/>
    <col min="13" max="13" width="9.26953125" customWidth="1"/>
    <col min="14" max="14" width="13.54296875" customWidth="1"/>
    <col min="15" max="15" width="11.54296875" customWidth="1"/>
    <col min="16" max="16" width="13.6328125" customWidth="1"/>
    <col min="17" max="17" width="13.90625" customWidth="1"/>
    <col min="18" max="18" width="15.54296875" bestFit="1" customWidth="1"/>
  </cols>
  <sheetData>
    <row r="1" spans="1:16" ht="18.5" x14ac:dyDescent="0.45">
      <c r="A1" s="21" t="s">
        <v>184</v>
      </c>
    </row>
    <row r="2" spans="1:16" x14ac:dyDescent="0.35">
      <c r="A2" t="s">
        <v>146</v>
      </c>
    </row>
    <row r="4" spans="1:16" s="33" customFormat="1" ht="15" hidden="1" customHeight="1" x14ac:dyDescent="0.35">
      <c r="A4" s="25"/>
      <c r="B4" s="961" t="s">
        <v>68</v>
      </c>
      <c r="C4" s="961"/>
      <c r="D4" s="961"/>
      <c r="E4" s="961"/>
      <c r="F4" s="961"/>
      <c r="G4" s="961"/>
      <c r="H4" s="961"/>
      <c r="I4" s="961"/>
      <c r="J4" s="961"/>
      <c r="K4" s="961"/>
      <c r="L4" s="961"/>
      <c r="M4" s="961"/>
      <c r="N4" s="961" t="s">
        <v>69</v>
      </c>
      <c r="O4" s="961"/>
      <c r="P4" s="641"/>
    </row>
    <row r="5" spans="1:16" s="33" customFormat="1" ht="14.5" hidden="1" customHeight="1" x14ac:dyDescent="0.35">
      <c r="A5" s="25"/>
      <c r="B5" s="962" t="s">
        <v>72</v>
      </c>
      <c r="C5" s="962"/>
      <c r="D5" s="962"/>
      <c r="E5" s="962"/>
      <c r="F5" s="962"/>
      <c r="G5" s="962"/>
      <c r="H5" s="962" t="s">
        <v>71</v>
      </c>
      <c r="I5" s="962"/>
      <c r="J5" s="962"/>
      <c r="K5" s="962"/>
      <c r="L5" s="962"/>
      <c r="M5" s="962"/>
      <c r="N5" s="962"/>
      <c r="O5" s="962"/>
      <c r="P5" s="642"/>
    </row>
    <row r="6" spans="1:16" s="33" customFormat="1" hidden="1" x14ac:dyDescent="0.35">
      <c r="A6" s="395" t="s">
        <v>169</v>
      </c>
      <c r="B6" s="396" t="s">
        <v>75</v>
      </c>
      <c r="C6" s="396" t="s">
        <v>76</v>
      </c>
      <c r="D6" s="396" t="s">
        <v>77</v>
      </c>
      <c r="E6" s="396" t="s">
        <v>78</v>
      </c>
      <c r="F6" s="396" t="s">
        <v>79</v>
      </c>
      <c r="G6" s="396" t="s">
        <v>64</v>
      </c>
      <c r="H6" s="396" t="s">
        <v>75</v>
      </c>
      <c r="I6" s="396" t="s">
        <v>76</v>
      </c>
      <c r="J6" s="396" t="s">
        <v>77</v>
      </c>
      <c r="K6" s="396" t="s">
        <v>185</v>
      </c>
      <c r="L6" s="396" t="s">
        <v>79</v>
      </c>
      <c r="M6" s="396" t="s">
        <v>65</v>
      </c>
      <c r="N6" s="396" t="s">
        <v>5</v>
      </c>
      <c r="O6" s="396" t="s">
        <v>4</v>
      </c>
      <c r="P6" s="643"/>
    </row>
    <row r="7" spans="1:16" s="23" customFormat="1" hidden="1" x14ac:dyDescent="0.35">
      <c r="A7" s="398" t="s">
        <v>11</v>
      </c>
      <c r="B7" s="399">
        <v>0.21169011698384105</v>
      </c>
      <c r="C7" s="399">
        <v>0.16632794905873224</v>
      </c>
      <c r="D7" s="399">
        <v>4.5362167925108797E-2</v>
      </c>
      <c r="E7" s="399">
        <v>0</v>
      </c>
      <c r="F7" s="399">
        <v>0</v>
      </c>
      <c r="G7" s="399">
        <v>0</v>
      </c>
      <c r="H7" s="399">
        <v>0.30044875889063727</v>
      </c>
      <c r="I7" s="399">
        <v>0.16285018285114058</v>
      </c>
      <c r="J7" s="399">
        <v>2.2681083962554398E-2</v>
      </c>
      <c r="K7" s="399">
        <v>4.3850095660938504E-2</v>
      </c>
      <c r="L7" s="399">
        <v>7.1067396416003778E-2</v>
      </c>
      <c r="M7" s="399">
        <v>0</v>
      </c>
      <c r="N7" s="399">
        <v>0.1147199188833099</v>
      </c>
      <c r="O7" s="399">
        <v>5.3535962145544624E-2</v>
      </c>
      <c r="P7" s="644"/>
    </row>
    <row r="8" spans="1:16" s="23" customFormat="1" hidden="1" x14ac:dyDescent="0.35">
      <c r="A8" s="400" t="s">
        <v>13</v>
      </c>
      <c r="B8" s="401">
        <v>0.1093691311293413</v>
      </c>
      <c r="C8" s="401">
        <v>6.1210112578332358E-2</v>
      </c>
      <c r="D8" s="401">
        <v>4.8159018551008938E-2</v>
      </c>
      <c r="E8" s="401">
        <v>0</v>
      </c>
      <c r="F8" s="401">
        <v>0</v>
      </c>
      <c r="G8" s="401">
        <v>0</v>
      </c>
      <c r="H8" s="401">
        <v>7.0841916288534146E-2</v>
      </c>
      <c r="I8" s="401">
        <v>1.4447705565302681E-2</v>
      </c>
      <c r="J8" s="401">
        <v>4.8159018551008938E-2</v>
      </c>
      <c r="K8" s="401">
        <v>8.2351921722225285E-3</v>
      </c>
      <c r="L8" s="401">
        <v>0</v>
      </c>
      <c r="M8" s="401">
        <v>0</v>
      </c>
      <c r="N8" s="401">
        <v>7.9165509946863999E-2</v>
      </c>
      <c r="O8" s="401">
        <v>2.6388503315621335E-2</v>
      </c>
      <c r="P8" s="518"/>
    </row>
    <row r="9" spans="1:16" s="23" customFormat="1" hidden="1" x14ac:dyDescent="0.35">
      <c r="A9" s="398" t="s">
        <v>12</v>
      </c>
      <c r="B9" s="399">
        <v>1.499343518520891E-2</v>
      </c>
      <c r="C9" s="399">
        <v>1.499343518520891E-2</v>
      </c>
      <c r="D9" s="399">
        <v>0</v>
      </c>
      <c r="E9" s="399">
        <v>0</v>
      </c>
      <c r="F9" s="399">
        <v>0</v>
      </c>
      <c r="G9" s="399">
        <v>0</v>
      </c>
      <c r="H9" s="399">
        <v>6.7463784063452839E-2</v>
      </c>
      <c r="I9" s="399">
        <v>3.3318744856019808E-2</v>
      </c>
      <c r="J9" s="399">
        <v>0</v>
      </c>
      <c r="K9" s="399">
        <v>1.6659372428009902E-3</v>
      </c>
      <c r="L9" s="399">
        <v>2.1657184156412872E-2</v>
      </c>
      <c r="M9" s="399">
        <v>1.0821917808219178E-2</v>
      </c>
      <c r="N9" s="399">
        <v>1.2647564855762147E-2</v>
      </c>
      <c r="O9" s="399">
        <v>1.6863419807682863E-2</v>
      </c>
      <c r="P9" s="644"/>
    </row>
    <row r="10" spans="1:16" s="23" customFormat="1" hidden="1" x14ac:dyDescent="0.35">
      <c r="A10" s="400" t="s">
        <v>28</v>
      </c>
      <c r="B10" s="401">
        <v>3.7375449881935197E-2</v>
      </c>
      <c r="C10" s="401">
        <v>1.9568298367505337E-2</v>
      </c>
      <c r="D10" s="401">
        <v>1.3697808857253736E-2</v>
      </c>
      <c r="E10" s="401">
        <v>0</v>
      </c>
      <c r="F10" s="401">
        <v>4.1093426571761201E-3</v>
      </c>
      <c r="G10" s="401">
        <v>0</v>
      </c>
      <c r="H10" s="401">
        <v>9.3927832164025608E-3</v>
      </c>
      <c r="I10" s="401">
        <v>0</v>
      </c>
      <c r="J10" s="401">
        <v>0</v>
      </c>
      <c r="K10" s="401">
        <v>1.7611468530754799E-3</v>
      </c>
      <c r="L10" s="401">
        <v>7.6316363633270809E-3</v>
      </c>
      <c r="M10" s="401"/>
      <c r="N10" s="401">
        <v>0</v>
      </c>
      <c r="O10" s="401">
        <v>8.0382428391001202E-3</v>
      </c>
      <c r="P10" s="518"/>
    </row>
    <row r="11" spans="1:16" s="23" customFormat="1" hidden="1" x14ac:dyDescent="0.35">
      <c r="A11" s="398" t="s">
        <v>15</v>
      </c>
      <c r="B11" s="399">
        <v>1.8616803910733691E-2</v>
      </c>
      <c r="C11" s="399">
        <v>9.3084019553668455E-3</v>
      </c>
      <c r="D11" s="399">
        <v>9.3084019553668455E-3</v>
      </c>
      <c r="E11" s="399">
        <v>0</v>
      </c>
      <c r="F11" s="399">
        <v>0</v>
      </c>
      <c r="G11" s="399">
        <v>0</v>
      </c>
      <c r="H11" s="399">
        <v>6.2957130379196147E-2</v>
      </c>
      <c r="I11" s="399">
        <v>3.0219422582014151E-2</v>
      </c>
      <c r="J11" s="399">
        <v>0</v>
      </c>
      <c r="K11" s="399">
        <v>1.7627996506174926E-3</v>
      </c>
      <c r="L11" s="399">
        <v>3.0974908146564509E-2</v>
      </c>
      <c r="M11" s="399">
        <v>0</v>
      </c>
      <c r="N11" s="399">
        <v>1.9118472632613473E-2</v>
      </c>
      <c r="O11" s="399">
        <v>9.5592363163067347E-3</v>
      </c>
      <c r="P11" s="644"/>
    </row>
    <row r="12" spans="1:16" s="23" customFormat="1" hidden="1" x14ac:dyDescent="0.35">
      <c r="A12" s="400" t="s">
        <v>18</v>
      </c>
      <c r="B12" s="401">
        <v>0.12032524290374909</v>
      </c>
      <c r="C12" s="401">
        <v>3.2913796059941894E-2</v>
      </c>
      <c r="D12" s="401">
        <v>3.4812668909553916E-2</v>
      </c>
      <c r="E12" s="401">
        <v>3.4812668909553916E-2</v>
      </c>
      <c r="F12" s="401">
        <v>1.7786109024699365E-2</v>
      </c>
      <c r="G12" s="401">
        <v>0</v>
      </c>
      <c r="H12" s="401">
        <v>0.17126372432077752</v>
      </c>
      <c r="I12" s="401">
        <v>5.4877425353787729E-2</v>
      </c>
      <c r="J12" s="401">
        <v>5.8548579529704319E-2</v>
      </c>
      <c r="K12" s="401">
        <v>2.4539279902678563E-3</v>
      </c>
      <c r="L12" s="401">
        <v>5.5383791447017598E-2</v>
      </c>
      <c r="M12" s="401">
        <v>0</v>
      </c>
      <c r="N12" s="401">
        <v>4.8022074173539271E-2</v>
      </c>
      <c r="O12" s="401">
        <v>2.2410301280984993E-2</v>
      </c>
      <c r="P12" s="518"/>
    </row>
    <row r="13" spans="1:16" s="23" customFormat="1" hidden="1" x14ac:dyDescent="0.35">
      <c r="A13" s="398" t="s">
        <v>17</v>
      </c>
      <c r="B13" s="399">
        <v>4.4607308919739234E-2</v>
      </c>
      <c r="C13" s="399">
        <v>4.4607308919739234E-2</v>
      </c>
      <c r="D13" s="399">
        <v>0</v>
      </c>
      <c r="E13" s="399">
        <v>0</v>
      </c>
      <c r="F13" s="399">
        <v>0</v>
      </c>
      <c r="G13" s="399">
        <v>0</v>
      </c>
      <c r="H13" s="399">
        <v>0.32763530964091608</v>
      </c>
      <c r="I13" s="399">
        <v>2.5662638565271668E-2</v>
      </c>
      <c r="J13" s="399">
        <v>3.4664715967749164E-2</v>
      </c>
      <c r="K13" s="399">
        <v>0.25528279201055587</v>
      </c>
      <c r="L13" s="399">
        <v>1.202516309733934E-2</v>
      </c>
      <c r="M13" s="399">
        <v>0</v>
      </c>
      <c r="N13" s="399">
        <v>0.10264545738320278</v>
      </c>
      <c r="O13" s="399">
        <v>2.5484389419277942E-2</v>
      </c>
      <c r="P13" s="644"/>
    </row>
    <row r="14" spans="1:16" s="23" customFormat="1" hidden="1" x14ac:dyDescent="0.35">
      <c r="A14" s="400" t="s">
        <v>21</v>
      </c>
      <c r="B14" s="401">
        <v>3.3044650977977284E-2</v>
      </c>
      <c r="C14" s="401">
        <v>1.0372506224648101E-2</v>
      </c>
      <c r="D14" s="401">
        <v>1.1336072376664591E-2</v>
      </c>
      <c r="E14" s="401">
        <v>1.1336072376664591E-2</v>
      </c>
      <c r="F14" s="401">
        <v>0</v>
      </c>
      <c r="G14" s="401">
        <v>0</v>
      </c>
      <c r="H14" s="401">
        <v>7.1814018506170182E-2</v>
      </c>
      <c r="I14" s="401">
        <v>2.0801692811179526E-2</v>
      </c>
      <c r="J14" s="401">
        <v>2.2672144753329182E-2</v>
      </c>
      <c r="K14" s="401">
        <v>1.7004108564996886E-2</v>
      </c>
      <c r="L14" s="401">
        <v>1.1336072376664591E-2</v>
      </c>
      <c r="M14" s="401">
        <v>0</v>
      </c>
      <c r="N14" s="401">
        <v>9.3173197616421274E-2</v>
      </c>
      <c r="O14" s="401">
        <v>2.3293299404105319E-2</v>
      </c>
      <c r="P14" s="518"/>
    </row>
    <row r="15" spans="1:16" s="23" customFormat="1" hidden="1" x14ac:dyDescent="0.35">
      <c r="A15" s="398" t="s">
        <v>27</v>
      </c>
      <c r="B15" s="399">
        <v>3.7570374618573814E-2</v>
      </c>
      <c r="C15" s="399">
        <v>7.5140749237147635E-3</v>
      </c>
      <c r="D15" s="399">
        <v>1.8785187309286907E-2</v>
      </c>
      <c r="E15" s="399">
        <v>0</v>
      </c>
      <c r="F15" s="399">
        <v>1.1271112385572143E-2</v>
      </c>
      <c r="G15" s="399">
        <v>0</v>
      </c>
      <c r="H15" s="399">
        <v>2.7589931356115E-2</v>
      </c>
      <c r="I15" s="399">
        <v>0</v>
      </c>
      <c r="J15" s="399">
        <v>0</v>
      </c>
      <c r="K15" s="399">
        <v>1.5028149847429526E-3</v>
      </c>
      <c r="L15" s="399">
        <v>1.8785187309286907E-2</v>
      </c>
      <c r="M15" s="399">
        <v>7.3019290620851404E-3</v>
      </c>
      <c r="N15" s="399">
        <v>0.12346491823389356</v>
      </c>
      <c r="O15" s="399">
        <v>4.1154972744631195E-2</v>
      </c>
      <c r="P15" s="644"/>
    </row>
    <row r="16" spans="1:16" s="59" customFormat="1" hidden="1" x14ac:dyDescent="0.35">
      <c r="A16" s="402" t="s">
        <v>24</v>
      </c>
      <c r="B16" s="401">
        <v>2.8561355535778012E-2</v>
      </c>
      <c r="C16" s="401">
        <v>1.0985136744530005E-2</v>
      </c>
      <c r="D16" s="401">
        <v>8.7881093956240046E-3</v>
      </c>
      <c r="E16" s="401">
        <v>8.7881093956240046E-3</v>
      </c>
      <c r="F16" s="401">
        <v>0</v>
      </c>
      <c r="G16" s="401">
        <v>0</v>
      </c>
      <c r="H16" s="401">
        <v>0.2387227145111292</v>
      </c>
      <c r="I16" s="401">
        <v>4.3312824878432597E-2</v>
      </c>
      <c r="J16" s="401">
        <v>0.14531766607763977</v>
      </c>
      <c r="K16" s="401">
        <v>1.2428897573811092E-2</v>
      </c>
      <c r="L16" s="401">
        <v>3.7663325981245735E-2</v>
      </c>
      <c r="M16" s="401">
        <v>0</v>
      </c>
      <c r="N16" s="401">
        <v>2.5796798617291596E-2</v>
      </c>
      <c r="O16" s="401">
        <v>2.407701204280549E-2</v>
      </c>
      <c r="P16" s="518"/>
    </row>
    <row r="17" spans="1:16" s="23" customFormat="1" hidden="1" x14ac:dyDescent="0.35">
      <c r="A17" s="398" t="s">
        <v>29</v>
      </c>
      <c r="B17" s="399">
        <v>2.4449030774332803E-2</v>
      </c>
      <c r="C17" s="399">
        <v>1.0478156046142629E-2</v>
      </c>
      <c r="D17" s="399">
        <v>0</v>
      </c>
      <c r="E17" s="399">
        <v>0</v>
      </c>
      <c r="F17" s="399">
        <v>1.3970874728190174E-2</v>
      </c>
      <c r="G17" s="399">
        <v>0</v>
      </c>
      <c r="H17" s="399">
        <v>7.3658983525594288E-2</v>
      </c>
      <c r="I17" s="399">
        <v>1.0478156046142629E-2</v>
      </c>
      <c r="J17" s="399">
        <v>0</v>
      </c>
      <c r="K17" s="399">
        <v>0</v>
      </c>
      <c r="L17" s="399">
        <v>3.3180827479451662E-2</v>
      </c>
      <c r="M17" s="399">
        <v>0.03</v>
      </c>
      <c r="N17" s="399">
        <v>0</v>
      </c>
      <c r="O17" s="399">
        <v>1.3390859225727246E-2</v>
      </c>
      <c r="P17" s="644"/>
    </row>
    <row r="18" spans="1:16" s="23" customFormat="1" hidden="1" x14ac:dyDescent="0.35">
      <c r="A18" s="400" t="s">
        <v>23</v>
      </c>
      <c r="B18" s="401">
        <v>6.2524507434301366E-3</v>
      </c>
      <c r="C18" s="401">
        <v>4.2270089533048812E-3</v>
      </c>
      <c r="D18" s="401">
        <v>2.0254417901252554E-3</v>
      </c>
      <c r="E18" s="401">
        <v>0</v>
      </c>
      <c r="F18" s="401">
        <v>0</v>
      </c>
      <c r="G18" s="401">
        <v>0</v>
      </c>
      <c r="H18" s="401">
        <v>4.3219193815598689E-2</v>
      </c>
      <c r="I18" s="401">
        <v>1.188846268116998E-2</v>
      </c>
      <c r="J18" s="401">
        <v>5.2837611916311013E-3</v>
      </c>
      <c r="K18" s="401">
        <v>1.3209402979077753E-3</v>
      </c>
      <c r="L18" s="401">
        <v>3.0821940284514763E-3</v>
      </c>
      <c r="M18" s="401">
        <v>2.1643835616438355E-2</v>
      </c>
      <c r="N18" s="401">
        <v>7.2348575852107322E-3</v>
      </c>
      <c r="O18" s="401">
        <v>7.2348575852107322E-3</v>
      </c>
      <c r="P18" s="518"/>
    </row>
    <row r="19" spans="1:16" s="23" customFormat="1" hidden="1" x14ac:dyDescent="0.35">
      <c r="A19" s="398" t="s">
        <v>19</v>
      </c>
      <c r="B19" s="399">
        <v>0.14549884862786894</v>
      </c>
      <c r="C19" s="399">
        <v>5.0787333955010845E-2</v>
      </c>
      <c r="D19" s="399">
        <v>4.3924180717847219E-2</v>
      </c>
      <c r="E19" s="399">
        <v>4.3924180717847219E-2</v>
      </c>
      <c r="F19" s="399">
        <v>6.8631532371636285E-3</v>
      </c>
      <c r="G19" s="399">
        <v>0</v>
      </c>
      <c r="H19" s="399">
        <v>7.7800705096486886E-2</v>
      </c>
      <c r="I19" s="399">
        <v>2.3334721006356338E-2</v>
      </c>
      <c r="J19" s="399">
        <v>4.3924180717847219E-2</v>
      </c>
      <c r="K19" s="399">
        <v>2.3060194876869788E-3</v>
      </c>
      <c r="L19" s="399">
        <v>8.2357838845963528E-3</v>
      </c>
      <c r="M19" s="399">
        <v>0</v>
      </c>
      <c r="N19" s="399">
        <v>9.0255165858590183E-2</v>
      </c>
      <c r="O19" s="399">
        <v>4.5127582929295092E-2</v>
      </c>
      <c r="P19" s="644"/>
    </row>
    <row r="20" spans="1:16" s="23" customFormat="1" hidden="1" x14ac:dyDescent="0.35">
      <c r="A20" s="400" t="s">
        <v>16</v>
      </c>
      <c r="B20" s="401">
        <v>3.4663561538316755E-2</v>
      </c>
      <c r="C20" s="401">
        <v>3.4663561538316755E-2</v>
      </c>
      <c r="D20" s="401">
        <v>0</v>
      </c>
      <c r="E20" s="401">
        <v>0</v>
      </c>
      <c r="F20" s="401">
        <v>0</v>
      </c>
      <c r="G20" s="401">
        <v>0</v>
      </c>
      <c r="H20" s="401">
        <v>4.8341959911695369E-2</v>
      </c>
      <c r="I20" s="401">
        <v>0</v>
      </c>
      <c r="J20" s="401">
        <v>2.3997850295757753E-2</v>
      </c>
      <c r="K20" s="401">
        <v>1.4427835426190682E-3</v>
      </c>
      <c r="L20" s="401">
        <v>2.2901326073318549E-2</v>
      </c>
      <c r="M20" s="401"/>
      <c r="N20" s="401">
        <v>3.762952033078959E-2</v>
      </c>
      <c r="O20" s="401">
        <v>1.8814760165394795E-2</v>
      </c>
      <c r="P20" s="518"/>
    </row>
    <row r="21" spans="1:16" s="23" customFormat="1" hidden="1" x14ac:dyDescent="0.35">
      <c r="A21" s="398" t="s">
        <v>20</v>
      </c>
      <c r="B21" s="399">
        <v>0.2720035980921095</v>
      </c>
      <c r="C21" s="399">
        <v>6.6163037373756367E-2</v>
      </c>
      <c r="D21" s="399">
        <v>0.10292028035917658</v>
      </c>
      <c r="E21" s="399">
        <v>0.10292028035917658</v>
      </c>
      <c r="F21" s="399">
        <v>0</v>
      </c>
      <c r="G21" s="399">
        <v>0</v>
      </c>
      <c r="H21" s="399">
        <v>0.10490540874171568</v>
      </c>
      <c r="I21" s="399">
        <v>0.10292028035917658</v>
      </c>
      <c r="J21" s="399">
        <v>0</v>
      </c>
      <c r="K21" s="399">
        <v>0</v>
      </c>
      <c r="L21" s="399">
        <v>1.9851283825390947E-3</v>
      </c>
      <c r="M21" s="399">
        <v>0</v>
      </c>
      <c r="N21" s="399">
        <v>5.5774952475242452E-2</v>
      </c>
      <c r="O21" s="399">
        <v>2.2309980990096984E-2</v>
      </c>
      <c r="P21" s="644"/>
    </row>
    <row r="22" spans="1:16" s="23" customFormat="1" hidden="1" x14ac:dyDescent="0.35">
      <c r="A22" s="400" t="s">
        <v>26</v>
      </c>
      <c r="B22" s="401">
        <v>7.8314742870874726E-2</v>
      </c>
      <c r="C22" s="401">
        <v>2.378447746448788E-2</v>
      </c>
      <c r="D22" s="401">
        <v>2.5193314108725839E-2</v>
      </c>
      <c r="E22" s="401">
        <v>2.5193314108725839E-2</v>
      </c>
      <c r="F22" s="401">
        <v>4.1436371889351708E-3</v>
      </c>
      <c r="G22" s="401">
        <v>0</v>
      </c>
      <c r="H22" s="401">
        <v>6.5064229924232081E-2</v>
      </c>
      <c r="I22" s="401">
        <v>6.0230179906876541E-2</v>
      </c>
      <c r="J22" s="401">
        <v>3.7716214421125703E-3</v>
      </c>
      <c r="K22" s="401">
        <v>5.3121428762148881E-4</v>
      </c>
      <c r="L22" s="401">
        <v>5.3121428762148881E-4</v>
      </c>
      <c r="M22" s="401">
        <v>0</v>
      </c>
      <c r="N22" s="401">
        <v>6.2875000548647475E-2</v>
      </c>
      <c r="O22" s="401">
        <v>3.7725000329188484E-2</v>
      </c>
      <c r="P22" s="518"/>
    </row>
    <row r="23" spans="1:16" s="23" customFormat="1" hidden="1" x14ac:dyDescent="0.35">
      <c r="A23" s="398" t="s">
        <v>25</v>
      </c>
      <c r="B23" s="399">
        <v>7.8974094789520166E-2</v>
      </c>
      <c r="C23" s="399">
        <v>4.0292905504857229E-2</v>
      </c>
      <c r="D23" s="399">
        <v>1.9340594642331472E-2</v>
      </c>
      <c r="E23" s="399">
        <v>1.9340594642331472E-2</v>
      </c>
      <c r="F23" s="399">
        <v>0</v>
      </c>
      <c r="G23" s="399">
        <v>0</v>
      </c>
      <c r="H23" s="399">
        <v>4.9197637621430687E-2</v>
      </c>
      <c r="I23" s="399">
        <v>4.3516337945245814E-2</v>
      </c>
      <c r="J23" s="399">
        <v>4.4725125110391525E-3</v>
      </c>
      <c r="K23" s="399">
        <v>1.208787165145717E-3</v>
      </c>
      <c r="L23" s="399">
        <v>0</v>
      </c>
      <c r="M23" s="399">
        <v>0</v>
      </c>
      <c r="N23" s="399">
        <v>2.6493965263467766E-2</v>
      </c>
      <c r="O23" s="399">
        <v>4.2390344421548432E-2</v>
      </c>
      <c r="P23" s="644"/>
    </row>
    <row r="24" spans="1:16" s="23" customFormat="1" hidden="1" x14ac:dyDescent="0.35">
      <c r="A24" s="400" t="s">
        <v>31</v>
      </c>
      <c r="B24" s="401">
        <v>6.0224918070081925E-3</v>
      </c>
      <c r="C24" s="401">
        <v>6.0224918070081925E-3</v>
      </c>
      <c r="D24" s="401">
        <v>0</v>
      </c>
      <c r="E24" s="401">
        <v>0</v>
      </c>
      <c r="F24" s="401">
        <v>0</v>
      </c>
      <c r="G24" s="401">
        <v>0</v>
      </c>
      <c r="H24" s="401">
        <v>1.2044983614016385E-2</v>
      </c>
      <c r="I24" s="401">
        <v>1.2044983614016385E-2</v>
      </c>
      <c r="J24" s="401">
        <v>0</v>
      </c>
      <c r="K24" s="401">
        <v>0</v>
      </c>
      <c r="L24" s="401">
        <v>0</v>
      </c>
      <c r="M24" s="401"/>
      <c r="N24" s="401">
        <v>0</v>
      </c>
      <c r="O24" s="401">
        <v>5.2476924995590148E-3</v>
      </c>
      <c r="P24" s="518"/>
    </row>
    <row r="25" spans="1:16" s="23" customFormat="1" hidden="1" x14ac:dyDescent="0.35">
      <c r="A25" s="398" t="s">
        <v>14</v>
      </c>
      <c r="B25" s="399">
        <v>8.5047240648116182E-2</v>
      </c>
      <c r="C25" s="399">
        <v>6.0460123683494904E-2</v>
      </c>
      <c r="D25" s="399">
        <v>1.2092024736698983E-2</v>
      </c>
      <c r="E25" s="399">
        <v>1.2092024736698983E-2</v>
      </c>
      <c r="F25" s="399">
        <v>4.030674912232994E-4</v>
      </c>
      <c r="G25" s="399">
        <v>0</v>
      </c>
      <c r="H25" s="399">
        <v>4.6207254126347817E-2</v>
      </c>
      <c r="I25" s="399">
        <v>3.0230061841747452E-2</v>
      </c>
      <c r="J25" s="399">
        <v>3.6477607955708595E-3</v>
      </c>
      <c r="K25" s="399">
        <v>5.0339098978877863E-3</v>
      </c>
      <c r="L25" s="399">
        <v>7.295521591141719E-3</v>
      </c>
      <c r="M25" s="399">
        <v>0</v>
      </c>
      <c r="N25" s="399">
        <v>3.3128834895065705E-2</v>
      </c>
      <c r="O25" s="399">
        <v>2.3190184426545992E-2</v>
      </c>
      <c r="P25" s="644"/>
    </row>
    <row r="26" spans="1:16" s="23" customFormat="1" hidden="1" x14ac:dyDescent="0.35">
      <c r="A26" s="403" t="s">
        <v>22</v>
      </c>
      <c r="B26" s="404">
        <v>3.719207857426724E-4</v>
      </c>
      <c r="C26" s="404">
        <v>2.4794719049511495E-4</v>
      </c>
      <c r="D26" s="404">
        <v>0</v>
      </c>
      <c r="E26" s="404">
        <v>0</v>
      </c>
      <c r="F26" s="404">
        <v>1.2397359524755748E-4</v>
      </c>
      <c r="G26" s="404">
        <v>0</v>
      </c>
      <c r="H26" s="404">
        <v>2.0976292062574516E-2</v>
      </c>
      <c r="I26" s="404">
        <v>5.5788117861400865E-4</v>
      </c>
      <c r="J26" s="404">
        <v>0</v>
      </c>
      <c r="K26" s="404">
        <v>4.649009821783405E-5</v>
      </c>
      <c r="L26" s="404">
        <v>3.719207857426724E-4</v>
      </c>
      <c r="M26" s="404">
        <v>0.02</v>
      </c>
      <c r="N26" s="404">
        <v>5.0925729234126474E-4</v>
      </c>
      <c r="O26" s="404">
        <v>3.2252961848280095E-4</v>
      </c>
      <c r="P26" s="518"/>
    </row>
    <row r="27" spans="1:16" s="23" customFormat="1" x14ac:dyDescent="0.35"/>
    <row r="29" spans="1:16" ht="15" x14ac:dyDescent="0.35">
      <c r="J29" s="6"/>
      <c r="K29" s="645" t="s">
        <v>188</v>
      </c>
    </row>
    <row r="30" spans="1:16" ht="23.9" customHeight="1" x14ac:dyDescent="0.35">
      <c r="A30" s="491" t="s">
        <v>169</v>
      </c>
      <c r="B30" s="492" t="s">
        <v>186</v>
      </c>
      <c r="C30" s="492" t="s">
        <v>138</v>
      </c>
      <c r="D30" s="492" t="s">
        <v>187</v>
      </c>
      <c r="E30" s="192"/>
      <c r="F30" s="192"/>
    </row>
    <row r="31" spans="1:16" x14ac:dyDescent="0.35">
      <c r="A31" s="490" t="s">
        <v>11</v>
      </c>
      <c r="B31" s="531">
        <v>0.1839664804469274</v>
      </c>
      <c r="C31" s="531">
        <v>0.27010607952678278</v>
      </c>
      <c r="D31" s="533">
        <v>0.45407255997371021</v>
      </c>
      <c r="E31" s="3"/>
      <c r="F31" s="3"/>
      <c r="K31" s="959" t="s">
        <v>169</v>
      </c>
      <c r="L31" s="959" t="s">
        <v>151</v>
      </c>
      <c r="M31" s="748" t="s">
        <v>68</v>
      </c>
      <c r="N31" s="748"/>
      <c r="O31" s="748"/>
    </row>
    <row r="32" spans="1:16" x14ac:dyDescent="0.35">
      <c r="A32" s="482" t="s">
        <v>12</v>
      </c>
      <c r="B32" s="532">
        <v>9.7394019060138018E-2</v>
      </c>
      <c r="C32" s="532">
        <v>0.36793296089385474</v>
      </c>
      <c r="D32" s="532">
        <v>0.46532697995399275</v>
      </c>
      <c r="E32" s="3"/>
      <c r="F32" s="3"/>
      <c r="K32" s="960"/>
      <c r="L32" s="960"/>
      <c r="M32" s="757" t="s">
        <v>186</v>
      </c>
      <c r="N32" s="757" t="s">
        <v>138</v>
      </c>
      <c r="O32" s="757" t="s">
        <v>187</v>
      </c>
    </row>
    <row r="33" spans="1:17" x14ac:dyDescent="0.35">
      <c r="A33" s="490" t="s">
        <v>14</v>
      </c>
      <c r="B33" s="531">
        <v>0.20389790117061121</v>
      </c>
      <c r="C33" s="531">
        <v>0.20124383831744988</v>
      </c>
      <c r="D33" s="533">
        <v>0.40514173948806109</v>
      </c>
      <c r="E33" s="30"/>
      <c r="F33" s="9"/>
      <c r="K33" s="448" t="s">
        <v>11</v>
      </c>
      <c r="L33" s="448">
        <v>2013</v>
      </c>
      <c r="M33" s="552">
        <v>0.2002054794520548</v>
      </c>
      <c r="N33" s="552">
        <v>0.28136986301369865</v>
      </c>
      <c r="O33" s="740">
        <v>0.48157534246575345</v>
      </c>
    </row>
    <row r="34" spans="1:17" x14ac:dyDescent="0.35">
      <c r="A34" s="482" t="s">
        <v>18</v>
      </c>
      <c r="B34" s="360">
        <v>0.12661222477817943</v>
      </c>
      <c r="C34" s="360">
        <v>0.28861094314820906</v>
      </c>
      <c r="D34" s="532">
        <v>0.41522316792638847</v>
      </c>
      <c r="E34" s="3"/>
      <c r="F34" s="3"/>
      <c r="K34" s="448"/>
      <c r="L34" s="448">
        <v>2023</v>
      </c>
      <c r="M34" s="552">
        <v>0.1839664804469274</v>
      </c>
      <c r="N34" s="552">
        <v>0.27010607952678278</v>
      </c>
      <c r="O34" s="740">
        <v>0.45407255997371021</v>
      </c>
      <c r="P34" s="7"/>
      <c r="Q34" s="7"/>
    </row>
    <row r="35" spans="1:17" x14ac:dyDescent="0.35">
      <c r="A35" s="482" t="s">
        <v>15</v>
      </c>
      <c r="B35" s="532">
        <v>0.08</v>
      </c>
      <c r="C35" s="532">
        <v>0.27053894183371674</v>
      </c>
      <c r="D35" s="532">
        <v>0.35053894183371676</v>
      </c>
      <c r="E35" s="3"/>
      <c r="F35" s="3"/>
      <c r="K35" s="448" t="s">
        <v>12</v>
      </c>
      <c r="L35" s="448">
        <v>2013</v>
      </c>
      <c r="M35" s="753">
        <v>9.7397260273972608E-2</v>
      </c>
      <c r="N35" s="552">
        <v>0.37010958904109592</v>
      </c>
      <c r="O35" s="740">
        <v>0.46750684931506853</v>
      </c>
    </row>
    <row r="36" spans="1:17" x14ac:dyDescent="0.35">
      <c r="A36" s="482" t="s">
        <v>16</v>
      </c>
      <c r="B36" s="532">
        <v>0.15136049950706543</v>
      </c>
      <c r="C36" s="532">
        <v>0.19630000000000003</v>
      </c>
      <c r="D36" s="532">
        <v>0.34766049950706546</v>
      </c>
      <c r="E36" s="3"/>
      <c r="F36" s="3"/>
      <c r="K36" s="448"/>
      <c r="L36" s="448">
        <v>2023</v>
      </c>
      <c r="M36" s="753">
        <v>9.7394019060138018E-2</v>
      </c>
      <c r="N36" s="552">
        <v>0.36793296089385474</v>
      </c>
      <c r="O36" s="740">
        <v>0.46532697995399275</v>
      </c>
      <c r="P36" s="7"/>
      <c r="Q36" s="7"/>
    </row>
    <row r="37" spans="1:17" x14ac:dyDescent="0.35">
      <c r="A37" s="482" t="s">
        <v>19</v>
      </c>
      <c r="B37" s="360">
        <v>0.11706861375835249</v>
      </c>
      <c r="C37" s="360">
        <v>0.17270052524920584</v>
      </c>
      <c r="D37" s="532">
        <v>0.28976913900755835</v>
      </c>
      <c r="E37" s="3"/>
      <c r="F37" s="3"/>
      <c r="K37" s="448" t="s">
        <v>14</v>
      </c>
      <c r="L37" s="448">
        <v>2013</v>
      </c>
      <c r="M37" s="552">
        <v>0.20349100088802746</v>
      </c>
      <c r="N37" s="552">
        <v>0.20349100088802746</v>
      </c>
      <c r="O37" s="740">
        <v>0.40698200177605492</v>
      </c>
    </row>
    <row r="38" spans="1:17" x14ac:dyDescent="0.35">
      <c r="A38" s="482" t="s">
        <v>13</v>
      </c>
      <c r="B38" s="360">
        <v>0.12709999999999999</v>
      </c>
      <c r="C38" s="360">
        <v>0.14710000000000001</v>
      </c>
      <c r="D38" s="532">
        <v>0.2742</v>
      </c>
      <c r="E38" s="3"/>
      <c r="F38" s="3"/>
      <c r="K38" s="448"/>
      <c r="L38" s="448">
        <v>2023</v>
      </c>
      <c r="M38" s="552">
        <v>0.20389790117061121</v>
      </c>
      <c r="N38" s="552">
        <v>0.20124383831744988</v>
      </c>
      <c r="O38" s="740">
        <v>0.40514173948806109</v>
      </c>
      <c r="P38" s="7"/>
      <c r="Q38" s="7"/>
    </row>
    <row r="39" spans="1:17" x14ac:dyDescent="0.35">
      <c r="A39" s="490" t="s">
        <v>20</v>
      </c>
      <c r="B39" s="531">
        <v>9.7394019060138018E-2</v>
      </c>
      <c r="C39" s="531">
        <v>0.18396648044692737</v>
      </c>
      <c r="D39" s="533">
        <v>0.28136049950706538</v>
      </c>
      <c r="E39" s="3"/>
      <c r="F39" s="3"/>
      <c r="K39" s="448" t="s">
        <v>18</v>
      </c>
      <c r="L39" s="448">
        <v>2013</v>
      </c>
      <c r="M39" s="753">
        <v>9.9236986301369859E-2</v>
      </c>
      <c r="N39" s="552">
        <v>0.28650958904109597</v>
      </c>
      <c r="O39" s="740">
        <v>0.38574657534246581</v>
      </c>
    </row>
    <row r="40" spans="1:17" x14ac:dyDescent="0.35">
      <c r="A40" s="482" t="s">
        <v>24</v>
      </c>
      <c r="B40" s="360">
        <v>2.2118122929805063E-2</v>
      </c>
      <c r="C40" s="360">
        <v>0.21787500000000001</v>
      </c>
      <c r="D40" s="532">
        <v>0.23999312292980507</v>
      </c>
      <c r="E40" s="3"/>
      <c r="F40" s="3"/>
      <c r="K40" s="448"/>
      <c r="L40" s="448">
        <v>2023</v>
      </c>
      <c r="M40" s="753">
        <v>0.12661222477817943</v>
      </c>
      <c r="N40" s="552">
        <v>0.28861094314820906</v>
      </c>
      <c r="O40" s="740">
        <v>0.41522316792638847</v>
      </c>
      <c r="P40" s="7"/>
      <c r="Q40" s="7"/>
    </row>
    <row r="41" spans="1:17" x14ac:dyDescent="0.35">
      <c r="A41" s="490" t="s">
        <v>25</v>
      </c>
      <c r="B41" s="531">
        <v>0.10249999999999999</v>
      </c>
      <c r="C41" s="531">
        <v>0.17249999999999999</v>
      </c>
      <c r="D41" s="533">
        <v>0.27499999999999997</v>
      </c>
      <c r="E41" s="3"/>
      <c r="F41" s="3"/>
      <c r="K41" s="448" t="s">
        <v>15</v>
      </c>
      <c r="L41" s="448">
        <v>2013</v>
      </c>
      <c r="M41" s="552">
        <v>0.08</v>
      </c>
      <c r="N41" s="552">
        <v>0.26673863013698629</v>
      </c>
      <c r="O41" s="740">
        <v>0.3467386301369863</v>
      </c>
    </row>
    <row r="42" spans="1:17" x14ac:dyDescent="0.35">
      <c r="A42" s="482" t="s">
        <v>26</v>
      </c>
      <c r="B42" s="360">
        <v>6.9366184686164969E-2</v>
      </c>
      <c r="C42" s="360">
        <v>0.17530923430824841</v>
      </c>
      <c r="D42" s="532">
        <v>0.24467541899441336</v>
      </c>
      <c r="E42" s="3"/>
      <c r="F42" s="3"/>
      <c r="K42" s="448"/>
      <c r="L42" s="448">
        <v>2023</v>
      </c>
      <c r="M42" s="552">
        <v>0.08</v>
      </c>
      <c r="N42" s="552">
        <v>0.27053894183371674</v>
      </c>
      <c r="O42" s="740">
        <v>0.35053894183371676</v>
      </c>
      <c r="P42" s="7"/>
      <c r="Q42" s="7"/>
    </row>
    <row r="43" spans="1:17" x14ac:dyDescent="0.35">
      <c r="A43" s="482" t="s">
        <v>28</v>
      </c>
      <c r="B43" s="532">
        <v>0.191</v>
      </c>
      <c r="C43" s="532">
        <v>4.8000000000000001E-2</v>
      </c>
      <c r="D43" s="532">
        <v>0.23899999999999999</v>
      </c>
      <c r="E43" s="3"/>
      <c r="F43" s="3"/>
      <c r="K43" s="448" t="s">
        <v>16</v>
      </c>
      <c r="L43" s="448">
        <v>2013</v>
      </c>
      <c r="M43" s="552">
        <v>0.1513604995070654</v>
      </c>
      <c r="N43" s="552">
        <v>0.17930000000000001</v>
      </c>
      <c r="O43" s="740">
        <v>0.33066049950706544</v>
      </c>
    </row>
    <row r="44" spans="1:17" x14ac:dyDescent="0.35">
      <c r="A44" s="482" t="s">
        <v>17</v>
      </c>
      <c r="B44" s="532">
        <v>0.10226372001314495</v>
      </c>
      <c r="C44" s="532">
        <v>0.2108039434768321</v>
      </c>
      <c r="D44" s="532">
        <v>0.31306766348997705</v>
      </c>
      <c r="E44" s="3"/>
      <c r="F44" s="3"/>
      <c r="K44" s="448"/>
      <c r="L44" s="448">
        <v>2023</v>
      </c>
      <c r="M44" s="552">
        <v>0.15136049950706543</v>
      </c>
      <c r="N44" s="552">
        <v>0.19630000000000003</v>
      </c>
      <c r="O44" s="740">
        <v>0.34766049950706546</v>
      </c>
      <c r="P44" s="7"/>
      <c r="Q44" s="2"/>
    </row>
    <row r="45" spans="1:17" x14ac:dyDescent="0.35">
      <c r="A45" s="482" t="s">
        <v>29</v>
      </c>
      <c r="B45" s="532">
        <v>7.0000000000000007E-2</v>
      </c>
      <c r="C45" s="532">
        <v>0.12499999999999999</v>
      </c>
      <c r="D45" s="532">
        <v>0.19500000000000001</v>
      </c>
      <c r="F45" s="9"/>
      <c r="K45" s="448" t="s">
        <v>17</v>
      </c>
      <c r="L45" s="448">
        <v>2013</v>
      </c>
      <c r="M45" s="552">
        <v>0.10226790000000001</v>
      </c>
      <c r="N45" s="552">
        <v>0.21081255999999998</v>
      </c>
      <c r="O45" s="740">
        <v>0.31308046</v>
      </c>
    </row>
    <row r="46" spans="1:17" x14ac:dyDescent="0.35">
      <c r="A46" s="482" t="s">
        <v>21</v>
      </c>
      <c r="B46" s="360">
        <v>4.8300000000000003E-2</v>
      </c>
      <c r="C46" s="360">
        <v>0.12670000000000001</v>
      </c>
      <c r="D46" s="532">
        <v>0.17500000000000002</v>
      </c>
      <c r="F46" s="9"/>
      <c r="K46" s="448"/>
      <c r="L46" s="448">
        <v>2023</v>
      </c>
      <c r="M46" s="552">
        <v>0.10226372001314495</v>
      </c>
      <c r="N46" s="552">
        <v>0.2108039434768321</v>
      </c>
      <c r="O46" s="740">
        <v>0.31306766348997705</v>
      </c>
      <c r="P46" s="7"/>
      <c r="Q46" s="7"/>
    </row>
    <row r="47" spans="1:17" x14ac:dyDescent="0.35">
      <c r="A47" s="482" t="s">
        <v>27</v>
      </c>
      <c r="B47" s="360">
        <v>0.05</v>
      </c>
      <c r="C47" s="360">
        <v>9.7000000000000003E-2</v>
      </c>
      <c r="D47" s="532">
        <v>0.14700000000000002</v>
      </c>
      <c r="F47" s="9"/>
      <c r="K47" s="448" t="s">
        <v>19</v>
      </c>
      <c r="L47" s="448">
        <v>2013</v>
      </c>
      <c r="M47" s="552">
        <v>0.11706861375835251</v>
      </c>
      <c r="N47" s="552">
        <v>0.17270052524920584</v>
      </c>
      <c r="O47" s="740">
        <v>0.28976913900755835</v>
      </c>
    </row>
    <row r="48" spans="1:17" x14ac:dyDescent="0.35">
      <c r="A48" s="490" t="s">
        <v>22</v>
      </c>
      <c r="B48" s="531">
        <v>0.06</v>
      </c>
      <c r="C48" s="531">
        <v>0.1575</v>
      </c>
      <c r="D48" s="533">
        <v>0.2175</v>
      </c>
      <c r="K48" s="448"/>
      <c r="L48" s="448">
        <v>2023</v>
      </c>
      <c r="M48" s="552">
        <v>0.11706861375835249</v>
      </c>
      <c r="N48" s="552">
        <v>0.17270052524920584</v>
      </c>
      <c r="O48" s="740">
        <v>0.28976913900755835</v>
      </c>
      <c r="P48" s="7"/>
      <c r="Q48" s="7"/>
    </row>
    <row r="49" spans="1:17" x14ac:dyDescent="0.35">
      <c r="A49" s="482" t="s">
        <v>31</v>
      </c>
      <c r="B49" s="360">
        <v>4.3999999999999997E-2</v>
      </c>
      <c r="C49" s="360">
        <v>8.7999999999999995E-2</v>
      </c>
      <c r="D49" s="532">
        <v>0.13200000000000001</v>
      </c>
      <c r="K49" s="448" t="s">
        <v>13</v>
      </c>
      <c r="L49" s="448">
        <v>2013</v>
      </c>
      <c r="M49" s="552">
        <v>0.12709999999999999</v>
      </c>
      <c r="N49" s="552">
        <v>0.14710000000000001</v>
      </c>
      <c r="O49" s="740">
        <v>0.2742</v>
      </c>
    </row>
    <row r="50" spans="1:17" x14ac:dyDescent="0.35">
      <c r="A50" s="490" t="s">
        <v>125</v>
      </c>
      <c r="B50" s="531">
        <v>0.10233377817950143</v>
      </c>
      <c r="C50" s="531">
        <v>0.18511515511585402</v>
      </c>
      <c r="D50" s="533">
        <v>0.28744893329535548</v>
      </c>
      <c r="K50" s="448"/>
      <c r="L50" s="448">
        <v>2023</v>
      </c>
      <c r="M50" s="552">
        <v>0.12709999999999999</v>
      </c>
      <c r="N50" s="552">
        <v>0.14710000000000001</v>
      </c>
      <c r="O50" s="740">
        <v>0.2742</v>
      </c>
      <c r="P50" s="7"/>
      <c r="Q50" s="7"/>
    </row>
    <row r="51" spans="1:17" x14ac:dyDescent="0.35">
      <c r="A51" s="482"/>
      <c r="B51" s="532"/>
      <c r="C51" s="532"/>
      <c r="D51" s="532"/>
      <c r="K51" s="448" t="s">
        <v>20</v>
      </c>
      <c r="L51" s="448">
        <v>2013</v>
      </c>
      <c r="M51" s="552">
        <v>9.7394019060138018E-2</v>
      </c>
      <c r="N51" s="552">
        <v>0.18396648044692737</v>
      </c>
      <c r="O51" s="740">
        <v>0.28136049950706538</v>
      </c>
    </row>
    <row r="52" spans="1:17" x14ac:dyDescent="0.35">
      <c r="K52" s="448"/>
      <c r="L52" s="448">
        <v>2023</v>
      </c>
      <c r="M52" s="552">
        <v>9.7394019060138018E-2</v>
      </c>
      <c r="N52" s="552">
        <v>0.18396648044692737</v>
      </c>
      <c r="O52" s="740">
        <v>0.28136049950706538</v>
      </c>
      <c r="P52" s="7"/>
      <c r="Q52" s="7"/>
    </row>
    <row r="53" spans="1:17" x14ac:dyDescent="0.35">
      <c r="K53" s="448" t="s">
        <v>24</v>
      </c>
      <c r="L53" s="448">
        <v>2013</v>
      </c>
      <c r="M53" s="552">
        <v>1.022262058886925E-2</v>
      </c>
      <c r="N53" s="552">
        <v>0.21733546910861323</v>
      </c>
      <c r="O53" s="740">
        <v>0.22755808969748248</v>
      </c>
    </row>
    <row r="54" spans="1:17" x14ac:dyDescent="0.35">
      <c r="K54" s="448"/>
      <c r="L54" s="448">
        <v>2023</v>
      </c>
      <c r="M54" s="552">
        <v>2.2118122929805063E-2</v>
      </c>
      <c r="N54" s="552">
        <v>0.21787500000000001</v>
      </c>
      <c r="O54" s="740">
        <v>0.23999312292980507</v>
      </c>
      <c r="P54" s="7"/>
      <c r="Q54" s="7"/>
    </row>
    <row r="55" spans="1:17" x14ac:dyDescent="0.35">
      <c r="K55" s="448" t="s">
        <v>25</v>
      </c>
      <c r="L55" s="448">
        <v>2013</v>
      </c>
      <c r="M55" s="552">
        <v>9.2499999999999999E-2</v>
      </c>
      <c r="N55" s="552">
        <v>0.1525</v>
      </c>
      <c r="O55" s="740">
        <v>0.245</v>
      </c>
    </row>
    <row r="56" spans="1:17" x14ac:dyDescent="0.35">
      <c r="K56" s="448"/>
      <c r="L56" s="448">
        <v>2023</v>
      </c>
      <c r="M56" s="552">
        <v>0.10249999999999999</v>
      </c>
      <c r="N56" s="552">
        <v>0.17249999999999999</v>
      </c>
      <c r="O56" s="740">
        <v>0.27499999999999997</v>
      </c>
      <c r="P56" s="7"/>
      <c r="Q56" s="2"/>
    </row>
    <row r="57" spans="1:17" x14ac:dyDescent="0.35">
      <c r="K57" s="448" t="s">
        <v>26</v>
      </c>
      <c r="L57" s="448">
        <v>2013</v>
      </c>
      <c r="M57" s="552">
        <v>6.9366184686164969E-2</v>
      </c>
      <c r="N57" s="552">
        <v>0.17530923430824844</v>
      </c>
      <c r="O57" s="740">
        <v>0.24467541899441342</v>
      </c>
    </row>
    <row r="58" spans="1:17" x14ac:dyDescent="0.35">
      <c r="K58" s="448"/>
      <c r="L58" s="448">
        <v>2023</v>
      </c>
      <c r="M58" s="552">
        <v>6.9366184686164969E-2</v>
      </c>
      <c r="N58" s="552">
        <v>0.17530923430824841</v>
      </c>
      <c r="O58" s="740">
        <v>0.24467541899441336</v>
      </c>
      <c r="P58" s="7"/>
      <c r="Q58" s="7"/>
    </row>
    <row r="59" spans="1:17" x14ac:dyDescent="0.35">
      <c r="K59" s="448" t="s">
        <v>28</v>
      </c>
      <c r="L59" s="448">
        <v>2013</v>
      </c>
      <c r="M59" s="552">
        <v>0.1908</v>
      </c>
      <c r="N59" s="552">
        <v>4.6100000000000002E-2</v>
      </c>
      <c r="O59" s="740">
        <v>0.2369</v>
      </c>
    </row>
    <row r="60" spans="1:17" x14ac:dyDescent="0.35">
      <c r="K60" s="448"/>
      <c r="L60" s="448">
        <v>2023</v>
      </c>
      <c r="M60" s="552">
        <v>0.191</v>
      </c>
      <c r="N60" s="552">
        <v>4.8000000000000001E-2</v>
      </c>
      <c r="O60" s="740">
        <v>0.23899999999999999</v>
      </c>
      <c r="P60" s="7"/>
      <c r="Q60" s="7"/>
    </row>
    <row r="61" spans="1:17" x14ac:dyDescent="0.35">
      <c r="K61" s="448" t="s">
        <v>22</v>
      </c>
      <c r="L61" s="448">
        <v>2013</v>
      </c>
      <c r="M61" s="552">
        <v>0.10604325649442674</v>
      </c>
      <c r="N61" s="552">
        <v>0.12444799141173792</v>
      </c>
      <c r="O61" s="740">
        <v>0.23049124790616465</v>
      </c>
    </row>
    <row r="62" spans="1:17" x14ac:dyDescent="0.35">
      <c r="K62" s="448"/>
      <c r="L62" s="448">
        <v>2023</v>
      </c>
      <c r="M62" s="552">
        <v>0.06</v>
      </c>
      <c r="N62" s="552">
        <v>0.1575</v>
      </c>
      <c r="O62" s="740">
        <v>0.2175</v>
      </c>
      <c r="P62" s="7"/>
      <c r="Q62" s="2"/>
    </row>
    <row r="63" spans="1:17" x14ac:dyDescent="0.35">
      <c r="K63" s="448" t="s">
        <v>29</v>
      </c>
      <c r="L63" s="448">
        <v>2013</v>
      </c>
      <c r="M63" s="552">
        <v>6.6937499999999997E-2</v>
      </c>
      <c r="N63" s="552">
        <v>0.11924999999999999</v>
      </c>
      <c r="O63" s="740">
        <v>0.18618750000000001</v>
      </c>
    </row>
    <row r="64" spans="1:17" x14ac:dyDescent="0.35">
      <c r="K64" s="448"/>
      <c r="L64" s="448">
        <v>2023</v>
      </c>
      <c r="M64" s="552">
        <v>7.0000000000000007E-2</v>
      </c>
      <c r="N64" s="552">
        <v>0.12499999999999999</v>
      </c>
      <c r="O64" s="740">
        <v>0.19500000000000001</v>
      </c>
      <c r="P64" s="7"/>
      <c r="Q64" s="2"/>
    </row>
    <row r="65" spans="11:17" x14ac:dyDescent="0.35">
      <c r="K65" s="448" t="s">
        <v>21</v>
      </c>
      <c r="L65" s="448">
        <v>2013</v>
      </c>
      <c r="M65" s="552">
        <v>4.8300000000000003E-2</v>
      </c>
      <c r="N65" s="552">
        <v>0.12670000000000001</v>
      </c>
      <c r="O65" s="740">
        <v>0.17500000000000002</v>
      </c>
    </row>
    <row r="66" spans="11:17" x14ac:dyDescent="0.35">
      <c r="K66" s="448"/>
      <c r="L66" s="448">
        <v>2023</v>
      </c>
      <c r="M66" s="552">
        <v>4.8300000000000003E-2</v>
      </c>
      <c r="N66" s="552">
        <v>0.12670000000000001</v>
      </c>
      <c r="O66" s="740">
        <v>0.17500000000000002</v>
      </c>
      <c r="P66" s="7"/>
      <c r="Q66" s="7"/>
    </row>
    <row r="67" spans="11:17" x14ac:dyDescent="0.35">
      <c r="K67" s="448" t="s">
        <v>31</v>
      </c>
      <c r="L67" s="448">
        <v>2013</v>
      </c>
      <c r="M67" s="552">
        <v>4.5308415327465018E-2</v>
      </c>
      <c r="N67" s="552">
        <v>7.3214855494241657E-2</v>
      </c>
      <c r="O67" s="740">
        <v>0.11852327082170667</v>
      </c>
    </row>
    <row r="68" spans="11:17" x14ac:dyDescent="0.35">
      <c r="K68" s="448"/>
      <c r="L68" s="448">
        <v>2023</v>
      </c>
      <c r="M68" s="552">
        <v>4.3999999999999997E-2</v>
      </c>
      <c r="N68" s="552">
        <v>8.7999999999999995E-2</v>
      </c>
      <c r="O68" s="740">
        <v>0.13200000000000001</v>
      </c>
      <c r="P68" s="7"/>
      <c r="Q68" s="2"/>
    </row>
    <row r="69" spans="11:17" x14ac:dyDescent="0.35">
      <c r="K69" s="448" t="s">
        <v>27</v>
      </c>
      <c r="L69" s="448">
        <v>2013</v>
      </c>
      <c r="M69" s="552">
        <v>3.6509645310425706E-2</v>
      </c>
      <c r="N69" s="552">
        <v>7.0828711902225866E-2</v>
      </c>
      <c r="O69" s="740">
        <v>0.10733835721265157</v>
      </c>
    </row>
    <row r="70" spans="11:17" x14ac:dyDescent="0.35">
      <c r="K70" s="448"/>
      <c r="L70" s="448">
        <v>2023</v>
      </c>
      <c r="M70" s="552">
        <v>0.05</v>
      </c>
      <c r="N70" s="552">
        <v>9.7000000000000003E-2</v>
      </c>
      <c r="O70" s="740">
        <v>0.14700000000000002</v>
      </c>
      <c r="P70" s="7"/>
      <c r="Q70" s="2"/>
    </row>
    <row r="71" spans="11:17" x14ac:dyDescent="0.35">
      <c r="K71" s="733" t="s">
        <v>125</v>
      </c>
      <c r="L71" s="448">
        <v>2013</v>
      </c>
      <c r="M71" s="740">
        <v>0.10218470429728066</v>
      </c>
      <c r="N71" s="740">
        <v>0.17935707894958444</v>
      </c>
      <c r="O71" s="733"/>
    </row>
    <row r="72" spans="11:17" x14ac:dyDescent="0.35">
      <c r="K72" s="733" t="s">
        <v>125</v>
      </c>
      <c r="L72" s="448">
        <v>2023</v>
      </c>
      <c r="M72" s="740">
        <v>0.10233377817950144</v>
      </c>
      <c r="N72" s="740">
        <v>0.18511515511585402</v>
      </c>
      <c r="O72" s="733"/>
      <c r="P72" s="7"/>
      <c r="Q72" s="2"/>
    </row>
  </sheetData>
  <autoFilter ref="K32:O70" xr:uid="{00000000-0001-0000-0800-000000000000}"/>
  <sortState xmlns:xlrd2="http://schemas.microsoft.com/office/spreadsheetml/2017/richdata2" ref="A31:F44">
    <sortCondition descending="1" ref="D31:D44"/>
  </sortState>
  <mergeCells count="6">
    <mergeCell ref="L31:L32"/>
    <mergeCell ref="K31:K32"/>
    <mergeCell ref="B4:M4"/>
    <mergeCell ref="N4:O5"/>
    <mergeCell ref="B5:G5"/>
    <mergeCell ref="H5:M5"/>
  </mergeCells>
  <pageMargins left="0.7" right="0.7" top="0.75" bottom="0.75" header="0.3" footer="0.3"/>
  <pageSetup paperSize="9" orientation="portrait" r:id="rId1"/>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O135"/>
  <sheetViews>
    <sheetView showGridLines="0" zoomScale="37" zoomScaleNormal="37" workbookViewId="0">
      <selection activeCell="E1" sqref="A1:E1048576"/>
    </sheetView>
  </sheetViews>
  <sheetFormatPr defaultColWidth="9.1796875" defaultRowHeight="14.5" x14ac:dyDescent="0.35"/>
  <cols>
    <col min="1" max="1" width="4.1796875" style="440" customWidth="1"/>
    <col min="2" max="2" width="12.6328125" style="22" customWidth="1"/>
    <col min="3" max="3" width="7.1796875" style="22" customWidth="1"/>
    <col min="4" max="4" width="13.90625" style="22" customWidth="1"/>
    <col min="5" max="5" width="11.26953125" style="22" customWidth="1"/>
    <col min="6" max="6" width="44.36328125" style="22" customWidth="1"/>
    <col min="7" max="7" width="16.81640625" style="22" customWidth="1"/>
    <col min="8" max="8" width="9.1796875" style="22" customWidth="1"/>
    <col min="9" max="9" width="18.1796875" style="22" customWidth="1"/>
    <col min="10" max="10" width="19.90625" style="22" customWidth="1"/>
    <col min="11" max="11" width="16.26953125" style="22" customWidth="1"/>
    <col min="12" max="16384" width="9.1796875" style="22"/>
  </cols>
  <sheetData>
    <row r="1" spans="1:15" ht="18.5" x14ac:dyDescent="0.45">
      <c r="B1" s="505" t="s">
        <v>189</v>
      </c>
    </row>
    <row r="2" spans="1:15" x14ac:dyDescent="0.35">
      <c r="B2" s="506" t="s">
        <v>146</v>
      </c>
    </row>
    <row r="3" spans="1:15" x14ac:dyDescent="0.35">
      <c r="A3" s="561"/>
      <c r="B3" s="762"/>
      <c r="C3" s="762"/>
      <c r="D3" s="762"/>
      <c r="E3" s="762"/>
      <c r="F3" s="423"/>
      <c r="G3" s="423"/>
      <c r="H3" s="423"/>
      <c r="I3" s="423"/>
    </row>
    <row r="6" spans="1:15" x14ac:dyDescent="0.35">
      <c r="B6" s="848" t="s">
        <v>633</v>
      </c>
      <c r="M6"/>
      <c r="N6"/>
      <c r="O6"/>
    </row>
    <row r="7" spans="1:15" x14ac:dyDescent="0.35">
      <c r="B7" s="763" t="s">
        <v>146</v>
      </c>
      <c r="M7" s="440"/>
      <c r="N7" s="440"/>
      <c r="O7" s="440"/>
    </row>
    <row r="8" spans="1:15" x14ac:dyDescent="0.35">
      <c r="B8" s="22" t="s">
        <v>76</v>
      </c>
      <c r="D8"/>
      <c r="E8"/>
      <c r="M8" s="435"/>
      <c r="N8" s="435"/>
      <c r="O8" s="435"/>
    </row>
    <row r="9" spans="1:15" x14ac:dyDescent="0.35">
      <c r="B9" s="646"/>
      <c r="C9" s="646"/>
      <c r="D9" s="764" t="s">
        <v>186</v>
      </c>
      <c r="E9" s="765" t="s">
        <v>138</v>
      </c>
      <c r="M9" s="435"/>
      <c r="N9" s="435"/>
      <c r="O9" s="435"/>
    </row>
    <row r="10" spans="1:15" x14ac:dyDescent="0.35">
      <c r="B10" s="955" t="s">
        <v>12</v>
      </c>
      <c r="C10" s="448">
        <v>2013</v>
      </c>
      <c r="D10" s="552">
        <v>9.7397260273972608E-2</v>
      </c>
      <c r="E10" s="552">
        <v>0.21643835616438356</v>
      </c>
      <c r="M10" s="435"/>
      <c r="N10" s="435"/>
      <c r="O10" s="435"/>
    </row>
    <row r="11" spans="1:15" x14ac:dyDescent="0.35">
      <c r="B11" s="956"/>
      <c r="C11" s="448">
        <v>2023</v>
      </c>
      <c r="D11" s="552">
        <v>9.7394019060138018E-2</v>
      </c>
      <c r="E11" s="552">
        <v>0.21643115346697342</v>
      </c>
      <c r="M11" s="435"/>
      <c r="N11" s="435"/>
      <c r="O11" s="435"/>
    </row>
    <row r="12" spans="1:15" x14ac:dyDescent="0.35">
      <c r="B12" s="955" t="s">
        <v>20</v>
      </c>
      <c r="C12" s="448">
        <v>2013</v>
      </c>
      <c r="D12" s="552">
        <v>9.7397260273972594E-2</v>
      </c>
      <c r="E12" s="552">
        <v>0.15150684931506853</v>
      </c>
      <c r="M12" s="435"/>
      <c r="N12" s="435"/>
      <c r="O12" s="435"/>
    </row>
    <row r="13" spans="1:15" x14ac:dyDescent="0.35">
      <c r="B13" s="956"/>
      <c r="C13" s="448">
        <v>2023</v>
      </c>
      <c r="D13" s="552">
        <v>9.7394019060138018E-2</v>
      </c>
      <c r="E13" s="552">
        <v>0.15150180742688138</v>
      </c>
      <c r="M13" s="435"/>
      <c r="N13" s="435"/>
      <c r="O13" s="435"/>
    </row>
    <row r="14" spans="1:15" x14ac:dyDescent="0.35">
      <c r="B14" s="455" t="s">
        <v>11</v>
      </c>
      <c r="C14" s="448">
        <v>2013</v>
      </c>
      <c r="D14" s="552">
        <v>0.11904109589041093</v>
      </c>
      <c r="E14" s="552">
        <v>0.11005890410958902</v>
      </c>
      <c r="M14" s="435"/>
      <c r="N14" s="435"/>
      <c r="O14" s="435"/>
    </row>
    <row r="15" spans="1:15" x14ac:dyDescent="0.35">
      <c r="B15" s="760"/>
      <c r="C15" s="448">
        <v>2023</v>
      </c>
      <c r="D15" s="552">
        <v>0.11903713440683537</v>
      </c>
      <c r="E15" s="552">
        <v>0.11654817614196518</v>
      </c>
      <c r="M15" s="441"/>
      <c r="N15" s="441"/>
      <c r="O15" s="441"/>
    </row>
    <row r="16" spans="1:15" x14ac:dyDescent="0.35">
      <c r="B16" s="455" t="s">
        <v>14</v>
      </c>
      <c r="C16" s="448">
        <v>2013</v>
      </c>
      <c r="D16" s="766">
        <v>0.16232336510023004</v>
      </c>
      <c r="E16" s="766">
        <v>7.4999999999999997E-2</v>
      </c>
      <c r="M16" s="435"/>
      <c r="N16" s="435"/>
      <c r="O16" s="435"/>
    </row>
    <row r="17" spans="2:15" x14ac:dyDescent="0.35">
      <c r="B17" s="760"/>
      <c r="C17" s="448">
        <v>2023</v>
      </c>
      <c r="D17" s="552">
        <v>0.16232336510023004</v>
      </c>
      <c r="E17" s="552">
        <v>8.1161682550115022E-2</v>
      </c>
      <c r="M17" s="435"/>
      <c r="N17" s="435"/>
      <c r="O17" s="435"/>
    </row>
    <row r="18" spans="2:15" x14ac:dyDescent="0.35">
      <c r="B18" s="455" t="s">
        <v>15</v>
      </c>
      <c r="C18" s="448">
        <v>2013</v>
      </c>
      <c r="D18" s="552">
        <v>0.04</v>
      </c>
      <c r="E18" s="552">
        <v>0.1298630136986301</v>
      </c>
      <c r="M18" s="435"/>
      <c r="N18" s="435"/>
      <c r="O18" s="435"/>
    </row>
    <row r="19" spans="2:15" x14ac:dyDescent="0.35">
      <c r="B19" s="760"/>
      <c r="C19" s="448">
        <v>2023</v>
      </c>
      <c r="D19" s="552">
        <v>0.04</v>
      </c>
      <c r="E19" s="552">
        <v>0.12985869208018402</v>
      </c>
      <c r="M19" s="441"/>
      <c r="N19" s="441"/>
      <c r="O19" s="441"/>
    </row>
    <row r="20" spans="2:15" x14ac:dyDescent="0.35">
      <c r="B20" s="455" t="s">
        <v>13</v>
      </c>
      <c r="C20" s="448">
        <v>2013</v>
      </c>
      <c r="D20" s="552">
        <v>0.12709999999999999</v>
      </c>
      <c r="E20" s="552">
        <v>0.03</v>
      </c>
      <c r="M20" s="435"/>
      <c r="N20" s="435"/>
      <c r="O20" s="435"/>
    </row>
    <row r="21" spans="2:15" x14ac:dyDescent="0.35">
      <c r="B21" s="760"/>
      <c r="C21" s="448">
        <v>2023</v>
      </c>
      <c r="D21" s="552">
        <v>0.12709999999999999</v>
      </c>
      <c r="E21" s="552">
        <v>3.0000000000000002E-2</v>
      </c>
      <c r="M21" s="441"/>
      <c r="N21" s="441"/>
      <c r="O21" s="441"/>
    </row>
    <row r="22" spans="2:15" x14ac:dyDescent="0.35">
      <c r="B22" s="455" t="s">
        <v>16</v>
      </c>
      <c r="C22" s="448">
        <v>2013</v>
      </c>
      <c r="D22" s="766">
        <v>0.1513604995070654</v>
      </c>
      <c r="E22" s="766">
        <v>0</v>
      </c>
      <c r="I22" s="532">
        <f>+E24+D24</f>
        <v>0.15000000000000002</v>
      </c>
      <c r="M22" s="435"/>
      <c r="N22" s="435"/>
      <c r="O22" s="435"/>
    </row>
    <row r="23" spans="2:15" x14ac:dyDescent="0.35">
      <c r="B23" s="760"/>
      <c r="C23" s="448">
        <v>2023</v>
      </c>
      <c r="D23" s="552">
        <v>0.15136049950706543</v>
      </c>
      <c r="E23" s="552">
        <v>0</v>
      </c>
      <c r="I23" s="489">
        <f>+E25+D25</f>
        <v>0.15</v>
      </c>
      <c r="M23" s="441"/>
      <c r="N23" s="441"/>
      <c r="O23" s="441"/>
    </row>
    <row r="24" spans="2:15" x14ac:dyDescent="0.35">
      <c r="B24" s="455" t="s">
        <v>19</v>
      </c>
      <c r="C24" s="448">
        <v>2013</v>
      </c>
      <c r="D24" s="766">
        <v>9.8541666666666666E-2</v>
      </c>
      <c r="E24" s="766">
        <v>5.1458333333333342E-2</v>
      </c>
      <c r="M24" s="435"/>
      <c r="N24" s="435"/>
      <c r="O24" s="435"/>
    </row>
    <row r="25" spans="2:15" x14ac:dyDescent="0.35">
      <c r="B25" s="760"/>
      <c r="C25" s="448">
        <v>2023</v>
      </c>
      <c r="D25" s="552">
        <v>9.8541666666666652E-2</v>
      </c>
      <c r="E25" s="552">
        <v>5.1458333333333342E-2</v>
      </c>
      <c r="M25" s="442"/>
      <c r="N25" s="442"/>
      <c r="O25" s="442"/>
    </row>
    <row r="26" spans="2:15" x14ac:dyDescent="0.35">
      <c r="B26" s="455" t="s">
        <v>25</v>
      </c>
      <c r="C26" s="448">
        <v>2013</v>
      </c>
      <c r="D26" s="552">
        <v>6.25E-2</v>
      </c>
      <c r="E26" s="552">
        <v>6.7500000000000004E-2</v>
      </c>
      <c r="M26" s="435"/>
      <c r="N26" s="435"/>
      <c r="O26" s="435"/>
    </row>
    <row r="27" spans="2:15" x14ac:dyDescent="0.35">
      <c r="B27" s="760"/>
      <c r="C27" s="448">
        <v>2023</v>
      </c>
      <c r="D27" s="552">
        <v>7.2499999999999995E-2</v>
      </c>
      <c r="E27" s="552">
        <v>8.7499999999999994E-2</v>
      </c>
      <c r="M27" s="443"/>
      <c r="N27" s="443"/>
      <c r="O27" s="444"/>
    </row>
    <row r="28" spans="2:15" x14ac:dyDescent="0.35">
      <c r="B28" s="455" t="s">
        <v>22</v>
      </c>
      <c r="C28" s="448">
        <v>2013</v>
      </c>
      <c r="D28" s="552">
        <v>0.04</v>
      </c>
      <c r="E28" s="552">
        <v>7.0000000000000007E-2</v>
      </c>
      <c r="M28" s="444"/>
      <c r="N28" s="444"/>
      <c r="O28" s="444"/>
    </row>
    <row r="29" spans="2:15" x14ac:dyDescent="0.35">
      <c r="B29" s="760"/>
      <c r="C29" s="448">
        <v>2023</v>
      </c>
      <c r="D29" s="552">
        <v>0.04</v>
      </c>
      <c r="E29" s="552">
        <v>0.09</v>
      </c>
      <c r="M29" s="443"/>
      <c r="N29" s="443"/>
      <c r="O29" s="443"/>
    </row>
    <row r="30" spans="2:15" x14ac:dyDescent="0.35">
      <c r="B30" s="455" t="s">
        <v>17</v>
      </c>
      <c r="C30" s="448">
        <v>2013</v>
      </c>
      <c r="D30" s="766">
        <v>7.7466666223999989E-2</v>
      </c>
      <c r="E30" s="766">
        <v>3.6166666459999997E-2</v>
      </c>
    </row>
    <row r="31" spans="2:15" x14ac:dyDescent="0.35">
      <c r="B31" s="760"/>
      <c r="C31" s="448">
        <v>2023</v>
      </c>
      <c r="D31" s="552">
        <v>7.1855142951035178E-2</v>
      </c>
      <c r="E31" s="552">
        <v>4.1338350312191914E-2</v>
      </c>
    </row>
    <row r="32" spans="2:15" x14ac:dyDescent="0.35">
      <c r="B32" s="455" t="s">
        <v>31</v>
      </c>
      <c r="C32" s="448">
        <v>2013</v>
      </c>
      <c r="D32" s="552">
        <v>4.53074277471208E-2</v>
      </c>
      <c r="E32" s="552">
        <v>7.3214855494241657E-2</v>
      </c>
    </row>
    <row r="33" spans="2:15" x14ac:dyDescent="0.35">
      <c r="B33" s="760"/>
      <c r="C33" s="448">
        <v>2023</v>
      </c>
      <c r="D33" s="552">
        <v>4.3999999999999997E-2</v>
      </c>
      <c r="E33" s="552">
        <v>8.7999999999999995E-2</v>
      </c>
    </row>
    <row r="34" spans="2:15" x14ac:dyDescent="0.35">
      <c r="B34" s="455" t="s">
        <v>26</v>
      </c>
      <c r="C34" s="448">
        <v>2013</v>
      </c>
      <c r="D34" s="766">
        <v>3.1057870522510682E-2</v>
      </c>
      <c r="E34" s="766">
        <v>7.6833059480775553E-2</v>
      </c>
    </row>
    <row r="35" spans="2:15" x14ac:dyDescent="0.35">
      <c r="B35" s="760"/>
      <c r="C35" s="448">
        <v>2023</v>
      </c>
      <c r="D35" s="552">
        <v>3.1057870522510678E-2</v>
      </c>
      <c r="E35" s="552">
        <v>7.683305948077554E-2</v>
      </c>
    </row>
    <row r="36" spans="2:15" x14ac:dyDescent="0.35">
      <c r="B36" s="455" t="s">
        <v>28</v>
      </c>
      <c r="C36" s="448">
        <v>2013</v>
      </c>
      <c r="D36" s="552">
        <v>0.1</v>
      </c>
      <c r="E36" s="552"/>
    </row>
    <row r="37" spans="2:15" x14ac:dyDescent="0.35">
      <c r="B37" s="760"/>
      <c r="C37" s="448">
        <v>2023</v>
      </c>
      <c r="D37" s="552">
        <v>0.1</v>
      </c>
      <c r="E37" s="552"/>
      <c r="M37"/>
      <c r="N37"/>
      <c r="O37"/>
    </row>
    <row r="38" spans="2:15" x14ac:dyDescent="0.35">
      <c r="B38" s="455" t="s">
        <v>18</v>
      </c>
      <c r="C38" s="448">
        <v>2013</v>
      </c>
      <c r="D38" s="552">
        <v>2.889452054794521E-2</v>
      </c>
      <c r="E38" s="552">
        <v>6.9476712328767121E-2</v>
      </c>
      <c r="M38" s="440"/>
      <c r="N38" s="440"/>
      <c r="O38" s="440"/>
    </row>
    <row r="39" spans="2:15" x14ac:dyDescent="0.35">
      <c r="B39" s="760"/>
      <c r="C39" s="448">
        <v>2023</v>
      </c>
      <c r="D39" s="552">
        <v>5.6272099901413089E-2</v>
      </c>
      <c r="E39" s="552">
        <v>9.3822905027932973E-2</v>
      </c>
      <c r="M39" s="435"/>
      <c r="N39" s="435"/>
      <c r="O39" s="435"/>
    </row>
    <row r="40" spans="2:15" x14ac:dyDescent="0.35">
      <c r="B40" s="455" t="s">
        <v>24</v>
      </c>
      <c r="C40" s="448">
        <v>2013</v>
      </c>
      <c r="D40" s="766">
        <v>0</v>
      </c>
      <c r="E40" s="766">
        <v>5.3645833333333337E-2</v>
      </c>
      <c r="M40" s="435"/>
      <c r="N40" s="435"/>
      <c r="O40" s="435"/>
    </row>
    <row r="41" spans="2:15" x14ac:dyDescent="0.35">
      <c r="B41" s="760"/>
      <c r="C41" s="448">
        <v>2023</v>
      </c>
      <c r="D41" s="766">
        <v>1.171875E-2</v>
      </c>
      <c r="E41" s="766">
        <v>6.2666666666666676E-2</v>
      </c>
      <c r="M41" s="435"/>
      <c r="N41" s="435"/>
      <c r="O41" s="435"/>
    </row>
    <row r="42" spans="2:15" x14ac:dyDescent="0.35">
      <c r="B42" s="448" t="s">
        <v>21</v>
      </c>
      <c r="C42" s="448">
        <v>2013</v>
      </c>
      <c r="D42" s="552">
        <v>1.83E-2</v>
      </c>
      <c r="E42" s="552">
        <v>3.6700000000000003E-2</v>
      </c>
      <c r="M42" s="435"/>
      <c r="N42" s="435"/>
      <c r="O42" s="435"/>
    </row>
    <row r="43" spans="2:15" x14ac:dyDescent="0.35">
      <c r="B43" s="448"/>
      <c r="C43" s="448">
        <v>2023</v>
      </c>
      <c r="D43" s="552">
        <v>1.83E-2</v>
      </c>
      <c r="E43" s="552">
        <v>3.6700000000000003E-2</v>
      </c>
      <c r="M43" s="435"/>
      <c r="N43" s="435"/>
      <c r="O43" s="435"/>
    </row>
    <row r="44" spans="2:15" x14ac:dyDescent="0.35">
      <c r="B44" s="455" t="s">
        <v>29</v>
      </c>
      <c r="C44" s="448">
        <v>2013</v>
      </c>
      <c r="D44" s="552">
        <v>2.5000000000000001E-2</v>
      </c>
      <c r="E44" s="552">
        <v>2.5000000000000001E-2</v>
      </c>
      <c r="M44" s="435"/>
      <c r="N44" s="435"/>
      <c r="O44" s="435"/>
    </row>
    <row r="45" spans="2:15" x14ac:dyDescent="0.35">
      <c r="B45" s="760"/>
      <c r="C45" s="448">
        <v>2023</v>
      </c>
      <c r="D45" s="552">
        <v>0.03</v>
      </c>
      <c r="E45" s="552">
        <v>0.03</v>
      </c>
      <c r="M45" s="435"/>
      <c r="N45" s="435"/>
      <c r="O45" s="435"/>
    </row>
    <row r="46" spans="2:15" x14ac:dyDescent="0.35">
      <c r="B46" s="455" t="s">
        <v>27</v>
      </c>
      <c r="C46" s="448">
        <v>2013</v>
      </c>
      <c r="D46" s="552">
        <v>7.3019290620851404E-3</v>
      </c>
      <c r="E46" s="552">
        <v>1.4603858124170281E-2</v>
      </c>
      <c r="M46" s="441"/>
      <c r="N46" s="441"/>
      <c r="O46" s="441"/>
    </row>
    <row r="47" spans="2:15" x14ac:dyDescent="0.35">
      <c r="B47" s="760"/>
      <c r="C47" s="448">
        <v>2023</v>
      </c>
      <c r="D47" s="552">
        <v>0.01</v>
      </c>
      <c r="E47" s="552">
        <v>0.02</v>
      </c>
      <c r="M47" s="435"/>
      <c r="N47" s="435"/>
      <c r="O47" s="435"/>
    </row>
    <row r="48" spans="2:15" x14ac:dyDescent="0.35">
      <c r="B48" s="455" t="s">
        <v>125</v>
      </c>
      <c r="C48" s="448">
        <v>2013</v>
      </c>
      <c r="D48" s="753">
        <v>6.9946819042946307E-2</v>
      </c>
      <c r="E48" s="753">
        <v>7.1525913435682917E-2</v>
      </c>
      <c r="M48" s="435"/>
      <c r="N48" s="435"/>
      <c r="O48" s="435"/>
    </row>
    <row r="49" spans="2:15" x14ac:dyDescent="0.35">
      <c r="B49" s="760"/>
      <c r="C49" s="448">
        <v>2023</v>
      </c>
      <c r="D49" s="753">
        <v>7.2571293009264876E-2</v>
      </c>
      <c r="E49" s="753">
        <v>7.7990045915945522E-2</v>
      </c>
      <c r="M49" s="435"/>
      <c r="N49" s="435"/>
      <c r="O49" s="435"/>
    </row>
    <row r="50" spans="2:15" x14ac:dyDescent="0.35">
      <c r="B50" s="763" t="s">
        <v>146</v>
      </c>
      <c r="M50" s="441"/>
      <c r="N50" s="441"/>
      <c r="O50" s="441"/>
    </row>
    <row r="51" spans="2:15" x14ac:dyDescent="0.35">
      <c r="M51" s="435"/>
      <c r="N51" s="435"/>
      <c r="O51" s="435"/>
    </row>
    <row r="52" spans="2:15" x14ac:dyDescent="0.35">
      <c r="B52" s="848" t="s">
        <v>634</v>
      </c>
      <c r="M52" s="441"/>
      <c r="N52" s="441"/>
      <c r="O52" s="441"/>
    </row>
    <row r="53" spans="2:15" x14ac:dyDescent="0.35">
      <c r="B53" s="646" t="s">
        <v>77</v>
      </c>
      <c r="C53" s="646"/>
      <c r="D53" s="764" t="s">
        <v>186</v>
      </c>
      <c r="E53" s="765" t="s">
        <v>138</v>
      </c>
      <c r="M53" s="435"/>
      <c r="N53" s="435"/>
      <c r="O53" s="435"/>
    </row>
    <row r="54" spans="2:15" x14ac:dyDescent="0.35">
      <c r="B54" s="455" t="s">
        <v>11</v>
      </c>
      <c r="C54" s="448">
        <v>2013</v>
      </c>
      <c r="D54" s="552">
        <v>6.4931506849315049E-2</v>
      </c>
      <c r="E54" s="552">
        <v>8.1921917808219155E-2</v>
      </c>
      <c r="M54" s="441"/>
      <c r="N54" s="441"/>
      <c r="O54" s="441"/>
    </row>
    <row r="55" spans="2:15" x14ac:dyDescent="0.35">
      <c r="B55" s="760"/>
      <c r="C55" s="448">
        <v>2023</v>
      </c>
      <c r="D55" s="552">
        <v>6.4929346040092026E-2</v>
      </c>
      <c r="E55" s="552">
        <v>8.2135622740716396E-2</v>
      </c>
      <c r="M55" s="435"/>
      <c r="N55" s="435"/>
      <c r="O55" s="435"/>
    </row>
    <row r="56" spans="2:15" x14ac:dyDescent="0.35">
      <c r="B56" s="455" t="s">
        <v>18</v>
      </c>
      <c r="C56" s="448">
        <v>2013</v>
      </c>
      <c r="D56" s="552">
        <v>5.9520547945205476E-2</v>
      </c>
      <c r="E56" s="552">
        <v>0.1001027397260274</v>
      </c>
      <c r="M56" s="442"/>
      <c r="N56" s="442"/>
      <c r="O56" s="442"/>
    </row>
    <row r="57" spans="2:15" x14ac:dyDescent="0.35">
      <c r="B57" s="760"/>
      <c r="C57" s="448">
        <v>2023</v>
      </c>
      <c r="D57" s="552">
        <v>5.9518567203417687E-2</v>
      </c>
      <c r="E57" s="552">
        <v>0.1000994084784752</v>
      </c>
      <c r="M57" s="435"/>
      <c r="N57" s="435"/>
      <c r="O57" s="435"/>
    </row>
    <row r="58" spans="2:15" x14ac:dyDescent="0.35">
      <c r="B58" s="455" t="s">
        <v>26</v>
      </c>
      <c r="C58" s="448">
        <v>2013</v>
      </c>
      <c r="D58" s="552">
        <v>3.2897535326979956E-2</v>
      </c>
      <c r="E58" s="552">
        <v>7.6833059480775553E-2</v>
      </c>
      <c r="M58" s="443"/>
      <c r="N58" s="443"/>
      <c r="O58" s="444"/>
    </row>
    <row r="59" spans="2:15" x14ac:dyDescent="0.35">
      <c r="B59" s="760"/>
      <c r="C59" s="448">
        <v>2023</v>
      </c>
      <c r="D59" s="552">
        <v>3.2897535326979956E-2</v>
      </c>
      <c r="E59" s="552">
        <v>7.683305948077554E-2</v>
      </c>
      <c r="M59" s="444"/>
      <c r="N59" s="444"/>
      <c r="O59" s="444"/>
    </row>
    <row r="60" spans="2:15" x14ac:dyDescent="0.35">
      <c r="B60" s="455" t="s">
        <v>25</v>
      </c>
      <c r="C60" s="448">
        <v>2013</v>
      </c>
      <c r="D60" s="552">
        <v>0.03</v>
      </c>
      <c r="E60" s="552">
        <v>7.4999999999999997E-2</v>
      </c>
      <c r="M60" s="443"/>
      <c r="N60" s="443"/>
      <c r="O60" s="443"/>
    </row>
    <row r="61" spans="2:15" x14ac:dyDescent="0.35">
      <c r="B61" s="760"/>
      <c r="C61" s="448">
        <v>2023</v>
      </c>
      <c r="D61" s="552">
        <v>0.03</v>
      </c>
      <c r="E61" s="552">
        <v>7.4999999999999997E-2</v>
      </c>
    </row>
    <row r="62" spans="2:15" x14ac:dyDescent="0.35">
      <c r="B62" s="455" t="s">
        <v>13</v>
      </c>
      <c r="C62" s="448">
        <v>2013</v>
      </c>
      <c r="D62" s="552"/>
      <c r="E62" s="552">
        <v>0.1</v>
      </c>
    </row>
    <row r="63" spans="2:15" x14ac:dyDescent="0.35">
      <c r="B63" s="760"/>
      <c r="C63" s="448">
        <v>2023</v>
      </c>
      <c r="D63" s="552"/>
      <c r="E63" s="552">
        <v>0.1</v>
      </c>
    </row>
    <row r="64" spans="2:15" x14ac:dyDescent="0.35">
      <c r="B64" s="455" t="s">
        <v>19</v>
      </c>
      <c r="C64" s="448">
        <v>2013</v>
      </c>
      <c r="D64" s="552">
        <v>5.0000000000000001E-3</v>
      </c>
      <c r="E64" s="552">
        <v>0.08</v>
      </c>
    </row>
    <row r="65" spans="2:5" x14ac:dyDescent="0.35">
      <c r="B65" s="760"/>
      <c r="C65" s="448">
        <v>2023</v>
      </c>
      <c r="D65" s="552">
        <v>5.0000000000000001E-3</v>
      </c>
      <c r="E65" s="552">
        <v>0.08</v>
      </c>
    </row>
    <row r="66" spans="2:5" x14ac:dyDescent="0.35">
      <c r="B66" s="455" t="s">
        <v>14</v>
      </c>
      <c r="C66" s="448">
        <v>2013</v>
      </c>
      <c r="D66" s="552">
        <v>4.0084635787797446E-2</v>
      </c>
      <c r="E66" s="552">
        <v>0.05</v>
      </c>
    </row>
    <row r="67" spans="2:5" x14ac:dyDescent="0.35">
      <c r="B67" s="760"/>
      <c r="C67" s="448">
        <v>2023</v>
      </c>
      <c r="D67" s="552">
        <v>4.0492380303046319E-2</v>
      </c>
      <c r="E67" s="552">
        <v>0.05</v>
      </c>
    </row>
    <row r="68" spans="2:5" x14ac:dyDescent="0.35">
      <c r="B68" s="455" t="s">
        <v>24</v>
      </c>
      <c r="C68" s="448">
        <v>2013</v>
      </c>
      <c r="D68" s="552">
        <v>1.022262058886925E-2</v>
      </c>
      <c r="E68" s="552">
        <v>8.0564635775279864E-2</v>
      </c>
    </row>
    <row r="69" spans="2:5" x14ac:dyDescent="0.35">
      <c r="B69" s="760"/>
      <c r="C69" s="448">
        <v>2023</v>
      </c>
      <c r="D69" s="552">
        <v>1.0399372929805063E-2</v>
      </c>
      <c r="E69" s="552">
        <v>7.2083333333333333E-2</v>
      </c>
    </row>
    <row r="70" spans="2:5" x14ac:dyDescent="0.35">
      <c r="B70" s="455" t="s">
        <v>28</v>
      </c>
      <c r="C70" s="448">
        <v>2013</v>
      </c>
      <c r="D70" s="552">
        <v>7.0000000000000007E-2</v>
      </c>
      <c r="E70" s="552"/>
    </row>
    <row r="71" spans="2:5" x14ac:dyDescent="0.35">
      <c r="B71" s="760"/>
      <c r="C71" s="448">
        <v>2023</v>
      </c>
      <c r="D71" s="552">
        <v>7.0000000000000007E-2</v>
      </c>
      <c r="E71" s="552"/>
    </row>
    <row r="72" spans="2:5" x14ac:dyDescent="0.35">
      <c r="B72" s="455" t="s">
        <v>17</v>
      </c>
      <c r="C72" s="448">
        <v>2013</v>
      </c>
      <c r="D72" s="552"/>
      <c r="E72" s="552">
        <v>6.179362E-2</v>
      </c>
    </row>
    <row r="73" spans="2:5" x14ac:dyDescent="0.35">
      <c r="B73" s="760"/>
      <c r="C73" s="448">
        <v>2023</v>
      </c>
      <c r="D73" s="552"/>
      <c r="E73" s="552">
        <v>5.5839237594479132E-2</v>
      </c>
    </row>
    <row r="74" spans="2:5" x14ac:dyDescent="0.35">
      <c r="B74" s="455" t="s">
        <v>21</v>
      </c>
      <c r="C74" s="448">
        <v>2013</v>
      </c>
      <c r="D74" s="552">
        <v>0.02</v>
      </c>
      <c r="E74" s="552">
        <v>0.04</v>
      </c>
    </row>
    <row r="75" spans="2:5" x14ac:dyDescent="0.35">
      <c r="B75" s="760"/>
      <c r="C75" s="448">
        <v>2023</v>
      </c>
      <c r="D75" s="552">
        <v>0.02</v>
      </c>
      <c r="E75" s="552">
        <v>0.04</v>
      </c>
    </row>
    <row r="76" spans="2:5" x14ac:dyDescent="0.35">
      <c r="B76" s="455" t="s">
        <v>27</v>
      </c>
      <c r="C76" s="448">
        <v>2013</v>
      </c>
      <c r="D76" s="552">
        <v>1.8254822655212853E-2</v>
      </c>
      <c r="E76" s="552">
        <v>3.6509645310425706E-2</v>
      </c>
    </row>
    <row r="77" spans="2:5" x14ac:dyDescent="0.35">
      <c r="B77" s="760"/>
      <c r="C77" s="448">
        <v>2023</v>
      </c>
      <c r="D77" s="552">
        <v>2.5000000000000001E-2</v>
      </c>
      <c r="E77" s="552">
        <v>0.05</v>
      </c>
    </row>
    <row r="78" spans="2:5" x14ac:dyDescent="0.35">
      <c r="B78" s="455" t="s">
        <v>15</v>
      </c>
      <c r="C78" s="448">
        <v>2013</v>
      </c>
      <c r="D78" s="552">
        <v>0.04</v>
      </c>
      <c r="E78" s="552"/>
    </row>
    <row r="79" spans="2:5" ht="14.9" customHeight="1" x14ac:dyDescent="0.35">
      <c r="B79" s="760"/>
      <c r="C79" s="448">
        <v>2023</v>
      </c>
      <c r="D79" s="552">
        <v>0.04</v>
      </c>
      <c r="E79" s="552"/>
    </row>
    <row r="80" spans="2:5" ht="23.15" customHeight="1" x14ac:dyDescent="0.35">
      <c r="B80" s="455" t="s">
        <v>31</v>
      </c>
      <c r="C80" s="448">
        <v>2013</v>
      </c>
      <c r="D80" s="552"/>
      <c r="E80" s="552"/>
    </row>
    <row r="81" spans="2:5" x14ac:dyDescent="0.35">
      <c r="B81" s="760"/>
      <c r="C81" s="448">
        <v>2023</v>
      </c>
      <c r="D81" s="552"/>
      <c r="E81" s="552"/>
    </row>
    <row r="82" spans="2:5" x14ac:dyDescent="0.35">
      <c r="B82" s="455" t="s">
        <v>12</v>
      </c>
      <c r="C82" s="448">
        <v>2013</v>
      </c>
      <c r="D82" s="552"/>
      <c r="E82" s="552"/>
    </row>
    <row r="83" spans="2:5" x14ac:dyDescent="0.35">
      <c r="B83" s="760"/>
      <c r="C83" s="448">
        <v>2023</v>
      </c>
      <c r="D83" s="552"/>
      <c r="E83" s="552"/>
    </row>
    <row r="84" spans="2:5" x14ac:dyDescent="0.35">
      <c r="B84" s="455" t="s">
        <v>29</v>
      </c>
      <c r="C84" s="448">
        <v>2013</v>
      </c>
      <c r="D84" s="552"/>
      <c r="E84" s="552"/>
    </row>
    <row r="85" spans="2:5" x14ac:dyDescent="0.35">
      <c r="B85" s="760"/>
      <c r="C85" s="448">
        <v>2023</v>
      </c>
      <c r="D85" s="552"/>
      <c r="E85" s="552"/>
    </row>
    <row r="86" spans="2:5" x14ac:dyDescent="0.35">
      <c r="B86" s="455" t="s">
        <v>20</v>
      </c>
      <c r="C86" s="448">
        <v>2013</v>
      </c>
      <c r="D86" s="552"/>
      <c r="E86" s="552"/>
    </row>
    <row r="87" spans="2:5" x14ac:dyDescent="0.35">
      <c r="B87" s="760"/>
      <c r="C87" s="448">
        <v>2023</v>
      </c>
      <c r="D87" s="552"/>
      <c r="E87" s="552"/>
    </row>
    <row r="88" spans="2:5" x14ac:dyDescent="0.35">
      <c r="B88" s="455" t="s">
        <v>22</v>
      </c>
      <c r="C88" s="448">
        <v>2013</v>
      </c>
      <c r="D88" s="552"/>
      <c r="E88" s="552"/>
    </row>
    <row r="89" spans="2:5" x14ac:dyDescent="0.35">
      <c r="B89" s="760"/>
      <c r="C89" s="448">
        <v>2023</v>
      </c>
      <c r="D89" s="552"/>
      <c r="E89" s="552"/>
    </row>
    <row r="90" spans="2:5" x14ac:dyDescent="0.35">
      <c r="B90" s="455" t="s">
        <v>125</v>
      </c>
      <c r="C90" s="448">
        <v>2013</v>
      </c>
      <c r="D90" s="753">
        <v>3.8404874016360523E-2</v>
      </c>
      <c r="E90" s="753">
        <v>7.1187627628034225E-2</v>
      </c>
    </row>
    <row r="91" spans="2:5" x14ac:dyDescent="0.35">
      <c r="B91" s="760"/>
      <c r="C91" s="448">
        <v>2023</v>
      </c>
      <c r="D91" s="753">
        <v>3.9234041234383829E-2</v>
      </c>
      <c r="E91" s="753">
        <v>7.1665058961977113E-2</v>
      </c>
    </row>
    <row r="92" spans="2:5" x14ac:dyDescent="0.35">
      <c r="B92" s="426"/>
      <c r="C92" s="426"/>
      <c r="D92" s="823"/>
      <c r="E92" s="823"/>
    </row>
    <row r="93" spans="2:5" x14ac:dyDescent="0.35">
      <c r="B93" s="848" t="s">
        <v>635</v>
      </c>
    </row>
    <row r="94" spans="2:5" x14ac:dyDescent="0.35">
      <c r="B94" s="763" t="s">
        <v>146</v>
      </c>
    </row>
    <row r="95" spans="2:5" x14ac:dyDescent="0.35">
      <c r="B95" s="646" t="s">
        <v>190</v>
      </c>
      <c r="C95" s="646"/>
      <c r="D95" s="764" t="s">
        <v>186</v>
      </c>
      <c r="E95" s="765" t="s">
        <v>138</v>
      </c>
    </row>
    <row r="96" spans="2:5" x14ac:dyDescent="0.35">
      <c r="B96" s="455" t="s">
        <v>17</v>
      </c>
      <c r="C96" s="448">
        <v>2013</v>
      </c>
      <c r="D96" s="734">
        <v>3.2783333145999995E-2</v>
      </c>
      <c r="E96" s="734">
        <v>0.11547074</v>
      </c>
    </row>
    <row r="97" spans="2:5" x14ac:dyDescent="0.35">
      <c r="B97" s="760"/>
      <c r="C97" s="448">
        <v>2023</v>
      </c>
      <c r="D97" s="753">
        <v>3.0408577062109768E-2</v>
      </c>
      <c r="E97" s="753">
        <v>0.11362635557016104</v>
      </c>
    </row>
    <row r="98" spans="2:5" x14ac:dyDescent="0.35">
      <c r="B98" s="455" t="s">
        <v>12</v>
      </c>
      <c r="C98" s="448">
        <v>2013</v>
      </c>
      <c r="D98" s="552"/>
      <c r="E98" s="552">
        <v>0.1536712328767123</v>
      </c>
    </row>
    <row r="99" spans="2:5" x14ac:dyDescent="0.35">
      <c r="B99" s="760"/>
      <c r="C99" s="448">
        <v>2023</v>
      </c>
      <c r="D99" s="552"/>
      <c r="E99" s="552">
        <v>0.15150180742688135</v>
      </c>
    </row>
    <row r="100" spans="2:5" x14ac:dyDescent="0.35">
      <c r="B100" s="455" t="s">
        <v>15</v>
      </c>
      <c r="C100" s="448">
        <v>2013</v>
      </c>
      <c r="D100" s="552"/>
      <c r="E100" s="552">
        <v>0.13687561643835616</v>
      </c>
    </row>
    <row r="101" spans="2:5" x14ac:dyDescent="0.35">
      <c r="B101" s="760"/>
      <c r="C101" s="448">
        <v>2023</v>
      </c>
      <c r="D101" s="552"/>
      <c r="E101" s="552">
        <v>0.14068024975353272</v>
      </c>
    </row>
    <row r="102" spans="2:5" x14ac:dyDescent="0.35">
      <c r="B102" s="455" t="s">
        <v>29</v>
      </c>
      <c r="C102" s="448">
        <v>2013</v>
      </c>
      <c r="D102" s="552">
        <v>4.1937500000000003E-2</v>
      </c>
      <c r="E102" s="552">
        <v>9.4249999999999987E-2</v>
      </c>
    </row>
    <row r="103" spans="2:5" x14ac:dyDescent="0.35">
      <c r="B103" s="760"/>
      <c r="C103" s="448">
        <v>2023</v>
      </c>
      <c r="D103" s="552">
        <v>0.04</v>
      </c>
      <c r="E103" s="552">
        <v>9.4999999999999987E-2</v>
      </c>
    </row>
    <row r="104" spans="2:5" x14ac:dyDescent="0.35">
      <c r="B104" s="455" t="s">
        <v>18</v>
      </c>
      <c r="C104" s="448">
        <v>2013</v>
      </c>
      <c r="D104" s="734">
        <v>1.0821917808219178E-2</v>
      </c>
      <c r="E104" s="767">
        <v>0.11693013698630138</v>
      </c>
    </row>
    <row r="105" spans="2:5" x14ac:dyDescent="0.35">
      <c r="B105" s="760"/>
      <c r="C105" s="448">
        <v>2023</v>
      </c>
      <c r="D105" s="753">
        <v>1.0821557673348671E-2</v>
      </c>
      <c r="E105" s="753">
        <v>9.4688629641800887E-2</v>
      </c>
    </row>
    <row r="106" spans="2:5" x14ac:dyDescent="0.35">
      <c r="B106" s="455" t="s">
        <v>16</v>
      </c>
      <c r="C106" s="448">
        <v>2013</v>
      </c>
      <c r="D106" s="734"/>
      <c r="E106" s="734">
        <v>8.9300000000000004E-2</v>
      </c>
    </row>
    <row r="107" spans="2:5" x14ac:dyDescent="0.35">
      <c r="B107" s="760"/>
      <c r="C107" s="448">
        <v>2023</v>
      </c>
      <c r="D107" s="552"/>
      <c r="E107" s="552">
        <v>0.10630000000000002</v>
      </c>
    </row>
    <row r="108" spans="2:5" x14ac:dyDescent="0.35">
      <c r="B108" s="455" t="s">
        <v>22</v>
      </c>
      <c r="C108" s="448">
        <v>2013</v>
      </c>
      <c r="D108" s="552">
        <v>2.0000000000000004E-2</v>
      </c>
      <c r="E108" s="552">
        <v>6.7525000000000002E-2</v>
      </c>
    </row>
    <row r="109" spans="2:5" x14ac:dyDescent="0.35">
      <c r="B109" s="760"/>
      <c r="C109" s="448">
        <v>2023</v>
      </c>
      <c r="D109" s="552">
        <v>0.02</v>
      </c>
      <c r="E109" s="552">
        <v>6.7500000000000004E-2</v>
      </c>
    </row>
    <row r="110" spans="2:5" x14ac:dyDescent="0.35">
      <c r="B110" s="455" t="s">
        <v>24</v>
      </c>
      <c r="C110" s="448">
        <v>2013</v>
      </c>
      <c r="D110" s="734"/>
      <c r="E110" s="734">
        <v>8.3125000000000018E-2</v>
      </c>
    </row>
    <row r="111" spans="2:5" x14ac:dyDescent="0.35">
      <c r="B111" s="760"/>
      <c r="C111" s="448">
        <v>2023</v>
      </c>
      <c r="D111" s="753"/>
      <c r="E111" s="753">
        <v>8.3125000000000004E-2</v>
      </c>
    </row>
    <row r="112" spans="2:5" x14ac:dyDescent="0.35">
      <c r="B112" s="455" t="s">
        <v>14</v>
      </c>
      <c r="C112" s="448">
        <v>2013</v>
      </c>
      <c r="D112" s="734">
        <v>1.083E-3</v>
      </c>
      <c r="E112" s="734">
        <v>7.0083000000000006E-2</v>
      </c>
    </row>
    <row r="113" spans="2:5" x14ac:dyDescent="0.35">
      <c r="B113" s="760"/>
      <c r="C113" s="448">
        <v>2023</v>
      </c>
      <c r="D113" s="753">
        <v>1.0821557673348669E-3</v>
      </c>
      <c r="E113" s="753">
        <v>7.0082155767334869E-2</v>
      </c>
    </row>
    <row r="114" spans="2:5" x14ac:dyDescent="0.35">
      <c r="B114" s="455" t="s">
        <v>28</v>
      </c>
      <c r="C114" s="448">
        <v>2013</v>
      </c>
      <c r="D114" s="552">
        <v>2.0799999999999999E-2</v>
      </c>
      <c r="E114" s="552">
        <v>4.6100000000000002E-2</v>
      </c>
    </row>
    <row r="115" spans="2:5" x14ac:dyDescent="0.35">
      <c r="B115" s="760"/>
      <c r="C115" s="448">
        <v>2023</v>
      </c>
      <c r="D115" s="552">
        <v>2.1000000000000001E-2</v>
      </c>
      <c r="E115" s="552">
        <v>4.8000000000000001E-2</v>
      </c>
    </row>
    <row r="116" spans="2:5" x14ac:dyDescent="0.35">
      <c r="B116" s="455" t="s">
        <v>21</v>
      </c>
      <c r="C116" s="448">
        <v>2013</v>
      </c>
      <c r="D116" s="734">
        <v>0.01</v>
      </c>
      <c r="E116" s="767">
        <v>0.05</v>
      </c>
    </row>
    <row r="117" spans="2:5" x14ac:dyDescent="0.35">
      <c r="B117" s="760"/>
      <c r="C117" s="448">
        <v>2023</v>
      </c>
      <c r="D117" s="753">
        <v>0.01</v>
      </c>
      <c r="E117" s="753">
        <v>0.05</v>
      </c>
    </row>
    <row r="118" spans="2:5" x14ac:dyDescent="0.35">
      <c r="B118" s="455" t="s">
        <v>11</v>
      </c>
      <c r="C118" s="448">
        <v>2013</v>
      </c>
      <c r="D118" s="552"/>
      <c r="E118" s="552">
        <v>6.8610958904109579E-2</v>
      </c>
    </row>
    <row r="119" spans="2:5" x14ac:dyDescent="0.35">
      <c r="B119" s="760"/>
      <c r="C119" s="448">
        <v>2023</v>
      </c>
      <c r="D119" s="753"/>
      <c r="E119" s="753">
        <v>7.1422280644101221E-2</v>
      </c>
    </row>
    <row r="120" spans="2:5" x14ac:dyDescent="0.35">
      <c r="B120" s="455" t="s">
        <v>19</v>
      </c>
      <c r="C120" s="448">
        <v>2013</v>
      </c>
      <c r="D120" s="734">
        <v>1.3526947091685837E-2</v>
      </c>
      <c r="E120" s="734">
        <v>4.1242191915872493E-2</v>
      </c>
    </row>
    <row r="121" spans="2:5" x14ac:dyDescent="0.35">
      <c r="B121" s="760"/>
      <c r="C121" s="448">
        <v>2023</v>
      </c>
      <c r="D121" s="753">
        <v>1.3526947091685837E-2</v>
      </c>
      <c r="E121" s="753">
        <v>4.1242191915872493E-2</v>
      </c>
    </row>
    <row r="122" spans="2:5" x14ac:dyDescent="0.35">
      <c r="B122" s="455" t="s">
        <v>27</v>
      </c>
      <c r="C122" s="448">
        <v>2013</v>
      </c>
      <c r="D122" s="552">
        <v>1.0952893593127712E-2</v>
      </c>
      <c r="E122" s="552">
        <v>1.9715208467629881E-2</v>
      </c>
    </row>
    <row r="123" spans="2:5" x14ac:dyDescent="0.35">
      <c r="B123" s="760"/>
      <c r="C123" s="448">
        <v>2023</v>
      </c>
      <c r="D123" s="552">
        <v>1.4999999999999999E-2</v>
      </c>
      <c r="E123" s="552">
        <v>2.7000000000000003E-2</v>
      </c>
    </row>
    <row r="124" spans="2:5" x14ac:dyDescent="0.35">
      <c r="B124" s="455" t="s">
        <v>26</v>
      </c>
      <c r="C124" s="448">
        <v>2013</v>
      </c>
      <c r="D124" s="740">
        <v>5.4107788366743355E-3</v>
      </c>
      <c r="E124" s="740">
        <v>2.1643115346697342E-2</v>
      </c>
    </row>
    <row r="125" spans="2:5" x14ac:dyDescent="0.35">
      <c r="B125" s="760"/>
      <c r="C125" s="448">
        <v>2023</v>
      </c>
      <c r="D125" s="753">
        <v>5.4107788366743355E-3</v>
      </c>
      <c r="E125" s="753">
        <v>2.1643115346697342E-2</v>
      </c>
    </row>
    <row r="126" spans="2:5" x14ac:dyDescent="0.35">
      <c r="B126" s="455" t="s">
        <v>13</v>
      </c>
      <c r="C126" s="448">
        <v>2013</v>
      </c>
      <c r="D126" s="734"/>
      <c r="E126" s="767">
        <v>1.7100000000000001E-2</v>
      </c>
    </row>
    <row r="127" spans="2:5" x14ac:dyDescent="0.35">
      <c r="B127" s="760"/>
      <c r="C127" s="448">
        <v>2023</v>
      </c>
      <c r="D127" s="753"/>
      <c r="E127" s="753">
        <v>1.7100000000000001E-2</v>
      </c>
    </row>
    <row r="128" spans="2:5" x14ac:dyDescent="0.35">
      <c r="B128" s="455" t="s">
        <v>20</v>
      </c>
      <c r="C128" s="448">
        <v>2013</v>
      </c>
      <c r="D128" s="734"/>
      <c r="E128" s="767">
        <v>3.2464673020046006E-2</v>
      </c>
    </row>
    <row r="129" spans="2:5" x14ac:dyDescent="0.35">
      <c r="B129" s="760"/>
      <c r="C129" s="448">
        <v>2023</v>
      </c>
      <c r="D129" s="753"/>
      <c r="E129" s="753">
        <v>3.2464673020046006E-2</v>
      </c>
    </row>
    <row r="130" spans="2:5" x14ac:dyDescent="0.35">
      <c r="B130" s="455" t="s">
        <v>25</v>
      </c>
      <c r="C130" s="448">
        <v>2013</v>
      </c>
      <c r="D130" s="734"/>
      <c r="E130" s="767">
        <v>0.01</v>
      </c>
    </row>
    <row r="131" spans="2:5" x14ac:dyDescent="0.35">
      <c r="B131" s="760"/>
      <c r="C131" s="448">
        <v>2023</v>
      </c>
      <c r="D131" s="753"/>
      <c r="E131" s="753">
        <v>0.01</v>
      </c>
    </row>
    <row r="132" spans="2:5" x14ac:dyDescent="0.35">
      <c r="B132" s="455" t="s">
        <v>31</v>
      </c>
      <c r="C132" s="448">
        <v>2013</v>
      </c>
      <c r="D132" s="734"/>
      <c r="E132" s="767"/>
    </row>
    <row r="133" spans="2:5" x14ac:dyDescent="0.35">
      <c r="B133" s="760"/>
      <c r="C133" s="448">
        <v>2023</v>
      </c>
      <c r="D133" s="753"/>
      <c r="E133" s="753"/>
    </row>
    <row r="134" spans="2:5" x14ac:dyDescent="0.35">
      <c r="B134" s="455" t="s">
        <v>125</v>
      </c>
      <c r="C134" s="448">
        <v>2013</v>
      </c>
      <c r="D134" s="753">
        <v>1.6731637047570708E-2</v>
      </c>
      <c r="E134" s="753">
        <v>6.8561492997540288E-2</v>
      </c>
    </row>
    <row r="135" spans="2:5" x14ac:dyDescent="0.35">
      <c r="B135" s="760"/>
      <c r="C135" s="448">
        <v>2023</v>
      </c>
      <c r="D135" s="753">
        <v>1.6725001643115349E-2</v>
      </c>
      <c r="E135" s="753">
        <v>6.8965358838134885E-2</v>
      </c>
    </row>
  </sheetData>
  <mergeCells count="2">
    <mergeCell ref="B10:B11"/>
    <mergeCell ref="B12:B13"/>
  </mergeCells>
  <phoneticPr fontId="129" type="noConversion"/>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V71"/>
  <sheetViews>
    <sheetView showGridLines="0" zoomScale="40" zoomScaleNormal="85" workbookViewId="0">
      <selection activeCell="K29" sqref="K29"/>
    </sheetView>
  </sheetViews>
  <sheetFormatPr defaultColWidth="9.1796875" defaultRowHeight="14.5" x14ac:dyDescent="0.35"/>
  <cols>
    <col min="1" max="1" width="14.36328125" customWidth="1"/>
    <col min="2" max="2" width="17.81640625" customWidth="1"/>
    <col min="3" max="3" width="9.90625" customWidth="1"/>
    <col min="5" max="5" width="23.81640625" customWidth="1"/>
    <col min="6" max="6" width="12.36328125" customWidth="1"/>
    <col min="7" max="7" width="9.90625" customWidth="1"/>
    <col min="8" max="8" width="18.81640625" customWidth="1"/>
    <col min="9" max="9" width="10.90625" customWidth="1"/>
    <col min="10" max="10" width="9.36328125" customWidth="1"/>
    <col min="11" max="11" width="24.6328125" customWidth="1"/>
    <col min="12" max="13" width="9.54296875" customWidth="1"/>
    <col min="14" max="14" width="13.54296875" style="22" customWidth="1"/>
    <col min="15" max="15" width="11.81640625" style="22" customWidth="1"/>
    <col min="16" max="16" width="34.6328125" style="22" customWidth="1"/>
    <col min="17" max="17" width="14.26953125" style="22" customWidth="1"/>
    <col min="18" max="18" width="35.6328125" customWidth="1"/>
    <col min="19" max="19" width="13.81640625" customWidth="1"/>
  </cols>
  <sheetData>
    <row r="1" spans="1:22" ht="17.5" x14ac:dyDescent="0.35">
      <c r="A1" s="57" t="s">
        <v>191</v>
      </c>
    </row>
    <row r="2" spans="1:22" x14ac:dyDescent="0.35">
      <c r="A2" t="s">
        <v>146</v>
      </c>
    </row>
    <row r="4" spans="1:22" x14ac:dyDescent="0.35">
      <c r="M4" s="23"/>
      <c r="N4" s="768"/>
      <c r="O4" s="768"/>
      <c r="P4" s="768"/>
      <c r="Q4" s="768"/>
      <c r="R4" s="3"/>
      <c r="S4" s="3"/>
      <c r="T4" s="3"/>
      <c r="U4" s="3"/>
      <c r="V4" s="7"/>
    </row>
    <row r="5" spans="1:22" ht="21" x14ac:dyDescent="0.5">
      <c r="A5" s="54" t="s">
        <v>186</v>
      </c>
      <c r="Q5" s="597"/>
    </row>
    <row r="6" spans="1:22" x14ac:dyDescent="0.35">
      <c r="A6" s="90"/>
      <c r="B6" s="188" t="s">
        <v>75</v>
      </c>
      <c r="C6" s="188" t="s">
        <v>76</v>
      </c>
      <c r="D6" s="188" t="s">
        <v>77</v>
      </c>
      <c r="E6" s="55" t="s">
        <v>192</v>
      </c>
    </row>
    <row r="7" spans="1:22" x14ac:dyDescent="0.35">
      <c r="A7" s="445" t="s">
        <v>11</v>
      </c>
      <c r="B7" s="91">
        <v>0.1839664804469274</v>
      </c>
      <c r="C7" s="91">
        <v>0.11903713440683537</v>
      </c>
      <c r="D7" s="91">
        <v>6.4929346040092026E-2</v>
      </c>
      <c r="E7" s="49">
        <v>0</v>
      </c>
    </row>
    <row r="8" spans="1:22" x14ac:dyDescent="0.35">
      <c r="A8" s="446" t="s">
        <v>14</v>
      </c>
      <c r="B8" s="3">
        <v>0.20389790117061121</v>
      </c>
      <c r="C8" s="3">
        <v>0.16232336510023004</v>
      </c>
      <c r="D8" s="3">
        <v>4.0492380303046319E-2</v>
      </c>
      <c r="E8" s="51">
        <v>1.0821557673348669E-3</v>
      </c>
      <c r="R8" s="25"/>
      <c r="S8" s="25"/>
    </row>
    <row r="9" spans="1:22" x14ac:dyDescent="0.35">
      <c r="A9" s="446" t="s">
        <v>28</v>
      </c>
      <c r="B9" s="3">
        <v>0.191</v>
      </c>
      <c r="C9" s="3">
        <v>0.1</v>
      </c>
      <c r="D9" s="3">
        <v>7.0000000000000007E-2</v>
      </c>
      <c r="E9" s="51">
        <v>2.1000000000000001E-2</v>
      </c>
      <c r="R9" s="3"/>
      <c r="S9" s="3"/>
      <c r="T9" s="7"/>
    </row>
    <row r="10" spans="1:22" x14ac:dyDescent="0.35">
      <c r="A10" s="446" t="s">
        <v>16</v>
      </c>
      <c r="B10" s="3">
        <v>0.15136049950706543</v>
      </c>
      <c r="C10" s="3">
        <v>0.15136049950706543</v>
      </c>
      <c r="D10" s="3">
        <v>0</v>
      </c>
      <c r="E10" s="51">
        <v>0</v>
      </c>
      <c r="R10" s="3"/>
      <c r="S10" s="3"/>
      <c r="T10" s="7"/>
    </row>
    <row r="11" spans="1:22" x14ac:dyDescent="0.35">
      <c r="A11" s="446" t="s">
        <v>13</v>
      </c>
      <c r="B11" s="3">
        <v>0.12709999999999999</v>
      </c>
      <c r="C11" s="3">
        <v>0.12709999999999999</v>
      </c>
      <c r="D11" s="3">
        <v>0</v>
      </c>
      <c r="E11" s="51">
        <v>0</v>
      </c>
      <c r="R11" s="3"/>
      <c r="S11" s="3"/>
      <c r="T11" s="7"/>
    </row>
    <row r="12" spans="1:22" x14ac:dyDescent="0.35">
      <c r="A12" s="446" t="s">
        <v>19</v>
      </c>
      <c r="B12" s="3">
        <v>0.11706861375835249</v>
      </c>
      <c r="C12" s="3">
        <v>9.8541666666666652E-2</v>
      </c>
      <c r="D12" s="3">
        <v>5.0000000000000001E-3</v>
      </c>
      <c r="E12" s="51">
        <v>1.3526947091685837E-2</v>
      </c>
      <c r="R12" s="3"/>
      <c r="S12" s="3"/>
      <c r="T12" s="7"/>
    </row>
    <row r="13" spans="1:22" x14ac:dyDescent="0.35">
      <c r="A13" s="446" t="s">
        <v>17</v>
      </c>
      <c r="B13" s="3">
        <v>0.10226372001314495</v>
      </c>
      <c r="C13" s="3">
        <v>7.1855142951035178E-2</v>
      </c>
      <c r="D13" s="3">
        <v>0</v>
      </c>
      <c r="E13" s="51">
        <v>3.0408577062109768E-2</v>
      </c>
      <c r="R13" s="3"/>
      <c r="S13" s="3"/>
      <c r="T13" s="7"/>
    </row>
    <row r="14" spans="1:22" x14ac:dyDescent="0.35">
      <c r="A14" s="446" t="s">
        <v>18</v>
      </c>
      <c r="B14" s="3">
        <v>0.12661222477817943</v>
      </c>
      <c r="C14" s="3">
        <v>5.6272099901413089E-2</v>
      </c>
      <c r="D14" s="3">
        <v>5.9518567203417687E-2</v>
      </c>
      <c r="E14" s="51">
        <v>1.0821557673348671E-2</v>
      </c>
      <c r="R14" s="3"/>
      <c r="S14" s="3"/>
      <c r="T14" s="7"/>
    </row>
    <row r="15" spans="1:22" x14ac:dyDescent="0.35">
      <c r="A15" s="446" t="s">
        <v>12</v>
      </c>
      <c r="B15" s="3">
        <v>9.7394019060138018E-2</v>
      </c>
      <c r="C15" s="3">
        <v>9.7394019060138018E-2</v>
      </c>
      <c r="D15" s="3">
        <v>0</v>
      </c>
      <c r="E15" s="51">
        <v>0</v>
      </c>
      <c r="R15" s="3"/>
      <c r="S15" s="3"/>
      <c r="T15" s="7"/>
    </row>
    <row r="16" spans="1:22" x14ac:dyDescent="0.35">
      <c r="A16" s="446" t="s">
        <v>20</v>
      </c>
      <c r="B16" s="3">
        <v>9.7394019060138018E-2</v>
      </c>
      <c r="C16" s="3">
        <v>9.7394019060138018E-2</v>
      </c>
      <c r="D16" s="3">
        <v>0</v>
      </c>
      <c r="E16" s="51">
        <v>0</v>
      </c>
      <c r="R16" s="3"/>
      <c r="S16" s="3"/>
      <c r="T16" s="7"/>
    </row>
    <row r="17" spans="1:20" x14ac:dyDescent="0.35">
      <c r="A17" s="446" t="s">
        <v>25</v>
      </c>
      <c r="B17" s="3">
        <v>0.10249999999999999</v>
      </c>
      <c r="C17" s="3">
        <v>7.2499999999999995E-2</v>
      </c>
      <c r="D17" s="3">
        <v>0.03</v>
      </c>
      <c r="E17" s="51">
        <v>0</v>
      </c>
      <c r="R17" s="3"/>
      <c r="S17" s="3"/>
      <c r="T17" s="7"/>
    </row>
    <row r="18" spans="1:20" x14ac:dyDescent="0.35">
      <c r="A18" s="446" t="s">
        <v>15</v>
      </c>
      <c r="B18" s="3">
        <v>0.08</v>
      </c>
      <c r="C18" s="3">
        <v>0.04</v>
      </c>
      <c r="D18" s="3">
        <v>0.04</v>
      </c>
      <c r="E18" s="51">
        <v>0</v>
      </c>
      <c r="R18" s="3"/>
      <c r="S18" s="3"/>
      <c r="T18" s="7"/>
    </row>
    <row r="19" spans="1:20" x14ac:dyDescent="0.35">
      <c r="A19" s="446" t="s">
        <v>29</v>
      </c>
      <c r="B19" s="3">
        <v>7.0000000000000007E-2</v>
      </c>
      <c r="C19" s="3">
        <v>0.03</v>
      </c>
      <c r="D19" s="3">
        <v>0</v>
      </c>
      <c r="E19" s="51">
        <v>0.04</v>
      </c>
      <c r="R19" s="3"/>
      <c r="S19" s="3"/>
      <c r="T19" s="7"/>
    </row>
    <row r="20" spans="1:20" x14ac:dyDescent="0.35">
      <c r="A20" s="446" t="s">
        <v>26</v>
      </c>
      <c r="B20" s="3">
        <v>6.9366184686164969E-2</v>
      </c>
      <c r="C20" s="3">
        <v>3.1057870522510678E-2</v>
      </c>
      <c r="D20" s="3">
        <v>3.2897535326979956E-2</v>
      </c>
      <c r="E20" s="51">
        <v>5.4107788366743355E-3</v>
      </c>
      <c r="R20" s="3"/>
      <c r="S20" s="3"/>
      <c r="T20" s="7"/>
    </row>
    <row r="21" spans="1:20" x14ac:dyDescent="0.35">
      <c r="A21" s="446" t="s">
        <v>22</v>
      </c>
      <c r="B21" s="3">
        <v>0.06</v>
      </c>
      <c r="C21" s="3">
        <v>0.04</v>
      </c>
      <c r="D21" s="3">
        <v>0</v>
      </c>
      <c r="E21" s="51">
        <v>0.02</v>
      </c>
      <c r="R21" s="3"/>
      <c r="S21" s="3"/>
      <c r="T21" s="7"/>
    </row>
    <row r="22" spans="1:20" x14ac:dyDescent="0.35">
      <c r="A22" s="446" t="s">
        <v>21</v>
      </c>
      <c r="B22" s="3">
        <v>4.8300000000000003E-2</v>
      </c>
      <c r="C22" s="3">
        <v>1.83E-2</v>
      </c>
      <c r="D22" s="3">
        <v>0.02</v>
      </c>
      <c r="E22" s="51">
        <v>0.01</v>
      </c>
      <c r="R22" s="3"/>
      <c r="S22" s="3"/>
      <c r="T22" s="7"/>
    </row>
    <row r="23" spans="1:20" x14ac:dyDescent="0.35">
      <c r="A23" s="446" t="s">
        <v>31</v>
      </c>
      <c r="B23" s="3">
        <v>4.3999999999999997E-2</v>
      </c>
      <c r="C23" s="3">
        <v>4.3999999999999997E-2</v>
      </c>
      <c r="D23" s="3">
        <v>0</v>
      </c>
      <c r="E23" s="51">
        <v>0</v>
      </c>
      <c r="R23" s="3"/>
      <c r="S23" s="3"/>
      <c r="T23" s="7"/>
    </row>
    <row r="24" spans="1:20" x14ac:dyDescent="0.35">
      <c r="A24" s="446" t="s">
        <v>27</v>
      </c>
      <c r="B24" s="3">
        <v>0.05</v>
      </c>
      <c r="C24" s="3">
        <v>0.01</v>
      </c>
      <c r="D24" s="3">
        <v>2.5000000000000001E-2</v>
      </c>
      <c r="E24" s="51">
        <v>1.4999999999999999E-2</v>
      </c>
      <c r="R24" s="3"/>
      <c r="S24" s="3"/>
      <c r="T24" s="7"/>
    </row>
    <row r="25" spans="1:20" x14ac:dyDescent="0.35">
      <c r="A25" s="447" t="s">
        <v>24</v>
      </c>
      <c r="B25" s="92">
        <v>2.2118122929805063E-2</v>
      </c>
      <c r="C25" s="92">
        <v>1.171875E-2</v>
      </c>
      <c r="D25" s="92">
        <v>1.0399372929805063E-2</v>
      </c>
      <c r="E25" s="53">
        <v>0</v>
      </c>
      <c r="R25" s="3"/>
      <c r="S25" s="3"/>
      <c r="T25" s="7"/>
    </row>
    <row r="26" spans="1:20" x14ac:dyDescent="0.35">
      <c r="A26" s="446" t="s">
        <v>125</v>
      </c>
      <c r="B26" s="7">
        <v>0.10233377817950146</v>
      </c>
      <c r="C26" s="7">
        <v>7.2571293009264876E-2</v>
      </c>
      <c r="D26" s="7">
        <v>2.0959852726491635E-2</v>
      </c>
      <c r="E26" s="7">
        <v>8.8026324437449205E-3</v>
      </c>
      <c r="R26" s="3"/>
      <c r="S26" s="3"/>
      <c r="T26" s="7"/>
    </row>
    <row r="27" spans="1:20" x14ac:dyDescent="0.35">
      <c r="R27" s="3"/>
      <c r="S27" s="3"/>
      <c r="T27" s="7"/>
    </row>
    <row r="28" spans="1:20" x14ac:dyDescent="0.35">
      <c r="P28" s="768"/>
      <c r="Q28" s="768"/>
    </row>
    <row r="30" spans="1:20" x14ac:dyDescent="0.35">
      <c r="B30" s="22"/>
      <c r="C30" s="457" t="s">
        <v>76</v>
      </c>
      <c r="D30" s="457" t="s">
        <v>77</v>
      </c>
      <c r="E30" s="457" t="s">
        <v>192</v>
      </c>
    </row>
    <row r="31" spans="1:20" x14ac:dyDescent="0.35">
      <c r="A31" s="457" t="s">
        <v>14</v>
      </c>
      <c r="B31" s="769">
        <v>2013</v>
      </c>
      <c r="C31" s="770">
        <v>0.16232336510023002</v>
      </c>
      <c r="D31" s="770">
        <v>4.0084635787797446E-2</v>
      </c>
      <c r="E31" s="770">
        <v>1.083E-3</v>
      </c>
    </row>
    <row r="32" spans="1:20" x14ac:dyDescent="0.35">
      <c r="A32" s="771"/>
      <c r="B32" s="769">
        <v>2023</v>
      </c>
      <c r="C32" s="767">
        <v>0.16232336510023004</v>
      </c>
      <c r="D32" s="767">
        <v>4.0492380303046319E-2</v>
      </c>
      <c r="E32" s="767">
        <v>1.0821557673348669E-3</v>
      </c>
    </row>
    <row r="33" spans="1:5" x14ac:dyDescent="0.35">
      <c r="A33" s="457" t="s">
        <v>28</v>
      </c>
      <c r="B33" s="769">
        <v>2013</v>
      </c>
      <c r="C33" s="759">
        <v>0.1</v>
      </c>
      <c r="D33" s="759">
        <v>7.0000000000000007E-2</v>
      </c>
      <c r="E33" s="759">
        <v>2.0799999999999999E-2</v>
      </c>
    </row>
    <row r="34" spans="1:5" x14ac:dyDescent="0.35">
      <c r="A34" s="771"/>
      <c r="B34" s="769">
        <v>2023</v>
      </c>
      <c r="C34" s="767">
        <v>0.1</v>
      </c>
      <c r="D34" s="767">
        <v>7.0000000000000007E-2</v>
      </c>
      <c r="E34" s="767">
        <v>2.1000000000000001E-2</v>
      </c>
    </row>
    <row r="35" spans="1:5" x14ac:dyDescent="0.35">
      <c r="A35" s="457" t="s">
        <v>11</v>
      </c>
      <c r="B35" s="769">
        <v>2013</v>
      </c>
      <c r="C35" s="759">
        <v>0.11904109589041093</v>
      </c>
      <c r="D35" s="759">
        <v>6.4931506849315049E-2</v>
      </c>
      <c r="E35" s="759">
        <v>0</v>
      </c>
    </row>
    <row r="36" spans="1:5" x14ac:dyDescent="0.35">
      <c r="A36" s="771"/>
      <c r="B36" s="769">
        <v>2023</v>
      </c>
      <c r="C36" s="767">
        <v>0.11903713440683537</v>
      </c>
      <c r="D36" s="767">
        <v>6.4929346040092026E-2</v>
      </c>
      <c r="E36" s="767">
        <v>0</v>
      </c>
    </row>
    <row r="37" spans="1:5" x14ac:dyDescent="0.35">
      <c r="A37" s="457" t="s">
        <v>16</v>
      </c>
      <c r="B37" s="769">
        <v>2013</v>
      </c>
      <c r="C37" s="759">
        <v>0.13</v>
      </c>
      <c r="D37" s="759"/>
      <c r="E37" s="759">
        <v>0</v>
      </c>
    </row>
    <row r="38" spans="1:5" x14ac:dyDescent="0.35">
      <c r="A38" s="771"/>
      <c r="B38" s="769">
        <v>2023</v>
      </c>
      <c r="C38" s="767">
        <v>0.15136049950706543</v>
      </c>
      <c r="D38" s="767">
        <v>0</v>
      </c>
      <c r="E38" s="767">
        <v>0</v>
      </c>
    </row>
    <row r="39" spans="1:5" x14ac:dyDescent="0.35">
      <c r="A39" s="457" t="s">
        <v>13</v>
      </c>
      <c r="B39" s="769">
        <v>2013</v>
      </c>
      <c r="C39" s="759">
        <v>0.12709999999999999</v>
      </c>
      <c r="D39" s="759">
        <v>0</v>
      </c>
      <c r="E39" s="759">
        <v>0</v>
      </c>
    </row>
    <row r="40" spans="1:5" x14ac:dyDescent="0.35">
      <c r="A40" s="771"/>
      <c r="B40" s="769">
        <v>2023</v>
      </c>
      <c r="C40" s="767">
        <v>0.12709999999999999</v>
      </c>
      <c r="D40" s="767">
        <v>0</v>
      </c>
      <c r="E40" s="767">
        <v>0</v>
      </c>
    </row>
    <row r="41" spans="1:5" x14ac:dyDescent="0.35">
      <c r="A41" s="457" t="s">
        <v>19</v>
      </c>
      <c r="B41" s="769">
        <v>2013</v>
      </c>
      <c r="C41" s="759">
        <v>9.8458904109589032E-2</v>
      </c>
      <c r="D41" s="759">
        <v>1.0958904109589039E-2</v>
      </c>
      <c r="E41" s="759">
        <v>1.3527397260273974E-2</v>
      </c>
    </row>
    <row r="42" spans="1:5" x14ac:dyDescent="0.35">
      <c r="A42" s="771"/>
      <c r="B42" s="769">
        <v>2023</v>
      </c>
      <c r="C42" s="767">
        <v>9.8541666666666652E-2</v>
      </c>
      <c r="D42" s="767">
        <v>5.0000000000000001E-3</v>
      </c>
      <c r="E42" s="767">
        <v>1.3526947091685837E-2</v>
      </c>
    </row>
    <row r="43" spans="1:5" x14ac:dyDescent="0.35">
      <c r="A43" s="457" t="s">
        <v>17</v>
      </c>
      <c r="B43" s="769">
        <v>2013</v>
      </c>
      <c r="C43" s="759">
        <v>7.4510817261692439E-2</v>
      </c>
      <c r="D43" s="759">
        <v>0</v>
      </c>
      <c r="E43" s="759">
        <v>3.1532439232734299E-2</v>
      </c>
    </row>
    <row r="44" spans="1:5" x14ac:dyDescent="0.35">
      <c r="A44" s="771"/>
      <c r="B44" s="769">
        <v>2023</v>
      </c>
      <c r="C44" s="767">
        <v>7.1855142951035178E-2</v>
      </c>
      <c r="D44" s="767">
        <v>0</v>
      </c>
      <c r="E44" s="767">
        <v>3.0408577062109768E-2</v>
      </c>
    </row>
    <row r="45" spans="1:5" x14ac:dyDescent="0.35">
      <c r="A45" s="457" t="s">
        <v>18</v>
      </c>
      <c r="B45" s="769">
        <v>2013</v>
      </c>
      <c r="C45" s="759">
        <v>2.889452054794521E-2</v>
      </c>
      <c r="D45" s="759">
        <v>5.9520547945205476E-2</v>
      </c>
      <c r="E45" s="759">
        <v>1.0821917808219178E-2</v>
      </c>
    </row>
    <row r="46" spans="1:5" x14ac:dyDescent="0.35">
      <c r="A46" s="771"/>
      <c r="B46" s="769">
        <v>2023</v>
      </c>
      <c r="C46" s="767">
        <v>5.6272099901413089E-2</v>
      </c>
      <c r="D46" s="767">
        <v>5.9518567203417687E-2</v>
      </c>
      <c r="E46" s="767">
        <v>1.0821557673348671E-2</v>
      </c>
    </row>
    <row r="47" spans="1:5" x14ac:dyDescent="0.35">
      <c r="A47" s="457" t="s">
        <v>12</v>
      </c>
      <c r="B47" s="769">
        <v>2013</v>
      </c>
      <c r="C47" s="759">
        <v>9.7397260273972608E-2</v>
      </c>
      <c r="D47" s="759"/>
      <c r="E47" s="759">
        <v>0</v>
      </c>
    </row>
    <row r="48" spans="1:5" x14ac:dyDescent="0.35">
      <c r="A48" s="771"/>
      <c r="B48" s="769">
        <v>2023</v>
      </c>
      <c r="C48" s="767">
        <v>9.7394019060138018E-2</v>
      </c>
      <c r="D48" s="767">
        <v>0</v>
      </c>
      <c r="E48" s="767">
        <v>0</v>
      </c>
    </row>
    <row r="49" spans="1:5" x14ac:dyDescent="0.35">
      <c r="A49" s="457" t="s">
        <v>20</v>
      </c>
      <c r="B49" s="769">
        <v>2013</v>
      </c>
      <c r="C49" s="759">
        <v>9.7397260273972594E-2</v>
      </c>
      <c r="D49" s="759">
        <v>0</v>
      </c>
      <c r="E49" s="759">
        <v>0</v>
      </c>
    </row>
    <row r="50" spans="1:5" x14ac:dyDescent="0.35">
      <c r="A50" s="771"/>
      <c r="B50" s="769">
        <v>2023</v>
      </c>
      <c r="C50" s="767">
        <v>9.7394019060138018E-2</v>
      </c>
      <c r="D50" s="767">
        <v>0</v>
      </c>
      <c r="E50" s="767">
        <v>0</v>
      </c>
    </row>
    <row r="51" spans="1:5" x14ac:dyDescent="0.35">
      <c r="A51" s="457" t="s">
        <v>25</v>
      </c>
      <c r="B51" s="769">
        <v>2013</v>
      </c>
      <c r="C51" s="759">
        <v>6.25E-2</v>
      </c>
      <c r="D51" s="759">
        <v>0.03</v>
      </c>
      <c r="E51" s="759">
        <v>0</v>
      </c>
    </row>
    <row r="52" spans="1:5" x14ac:dyDescent="0.35">
      <c r="A52" s="771"/>
      <c r="B52" s="769">
        <v>2023</v>
      </c>
      <c r="C52" s="767">
        <v>7.2499999999999995E-2</v>
      </c>
      <c r="D52" s="767">
        <v>0.03</v>
      </c>
      <c r="E52" s="767">
        <v>0</v>
      </c>
    </row>
    <row r="53" spans="1:5" x14ac:dyDescent="0.35">
      <c r="A53" s="457" t="s">
        <v>15</v>
      </c>
      <c r="B53" s="769">
        <v>2013</v>
      </c>
      <c r="C53" s="759">
        <v>0.04</v>
      </c>
      <c r="D53" s="759">
        <v>0.04</v>
      </c>
      <c r="E53" s="759">
        <v>0</v>
      </c>
    </row>
    <row r="54" spans="1:5" x14ac:dyDescent="0.35">
      <c r="A54" s="771"/>
      <c r="B54" s="769">
        <v>2023</v>
      </c>
      <c r="C54" s="767">
        <v>0.04</v>
      </c>
      <c r="D54" s="767">
        <v>0.04</v>
      </c>
      <c r="E54" s="767">
        <v>0</v>
      </c>
    </row>
    <row r="55" spans="1:5" x14ac:dyDescent="0.35">
      <c r="A55" s="457" t="s">
        <v>29</v>
      </c>
      <c r="B55" s="769">
        <v>2013</v>
      </c>
      <c r="C55" s="759">
        <v>2.5000000000000001E-2</v>
      </c>
      <c r="D55" s="759"/>
      <c r="E55" s="759">
        <v>4.1937500000000003E-2</v>
      </c>
    </row>
    <row r="56" spans="1:5" x14ac:dyDescent="0.35">
      <c r="A56" s="771"/>
      <c r="B56" s="769">
        <v>2023</v>
      </c>
      <c r="C56" s="767">
        <v>0.03</v>
      </c>
      <c r="D56" s="767">
        <v>0</v>
      </c>
      <c r="E56" s="767">
        <v>0.04</v>
      </c>
    </row>
    <row r="57" spans="1:5" x14ac:dyDescent="0.35">
      <c r="A57" s="457" t="s">
        <v>26</v>
      </c>
      <c r="B57" s="769">
        <v>2013</v>
      </c>
      <c r="C57" s="759">
        <v>3.1058904109589044E-2</v>
      </c>
      <c r="D57" s="759">
        <v>3.2898630136986302E-2</v>
      </c>
      <c r="E57" s="759">
        <v>5.4109589041095895E-4</v>
      </c>
    </row>
    <row r="58" spans="1:5" x14ac:dyDescent="0.35">
      <c r="A58" s="771"/>
      <c r="B58" s="769">
        <v>2023</v>
      </c>
      <c r="C58" s="767">
        <v>3.1057870522510678E-2</v>
      </c>
      <c r="D58" s="767">
        <v>3.2897535326979956E-2</v>
      </c>
      <c r="E58" s="767">
        <v>5.4107788366743355E-3</v>
      </c>
    </row>
    <row r="59" spans="1:5" x14ac:dyDescent="0.35">
      <c r="A59" s="457" t="s">
        <v>22</v>
      </c>
      <c r="B59" s="769">
        <v>2013</v>
      </c>
      <c r="C59" s="759">
        <v>0.04</v>
      </c>
      <c r="D59" s="759">
        <v>0.02</v>
      </c>
      <c r="E59" s="759">
        <v>0</v>
      </c>
    </row>
    <row r="60" spans="1:5" x14ac:dyDescent="0.35">
      <c r="A60" s="771"/>
      <c r="B60" s="769">
        <v>2023</v>
      </c>
      <c r="C60" s="767">
        <v>0.04</v>
      </c>
      <c r="D60" s="767">
        <v>0</v>
      </c>
      <c r="E60" s="767">
        <v>0.01</v>
      </c>
    </row>
    <row r="61" spans="1:5" x14ac:dyDescent="0.35">
      <c r="A61" s="457" t="s">
        <v>21</v>
      </c>
      <c r="B61" s="769">
        <v>2013</v>
      </c>
      <c r="C61" s="759">
        <v>1.83E-2</v>
      </c>
      <c r="D61" s="759">
        <v>0.02</v>
      </c>
      <c r="E61" s="759">
        <v>0.01</v>
      </c>
    </row>
    <row r="62" spans="1:5" x14ac:dyDescent="0.35">
      <c r="A62" s="771"/>
      <c r="B62" s="769">
        <v>2023</v>
      </c>
      <c r="C62" s="767">
        <v>1.83E-2</v>
      </c>
      <c r="D62" s="767">
        <v>0.02</v>
      </c>
      <c r="E62" s="767">
        <v>0.01</v>
      </c>
    </row>
    <row r="63" spans="1:5" x14ac:dyDescent="0.35">
      <c r="A63" s="457" t="s">
        <v>31</v>
      </c>
      <c r="B63" s="769">
        <v>2013</v>
      </c>
      <c r="C63" s="759">
        <v>4.5308415327465018E-2</v>
      </c>
      <c r="D63" s="759">
        <v>0</v>
      </c>
      <c r="E63" s="759">
        <v>0</v>
      </c>
    </row>
    <row r="64" spans="1:5" x14ac:dyDescent="0.35">
      <c r="A64" s="771"/>
      <c r="B64" s="769">
        <v>2023</v>
      </c>
      <c r="C64" s="767">
        <v>4.3999999999999997E-2</v>
      </c>
      <c r="D64" s="767">
        <v>0</v>
      </c>
      <c r="E64" s="767">
        <v>0</v>
      </c>
    </row>
    <row r="65" spans="1:18" x14ac:dyDescent="0.35">
      <c r="A65" s="457" t="s">
        <v>27</v>
      </c>
      <c r="B65" s="769">
        <v>2013</v>
      </c>
      <c r="C65" s="759">
        <v>7.3019290620851404E-3</v>
      </c>
      <c r="D65" s="759">
        <v>1.8254822655212853E-2</v>
      </c>
      <c r="E65" s="759">
        <v>1.0952893593127712E-2</v>
      </c>
    </row>
    <row r="66" spans="1:18" x14ac:dyDescent="0.35">
      <c r="A66" s="771"/>
      <c r="B66" s="769">
        <v>2023</v>
      </c>
      <c r="C66" s="767">
        <v>0.01</v>
      </c>
      <c r="D66" s="767">
        <v>2.5000000000000001E-2</v>
      </c>
      <c r="E66" s="767">
        <v>1.4999999999999999E-2</v>
      </c>
    </row>
    <row r="67" spans="1:18" x14ac:dyDescent="0.35">
      <c r="A67" s="455" t="s">
        <v>24</v>
      </c>
      <c r="B67" s="448">
        <v>2013</v>
      </c>
      <c r="C67" s="753">
        <v>0</v>
      </c>
      <c r="D67" s="753">
        <v>1.022262058886925E-2</v>
      </c>
      <c r="E67" s="753">
        <v>0</v>
      </c>
    </row>
    <row r="68" spans="1:18" x14ac:dyDescent="0.35">
      <c r="A68" s="760"/>
      <c r="B68" s="448">
        <v>2023</v>
      </c>
      <c r="C68" s="753">
        <v>1.171875E-2</v>
      </c>
      <c r="D68" s="753">
        <v>1.0399372929805063E-2</v>
      </c>
      <c r="E68" s="753">
        <v>0</v>
      </c>
    </row>
    <row r="69" spans="1:18" x14ac:dyDescent="0.35">
      <c r="A69" s="733" t="s">
        <v>125</v>
      </c>
      <c r="B69" s="733">
        <v>2013</v>
      </c>
      <c r="C69" s="770">
        <v>6.8204814967189872E-2</v>
      </c>
      <c r="D69" s="770">
        <v>2.6598290978332481E-2</v>
      </c>
      <c r="E69" s="770">
        <v>7.4313812518297965E-3</v>
      </c>
    </row>
    <row r="70" spans="1:18" x14ac:dyDescent="0.35">
      <c r="A70" s="733"/>
      <c r="B70" s="733">
        <v>2023</v>
      </c>
      <c r="C70" s="770">
        <v>7.2571293009264876E-2</v>
      </c>
      <c r="D70" s="770">
        <v>2.0959852726491635E-2</v>
      </c>
      <c r="E70" s="770">
        <v>8.276316654271235E-3</v>
      </c>
      <c r="R70" s="2"/>
    </row>
    <row r="71" spans="1:18" x14ac:dyDescent="0.35">
      <c r="R71" s="2"/>
    </row>
  </sheetData>
  <sortState xmlns:xlrd2="http://schemas.microsoft.com/office/spreadsheetml/2017/richdata2" ref="M10:Q28">
    <sortCondition descending="1" ref="N10:N28"/>
  </sortState>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U132"/>
  <sheetViews>
    <sheetView showGridLines="0" zoomScale="56" zoomScaleNormal="57" workbookViewId="0">
      <selection activeCell="Q57" sqref="Q57"/>
    </sheetView>
  </sheetViews>
  <sheetFormatPr defaultColWidth="9.1796875" defaultRowHeight="14.5" x14ac:dyDescent="0.35"/>
  <cols>
    <col min="1" max="1" width="28.90625" customWidth="1"/>
    <col min="2" max="2" width="12.54296875" customWidth="1"/>
    <col min="3" max="3" width="14.54296875" customWidth="1"/>
    <col min="4" max="4" width="13.81640625" customWidth="1"/>
    <col min="5" max="5" width="10.54296875" customWidth="1"/>
    <col min="6" max="6" width="12.1796875" customWidth="1"/>
    <col min="7" max="7" width="12.36328125" customWidth="1"/>
    <col min="8" max="8" width="10.54296875" customWidth="1"/>
    <col min="9" max="9" width="10.54296875" style="482" customWidth="1"/>
    <col min="10" max="10" width="17.6328125" style="482" customWidth="1"/>
    <col min="11" max="11" width="12.54296875" style="482" customWidth="1"/>
    <col min="12" max="12" width="12.36328125" style="482" customWidth="1"/>
    <col min="13" max="13" width="13.90625" style="482" customWidth="1"/>
    <col min="14" max="14" width="10.54296875" customWidth="1"/>
    <col min="15" max="15" width="17.54296875" customWidth="1"/>
    <col min="16" max="21" width="10.54296875" customWidth="1"/>
  </cols>
  <sheetData>
    <row r="1" spans="1:21" ht="15" x14ac:dyDescent="0.35">
      <c r="A1" s="58" t="s">
        <v>193</v>
      </c>
    </row>
    <row r="2" spans="1:21" x14ac:dyDescent="0.35">
      <c r="A2" t="s">
        <v>165</v>
      </c>
    </row>
    <row r="3" spans="1:21" hidden="1" x14ac:dyDescent="0.35">
      <c r="B3" t="s">
        <v>11</v>
      </c>
      <c r="C3" t="s">
        <v>13</v>
      </c>
      <c r="D3" t="s">
        <v>12</v>
      </c>
      <c r="E3" t="s">
        <v>28</v>
      </c>
      <c r="F3" t="s">
        <v>15</v>
      </c>
      <c r="G3" t="s">
        <v>18</v>
      </c>
      <c r="H3" t="s">
        <v>17</v>
      </c>
      <c r="I3" s="482" t="s">
        <v>21</v>
      </c>
      <c r="J3" s="482" t="s">
        <v>27</v>
      </c>
      <c r="K3" s="482" t="s">
        <v>24</v>
      </c>
      <c r="L3" s="482" t="s">
        <v>29</v>
      </c>
      <c r="M3" s="482" t="s">
        <v>23</v>
      </c>
      <c r="N3" t="s">
        <v>19</v>
      </c>
      <c r="O3" t="s">
        <v>16</v>
      </c>
      <c r="P3" t="s">
        <v>20</v>
      </c>
      <c r="Q3" t="s">
        <v>26</v>
      </c>
      <c r="R3" t="s">
        <v>25</v>
      </c>
      <c r="S3" t="s">
        <v>31</v>
      </c>
      <c r="T3" t="s">
        <v>14</v>
      </c>
      <c r="U3" t="s">
        <v>22</v>
      </c>
    </row>
    <row r="4" spans="1:21" hidden="1" x14ac:dyDescent="0.35">
      <c r="A4" t="s">
        <v>166</v>
      </c>
      <c r="B4" s="29">
        <v>51981.66618883748</v>
      </c>
      <c r="C4" s="29">
        <v>13399.558925638197</v>
      </c>
      <c r="D4" s="29">
        <v>31854.20927605778</v>
      </c>
      <c r="E4" s="29">
        <v>48876.098568060908</v>
      </c>
      <c r="F4" s="29">
        <v>27978.629828159494</v>
      </c>
      <c r="G4" s="29">
        <v>32573.579999449135</v>
      </c>
      <c r="H4" s="29">
        <v>23817.328246283825</v>
      </c>
      <c r="I4" s="562">
        <v>17578.982060432587</v>
      </c>
      <c r="J4" s="562">
        <v>11887.30867229441</v>
      </c>
      <c r="K4" s="562">
        <v>39897.407089304121</v>
      </c>
      <c r="L4" s="562">
        <v>21078.640412240045</v>
      </c>
      <c r="M4" s="562">
        <v>11153.537145024622</v>
      </c>
      <c r="N4" s="29">
        <v>41758.326275234329</v>
      </c>
      <c r="O4" s="29">
        <v>22374.300986377995</v>
      </c>
      <c r="P4" s="29">
        <v>18500.406599785332</v>
      </c>
      <c r="Q4" s="29">
        <v>32257.388273899738</v>
      </c>
      <c r="R4" s="29">
        <v>19369.410535282801</v>
      </c>
      <c r="S4" s="29">
        <v>69279.42526894639</v>
      </c>
      <c r="T4" s="29">
        <v>41717.517890633171</v>
      </c>
      <c r="U4" s="29">
        <v>43705.439247906645</v>
      </c>
    </row>
    <row r="5" spans="1:21" hidden="1" x14ac:dyDescent="0.35">
      <c r="A5" t="s">
        <v>89</v>
      </c>
      <c r="B5" s="29">
        <v>3.6579999999999999</v>
      </c>
      <c r="C5" s="29">
        <v>3.2309999999999999</v>
      </c>
      <c r="D5" s="29">
        <v>1.6459999999999999</v>
      </c>
      <c r="E5" s="29">
        <v>346.63400000000001</v>
      </c>
      <c r="F5" s="29">
        <v>1175.5250000000001</v>
      </c>
      <c r="G5" s="29">
        <v>362.64100000000002</v>
      </c>
      <c r="H5" s="29">
        <v>0.55000000000000004</v>
      </c>
      <c r="I5" s="562">
        <v>3.742</v>
      </c>
      <c r="J5" s="562">
        <v>10.058</v>
      </c>
      <c r="K5" s="562">
        <v>7.7889999999999997</v>
      </c>
      <c r="L5" s="562">
        <v>56.567</v>
      </c>
      <c r="M5" s="562">
        <v>9.3789999999999996</v>
      </c>
      <c r="N5" s="29">
        <v>0.59199999999999997</v>
      </c>
      <c r="O5" s="29">
        <v>1.5229999999999999</v>
      </c>
      <c r="P5" s="29">
        <v>2273.096</v>
      </c>
      <c r="Q5" s="29">
        <v>20.154</v>
      </c>
      <c r="R5" s="29">
        <v>0.49299999999999999</v>
      </c>
      <c r="S5" s="29">
        <v>3.839</v>
      </c>
      <c r="T5" s="29">
        <v>17.292999999999999</v>
      </c>
      <c r="U5" s="29">
        <v>3.9550000000000001</v>
      </c>
    </row>
    <row r="6" spans="1:21" hidden="1" x14ac:dyDescent="0.35">
      <c r="A6" t="s">
        <v>167</v>
      </c>
      <c r="B6" s="29">
        <v>10593.231017632586</v>
      </c>
      <c r="C6" s="29">
        <v>4456.8245125348194</v>
      </c>
      <c r="D6" s="29">
        <v>4942.891859052248</v>
      </c>
      <c r="E6" s="29">
        <v>7269.9158189906357</v>
      </c>
      <c r="F6" s="29">
        <v>6017.7367559175682</v>
      </c>
      <c r="G6" s="29">
        <v>9332.9173480108402</v>
      </c>
      <c r="H6" s="29">
        <v>6938.181818181818</v>
      </c>
      <c r="I6" s="562">
        <v>7578.5676109032602</v>
      </c>
      <c r="J6" s="562">
        <v>8077.2618810896802</v>
      </c>
      <c r="K6" s="562">
        <v>2780.8385749333997</v>
      </c>
      <c r="L6" s="562">
        <v>4560.9631056976687</v>
      </c>
      <c r="M6" s="562">
        <v>4864.2643291087179</v>
      </c>
      <c r="N6" s="29">
        <v>9324.3243243243251</v>
      </c>
      <c r="O6" s="29">
        <v>5909.389363099147</v>
      </c>
      <c r="P6" s="29">
        <v>8754.0447037872582</v>
      </c>
      <c r="Q6" s="29">
        <v>4096.4572789520689</v>
      </c>
      <c r="R6" s="29">
        <v>4596.3488843813384</v>
      </c>
      <c r="S6" s="29">
        <v>6772.6074498567341</v>
      </c>
      <c r="T6" s="29">
        <v>5495.8653790551089</v>
      </c>
      <c r="U6" s="29">
        <v>8225.2844500632109</v>
      </c>
    </row>
    <row r="7" spans="1:21" hidden="1" x14ac:dyDescent="0.35">
      <c r="B7" s="29"/>
      <c r="C7" s="29"/>
      <c r="D7" s="29"/>
      <c r="E7" s="29"/>
      <c r="F7" s="29"/>
      <c r="G7" s="29"/>
      <c r="H7" s="29"/>
      <c r="I7" s="562"/>
      <c r="J7" s="562"/>
      <c r="K7" s="562"/>
      <c r="L7" s="562"/>
      <c r="M7" s="562"/>
      <c r="N7" s="29"/>
      <c r="O7" s="29"/>
      <c r="P7" s="29"/>
      <c r="Q7" s="29"/>
      <c r="R7" s="29"/>
      <c r="S7" s="29"/>
      <c r="T7" s="29"/>
      <c r="U7" s="29"/>
    </row>
    <row r="8" spans="1:21" hidden="1" x14ac:dyDescent="0.35">
      <c r="A8" t="s">
        <v>60</v>
      </c>
      <c r="B8" s="9">
        <v>0.20378783125476982</v>
      </c>
      <c r="C8" s="9">
        <v>0.33260979240199495</v>
      </c>
      <c r="D8" s="9">
        <v>0.15517232954099469</v>
      </c>
      <c r="E8" s="9">
        <v>0.14874173741316807</v>
      </c>
      <c r="F8" s="30">
        <f>+F6/F4</f>
        <v>0.21508332584110071</v>
      </c>
      <c r="G8" s="9">
        <v>0.28651801085937356</v>
      </c>
      <c r="H8" s="9">
        <v>0.2913081495303475</v>
      </c>
      <c r="I8" s="563">
        <v>0.43111527077335021</v>
      </c>
      <c r="J8" s="563">
        <v>0.6794861733434453</v>
      </c>
      <c r="K8" s="564">
        <f>+K6/K4</f>
        <v>6.9699731832420245E-2</v>
      </c>
      <c r="L8" s="563">
        <v>0.21637842937200005</v>
      </c>
      <c r="M8" s="563">
        <v>0.43611853942482925</v>
      </c>
      <c r="N8" s="9">
        <v>0.22329257793682972</v>
      </c>
      <c r="O8" s="9">
        <v>0.26411503835122818</v>
      </c>
      <c r="P8" s="9">
        <v>0.47318120586002876</v>
      </c>
      <c r="Q8" s="9">
        <v>0.12699283786302734</v>
      </c>
      <c r="R8" s="9">
        <v>0.23729936830079326</v>
      </c>
      <c r="S8" s="9">
        <v>9.7757846915806731E-2</v>
      </c>
      <c r="T8" s="9">
        <v>0.13173998974395107</v>
      </c>
      <c r="U8" s="9">
        <v>0.18819818749349776</v>
      </c>
    </row>
    <row r="9" spans="1:21" hidden="1" x14ac:dyDescent="0.35">
      <c r="A9" s="14" t="s">
        <v>39</v>
      </c>
      <c r="B9" s="9">
        <v>4.0799440462855635E-2</v>
      </c>
      <c r="C9" s="9">
        <v>4.2274704614293557E-2</v>
      </c>
      <c r="D9" s="9">
        <v>1.3434097571220365E-2</v>
      </c>
      <c r="E9" s="9">
        <v>2.8379923498432467E-2</v>
      </c>
      <c r="F9" s="9">
        <v>1.7206666067288059E-2</v>
      </c>
      <c r="G9" s="9">
        <v>2.8433183918747398E-2</v>
      </c>
      <c r="H9" s="9">
        <v>3.2085298120274899E-2</v>
      </c>
      <c r="I9" s="563">
        <v>2.0822867578352815E-2</v>
      </c>
      <c r="J9" s="563">
        <v>3.3974308667172264E-2</v>
      </c>
      <c r="K9" s="563">
        <v>1.7233974788701169E-3</v>
      </c>
      <c r="L9" s="563">
        <v>1.4483831116088251E-2</v>
      </c>
      <c r="M9" s="563">
        <v>2.7257408714051828E-2</v>
      </c>
      <c r="N9" s="9">
        <v>2.7452751876480087E-2</v>
      </c>
      <c r="O9" s="9">
        <v>3.4334954985659666E-2</v>
      </c>
      <c r="P9" s="9">
        <v>4.6086553063901421E-2</v>
      </c>
      <c r="Q9" s="9">
        <v>8.1908640793736717E-3</v>
      </c>
      <c r="R9" s="9">
        <v>2.1950191567823379E-2</v>
      </c>
      <c r="S9" s="9">
        <v>5.4646552354316964E-3</v>
      </c>
      <c r="T9" s="9">
        <v>2.5853972987250395E-2</v>
      </c>
      <c r="U9" s="9">
        <v>1.1291891249609869E-2</v>
      </c>
    </row>
    <row r="10" spans="1:21" hidden="1" x14ac:dyDescent="0.35">
      <c r="A10" t="s">
        <v>40</v>
      </c>
      <c r="B10" s="9">
        <v>2.4259126761697943E-2</v>
      </c>
      <c r="C10" s="9">
        <v>4.2274704614293557E-2</v>
      </c>
      <c r="D10" s="9">
        <v>1.3434097571220365E-2</v>
      </c>
      <c r="E10" s="9">
        <v>1.4874173741316808E-2</v>
      </c>
      <c r="F10" s="9">
        <v>8.6033330336440297E-3</v>
      </c>
      <c r="G10" s="9">
        <v>8.2788005521325578E-3</v>
      </c>
      <c r="H10" s="9">
        <v>2.2544590425251358E-2</v>
      </c>
      <c r="I10" s="563">
        <v>7.8894094551523099E-3</v>
      </c>
      <c r="J10" s="563">
        <v>6.7948617334344531E-3</v>
      </c>
      <c r="K10" s="563">
        <v>1.2698718265358757E-3</v>
      </c>
      <c r="L10" s="563">
        <v>5.4094607343000006E-3</v>
      </c>
      <c r="M10" s="563">
        <v>1.7444741576993172E-2</v>
      </c>
      <c r="N10" s="9">
        <v>2.1985142519465251E-2</v>
      </c>
      <c r="O10" s="9">
        <v>3.4334954985659666E-2</v>
      </c>
      <c r="P10" s="9">
        <v>4.6086553063901421E-2</v>
      </c>
      <c r="Q10" s="9">
        <v>3.9442583737923547E-3</v>
      </c>
      <c r="R10" s="9">
        <v>1.4831210518799579E-2</v>
      </c>
      <c r="S10" s="9">
        <v>3.8516532428624121E-3</v>
      </c>
      <c r="T10" s="9">
        <v>1.9760998461592662E-2</v>
      </c>
      <c r="U10" s="9">
        <v>7.527927499739912E-3</v>
      </c>
    </row>
    <row r="11" spans="1:21" hidden="1" x14ac:dyDescent="0.35">
      <c r="A11" t="s">
        <v>41</v>
      </c>
      <c r="B11" s="9">
        <v>1.6540313701157688E-2</v>
      </c>
      <c r="C11" s="9"/>
      <c r="D11" s="9"/>
      <c r="E11" s="9">
        <v>1.0411921618921766E-2</v>
      </c>
      <c r="F11" s="9">
        <v>8.6033330336440297E-3</v>
      </c>
      <c r="G11" s="9">
        <v>1.7053709002520248E-2</v>
      </c>
      <c r="H11" s="9">
        <v>0</v>
      </c>
      <c r="I11" s="563">
        <v>8.6223054154670048E-3</v>
      </c>
      <c r="J11" s="563">
        <v>1.6987154333586132E-2</v>
      </c>
      <c r="K11" s="563">
        <v>4.5352565233424134E-4</v>
      </c>
      <c r="L11" s="563">
        <v>0</v>
      </c>
      <c r="M11" s="563">
        <v>9.812667137058655E-3</v>
      </c>
      <c r="N11" s="9">
        <v>2.447041949992654E-3</v>
      </c>
      <c r="O11" s="9"/>
      <c r="P11" s="9"/>
      <c r="Q11" s="9">
        <v>4.177890402902007E-3</v>
      </c>
      <c r="R11" s="9">
        <v>7.1189810490237988E-3</v>
      </c>
      <c r="S11" s="9">
        <v>1.6130019925692839E-3</v>
      </c>
      <c r="T11" s="9">
        <v>5.9282995384777968E-3</v>
      </c>
      <c r="U11" s="9">
        <v>0</v>
      </c>
    </row>
    <row r="12" spans="1:21" hidden="1" x14ac:dyDescent="0.35">
      <c r="A12" t="s">
        <v>42</v>
      </c>
      <c r="B12" s="9"/>
      <c r="C12" s="9"/>
      <c r="D12" s="9"/>
      <c r="E12" s="9">
        <v>8.924504244790084E-4</v>
      </c>
      <c r="F12" s="9"/>
      <c r="G12" s="9">
        <v>0</v>
      </c>
      <c r="H12" s="9">
        <v>6.7905392847142643E-3</v>
      </c>
      <c r="I12" s="563">
        <v>4.3111527077335024E-3</v>
      </c>
      <c r="J12" s="563">
        <v>0</v>
      </c>
      <c r="K12" s="563">
        <v>0</v>
      </c>
      <c r="L12" s="563">
        <v>0</v>
      </c>
      <c r="M12" s="563">
        <v>0</v>
      </c>
      <c r="N12" s="9">
        <v>0</v>
      </c>
      <c r="O12" s="9"/>
      <c r="P12" s="9"/>
      <c r="Q12" s="9">
        <v>0</v>
      </c>
      <c r="R12" s="9">
        <v>0</v>
      </c>
      <c r="S12" s="9"/>
      <c r="T12" s="9">
        <v>0</v>
      </c>
      <c r="U12" s="9">
        <v>9.40990937467489E-4</v>
      </c>
    </row>
    <row r="13" spans="1:21" hidden="1" x14ac:dyDescent="0.35">
      <c r="A13" t="s">
        <v>43</v>
      </c>
      <c r="B13" s="9"/>
      <c r="C13" s="9"/>
      <c r="D13" s="9"/>
      <c r="E13" s="9">
        <v>2.2013777137148871E-3</v>
      </c>
      <c r="F13" s="9"/>
      <c r="G13" s="9">
        <v>3.1006743640945907E-3</v>
      </c>
      <c r="H13" s="9">
        <v>2.7501684103092773E-3</v>
      </c>
      <c r="I13" s="563">
        <v>0</v>
      </c>
      <c r="J13" s="563">
        <v>1.019229260015168E-2</v>
      </c>
      <c r="K13" s="563">
        <v>0</v>
      </c>
      <c r="L13" s="563">
        <v>9.0743703817882503E-3</v>
      </c>
      <c r="M13" s="563">
        <v>0</v>
      </c>
      <c r="N13" s="9">
        <v>3.0205674070221825E-3</v>
      </c>
      <c r="O13" s="9"/>
      <c r="P13" s="9"/>
      <c r="Q13" s="9">
        <v>6.8715302679309319E-5</v>
      </c>
      <c r="R13" s="9">
        <v>0</v>
      </c>
      <c r="S13" s="9"/>
      <c r="T13" s="9">
        <v>1.6467498717993883E-4</v>
      </c>
      <c r="U13" s="9">
        <v>2.8229728124024673E-3</v>
      </c>
    </row>
    <row r="14" spans="1:21" hidden="1" x14ac:dyDescent="0.35">
      <c r="A14" s="14" t="s">
        <v>44</v>
      </c>
      <c r="B14" s="9">
        <v>5.7339754164013317E-2</v>
      </c>
      <c r="C14" s="9">
        <v>3.8948606690273606E-2</v>
      </c>
      <c r="D14" s="9">
        <v>5.7430767116967055E-2</v>
      </c>
      <c r="E14" s="9">
        <v>6.856994094747047E-3</v>
      </c>
      <c r="F14" s="9">
        <v>5.656102200235083E-2</v>
      </c>
      <c r="G14" s="9">
        <v>8.2090157544191369E-2</v>
      </c>
      <c r="H14" s="9">
        <v>3.7592053031402513E-2</v>
      </c>
      <c r="I14" s="563">
        <v>5.4622304806983484E-2</v>
      </c>
      <c r="J14" s="563">
        <v>1.6987154333586132E-2</v>
      </c>
      <c r="K14" s="563">
        <v>2.6286155851123226E-2</v>
      </c>
      <c r="L14" s="563">
        <v>2.5803127702611003E-2</v>
      </c>
      <c r="M14" s="563">
        <v>7.9218244284564851E-2</v>
      </c>
      <c r="N14" s="9">
        <v>3.5861705657386105E-2</v>
      </c>
      <c r="O14" s="9">
        <v>4.744386472249229E-2</v>
      </c>
      <c r="P14" s="9">
        <v>7.6810921773169061E-2</v>
      </c>
      <c r="Q14" s="9">
        <v>2.2524876218277593E-2</v>
      </c>
      <c r="R14" s="9">
        <v>3.618815366587097E-2</v>
      </c>
      <c r="S14" s="9">
        <v>7.7033064857248241E-3</v>
      </c>
      <c r="T14" s="9">
        <v>2.5722232997506447E-2</v>
      </c>
      <c r="U14" s="9">
        <v>2.9645919484913238E-2</v>
      </c>
    </row>
    <row r="15" spans="1:21" hidden="1" x14ac:dyDescent="0.35">
      <c r="A15" t="s">
        <v>40</v>
      </c>
      <c r="B15" s="9">
        <v>2.2428665378769821E-2</v>
      </c>
      <c r="C15" s="9">
        <v>0</v>
      </c>
      <c r="D15" s="9">
        <v>3.3585243928050908E-2</v>
      </c>
      <c r="E15" s="9"/>
      <c r="F15" s="9">
        <v>2.7931368890049789E-2</v>
      </c>
      <c r="G15" s="9">
        <v>1.9906329417487271E-2</v>
      </c>
      <c r="H15" s="9">
        <v>1.052533589130711E-2</v>
      </c>
      <c r="I15" s="563">
        <v>1.5821930437381955E-2</v>
      </c>
      <c r="J15" s="563">
        <v>0</v>
      </c>
      <c r="K15" s="563">
        <v>5.0069232017700251E-3</v>
      </c>
      <c r="L15" s="563">
        <v>5.4094607343000006E-3</v>
      </c>
      <c r="M15" s="563">
        <v>3.0528297759738046E-2</v>
      </c>
      <c r="N15" s="9">
        <v>1.1462862134496841E-2</v>
      </c>
      <c r="O15" s="9"/>
      <c r="P15" s="9">
        <v>7.1690193654957782E-2</v>
      </c>
      <c r="Q15" s="9">
        <v>9.7575729804619225E-3</v>
      </c>
      <c r="R15" s="9">
        <v>1.6017707360303546E-2</v>
      </c>
      <c r="S15" s="9">
        <v>7.7033064857248241E-3</v>
      </c>
      <c r="T15" s="9">
        <v>9.8804992307963309E-3</v>
      </c>
      <c r="U15" s="9">
        <v>1.6937836874414802E-2</v>
      </c>
    </row>
    <row r="16" spans="1:21" hidden="1" x14ac:dyDescent="0.35">
      <c r="A16" t="s">
        <v>41</v>
      </c>
      <c r="B16" s="9">
        <v>2.3156439181620758E-2</v>
      </c>
      <c r="C16" s="9">
        <v>3.3260979240199495E-2</v>
      </c>
      <c r="D16" s="9"/>
      <c r="E16" s="9"/>
      <c r="F16" s="9">
        <v>0</v>
      </c>
      <c r="G16" s="9">
        <v>2.8681237867874965E-2</v>
      </c>
      <c r="H16" s="9">
        <v>1.9386989657859222E-2</v>
      </c>
      <c r="I16" s="563">
        <v>1.724461083093401E-2</v>
      </c>
      <c r="J16" s="563">
        <v>0</v>
      </c>
      <c r="K16" s="563">
        <v>1.5488617120349608E-2</v>
      </c>
      <c r="L16" s="563">
        <v>0</v>
      </c>
      <c r="M16" s="563">
        <v>2.6167112365489749E-2</v>
      </c>
      <c r="N16" s="9">
        <v>1.9836333807127952E-2</v>
      </c>
      <c r="O16" s="9">
        <v>2.3770353451610535E-2</v>
      </c>
      <c r="P16" s="9">
        <v>0</v>
      </c>
      <c r="Q16" s="9">
        <v>9.7438299199260631E-3</v>
      </c>
      <c r="R16" s="9">
        <v>1.7797452622559495E-2</v>
      </c>
      <c r="S16" s="9"/>
      <c r="T16" s="9">
        <v>6.5869994871975536E-3</v>
      </c>
      <c r="U16" s="9">
        <v>0</v>
      </c>
    </row>
    <row r="17" spans="1:21" hidden="1" x14ac:dyDescent="0.35">
      <c r="A17" t="s">
        <v>42</v>
      </c>
      <c r="B17" s="9">
        <v>1.9627838925373791E-3</v>
      </c>
      <c r="C17" s="9">
        <v>5.6876274500741132E-3</v>
      </c>
      <c r="D17" s="9">
        <v>1.6792621964025456E-3</v>
      </c>
      <c r="E17" s="9">
        <v>4.9828482033411302E-3</v>
      </c>
      <c r="F17" s="9">
        <v>1.9319196815617772E-2</v>
      </c>
      <c r="G17" s="9">
        <v>1.0247532528119704E-2</v>
      </c>
      <c r="H17" s="9">
        <v>4.9974644647740431E-3</v>
      </c>
      <c r="I17" s="563">
        <v>1.2933458123200507E-2</v>
      </c>
      <c r="J17" s="563">
        <v>0</v>
      </c>
      <c r="K17" s="563">
        <v>1.4367692665948767E-3</v>
      </c>
      <c r="L17" s="563">
        <v>0</v>
      </c>
      <c r="M17" s="563">
        <v>6.5417780913724372E-3</v>
      </c>
      <c r="N17" s="9">
        <v>9.3782882733468463E-4</v>
      </c>
      <c r="O17" s="9">
        <v>1.6639247416127378E-3</v>
      </c>
      <c r="P17" s="9">
        <v>0</v>
      </c>
      <c r="Q17" s="9">
        <v>1.6491672643034235E-3</v>
      </c>
      <c r="R17" s="9">
        <v>0</v>
      </c>
      <c r="S17" s="9"/>
      <c r="T17" s="9">
        <v>9.0900592923326244E-3</v>
      </c>
      <c r="U17" s="9">
        <v>5.180155110758527E-3</v>
      </c>
    </row>
    <row r="18" spans="1:21" hidden="1" x14ac:dyDescent="0.35">
      <c r="A18" t="s">
        <v>43</v>
      </c>
      <c r="B18" s="9">
        <v>9.7918657110853506E-3</v>
      </c>
      <c r="C18" s="9"/>
      <c r="D18" s="9">
        <v>2.2166260992513599E-2</v>
      </c>
      <c r="E18" s="9">
        <v>1.8741458914059176E-3</v>
      </c>
      <c r="F18" s="9">
        <v>9.3104562966832647E-3</v>
      </c>
      <c r="G18" s="9">
        <v>2.325505773070943E-2</v>
      </c>
      <c r="H18" s="9">
        <v>2.6822630174621349E-3</v>
      </c>
      <c r="I18" s="563">
        <v>8.6223054154670048E-3</v>
      </c>
      <c r="J18" s="563">
        <v>1.6987154333586132E-2</v>
      </c>
      <c r="K18" s="563">
        <v>4.3538462624087169E-3</v>
      </c>
      <c r="L18" s="563">
        <v>2.0393666968311002E-2</v>
      </c>
      <c r="M18" s="563">
        <v>1.5981056067964631E-2</v>
      </c>
      <c r="N18" s="9">
        <v>3.6246808884266191E-3</v>
      </c>
      <c r="O18" s="9">
        <v>2.2009586529269015E-2</v>
      </c>
      <c r="P18" s="9">
        <v>5.1207281182112695E-3</v>
      </c>
      <c r="Q18" s="9">
        <v>1.3743060535861865E-3</v>
      </c>
      <c r="R18" s="9">
        <v>2.3729936830079327E-3</v>
      </c>
      <c r="S18" s="9"/>
      <c r="T18" s="9">
        <v>1.6467498717993883E-4</v>
      </c>
      <c r="U18" s="9">
        <v>7.527927499739912E-3</v>
      </c>
    </row>
    <row r="19" spans="1:21" hidden="1" x14ac:dyDescent="0.35">
      <c r="B19" s="9"/>
      <c r="C19" s="9"/>
      <c r="D19" s="9"/>
      <c r="E19" s="9"/>
      <c r="F19" s="9"/>
      <c r="G19" s="9"/>
      <c r="H19" s="9"/>
      <c r="I19" s="563"/>
      <c r="J19" s="563"/>
      <c r="K19" s="563"/>
      <c r="L19" s="563"/>
      <c r="M19" s="563"/>
      <c r="N19" s="9"/>
      <c r="O19" s="9"/>
      <c r="P19" s="9"/>
      <c r="Q19" s="9"/>
      <c r="R19" s="9"/>
      <c r="S19" s="9"/>
      <c r="T19" s="9"/>
      <c r="U19" s="9"/>
    </row>
    <row r="20" spans="1:21" hidden="1" x14ac:dyDescent="0.35">
      <c r="A20" t="s">
        <v>5</v>
      </c>
      <c r="B20" s="9">
        <v>1.6749684760666014E-2</v>
      </c>
      <c r="C20" s="9">
        <v>5.4675582312656706E-2</v>
      </c>
      <c r="D20" s="9">
        <v>1.275389009925984E-2</v>
      </c>
      <c r="E20" s="9">
        <v>0</v>
      </c>
      <c r="F20" s="9">
        <v>1.7678081575980883E-2</v>
      </c>
      <c r="G20" s="9">
        <v>2.3549425550085497E-2</v>
      </c>
      <c r="H20" s="9">
        <v>4.8218814705365737E-2</v>
      </c>
      <c r="I20" s="563">
        <v>7.0868263688769903E-2</v>
      </c>
      <c r="J20" s="563">
        <v>0.11169635726193622</v>
      </c>
      <c r="K20" s="563">
        <v>2.8643725410583661E-3</v>
      </c>
      <c r="L20" s="563">
        <v>0</v>
      </c>
      <c r="M20" s="563">
        <v>3.584535940478048E-2</v>
      </c>
      <c r="N20" s="9">
        <v>1.8352814624944907E-2</v>
      </c>
      <c r="O20" s="9">
        <v>4.3416170687873124E-2</v>
      </c>
      <c r="P20" s="9">
        <v>3.8891605961098245E-2</v>
      </c>
      <c r="Q20" s="9">
        <v>1.0437767495591287E-2</v>
      </c>
      <c r="R20" s="9">
        <v>9.7520288342791746E-3</v>
      </c>
      <c r="S20" s="9"/>
      <c r="T20" s="9">
        <v>1.0827944362516526E-2</v>
      </c>
      <c r="U20" s="9">
        <v>1.5468344177547761E-2</v>
      </c>
    </row>
    <row r="21" spans="1:21" hidden="1" x14ac:dyDescent="0.35">
      <c r="A21" t="s">
        <v>4</v>
      </c>
      <c r="B21" s="9">
        <v>7.8165195549774712E-3</v>
      </c>
      <c r="C21" s="9">
        <v>1.8225194104218904E-2</v>
      </c>
      <c r="D21" s="9">
        <v>1.7005186799013122E-2</v>
      </c>
      <c r="E21" s="9">
        <v>6.1126741402671809E-3</v>
      </c>
      <c r="F21" s="9">
        <v>8.8390407879904414E-3</v>
      </c>
      <c r="G21" s="9">
        <v>1.0989731923373233E-2</v>
      </c>
      <c r="H21" s="9">
        <v>1.1971567788918391E-2</v>
      </c>
      <c r="I21" s="563">
        <v>1.7717065922192476E-2</v>
      </c>
      <c r="J21" s="563">
        <v>3.7232119087312068E-2</v>
      </c>
      <c r="K21" s="563">
        <v>2.6734143716544752E-3</v>
      </c>
      <c r="L21" s="563">
        <v>8.2994466060493152E-3</v>
      </c>
      <c r="M21" s="563">
        <v>3.584535940478048E-2</v>
      </c>
      <c r="N21" s="9">
        <v>1.8352814624944907E-2</v>
      </c>
      <c r="O21" s="9">
        <v>2.1708085343936562E-2</v>
      </c>
      <c r="P21" s="9">
        <v>1.5556642384439302E-2</v>
      </c>
      <c r="Q21" s="9">
        <v>6.2626604973547734E-3</v>
      </c>
      <c r="R21" s="9">
        <v>1.560324613484668E-2</v>
      </c>
      <c r="S21" s="9">
        <v>3.749616046085738E-3</v>
      </c>
      <c r="T21" s="9">
        <v>7.5795610537615684E-3</v>
      </c>
      <c r="U21" s="9">
        <v>9.7966179791135824E-3</v>
      </c>
    </row>
    <row r="22" spans="1:21" hidden="1" x14ac:dyDescent="0.35">
      <c r="A22" t="s">
        <v>45</v>
      </c>
      <c r="B22" s="9">
        <v>8.3748423803330044E-2</v>
      </c>
      <c r="C22" s="9">
        <v>0.13668895578164175</v>
      </c>
      <c r="D22" s="9">
        <v>2.4487468990578892E-2</v>
      </c>
      <c r="E22" s="9">
        <v>6.1126741402671811E-2</v>
      </c>
      <c r="F22" s="9">
        <v>6.4819632445263217E-2</v>
      </c>
      <c r="G22" s="9">
        <v>8.320797027696876E-2</v>
      </c>
      <c r="H22" s="9">
        <v>0.1197156778891839</v>
      </c>
      <c r="I22" s="563">
        <v>0.17717065922192476</v>
      </c>
      <c r="J22" s="563">
        <v>0.27924089315484057</v>
      </c>
      <c r="K22" s="563">
        <v>3.6282052186739307E-2</v>
      </c>
      <c r="L22" s="563">
        <v>4.1497233030246584E-2</v>
      </c>
      <c r="M22" s="563">
        <v>0.15532989075404877</v>
      </c>
      <c r="N22" s="9">
        <v>7.2799498012281472E-2</v>
      </c>
      <c r="O22" s="9">
        <v>0.1628106400795242</v>
      </c>
      <c r="P22" s="9">
        <v>9.7229014902745631E-2</v>
      </c>
      <c r="Q22" s="9">
        <v>4.0011442066433277E-2</v>
      </c>
      <c r="R22" s="9">
        <v>9.752028834279175E-2</v>
      </c>
      <c r="S22" s="9">
        <v>2.222986655893687E-2</v>
      </c>
      <c r="T22" s="9">
        <v>6.4606734696348603E-2</v>
      </c>
      <c r="U22" s="9">
        <v>7.7341720887738802E-2</v>
      </c>
    </row>
    <row r="23" spans="1:21" hidden="1" x14ac:dyDescent="0.35">
      <c r="A23" t="s">
        <v>46</v>
      </c>
      <c r="B23" s="9">
        <v>3.3499369521332027E-2</v>
      </c>
      <c r="C23" s="9">
        <v>8.2013373468985046E-2</v>
      </c>
      <c r="D23" s="9">
        <v>1.7855446138963778E-2</v>
      </c>
      <c r="E23" s="9">
        <v>1.2225348280534362E-2</v>
      </c>
      <c r="F23" s="9">
        <v>4.4195203939952207E-3</v>
      </c>
      <c r="G23" s="9">
        <v>2.3549425550085497E-2</v>
      </c>
      <c r="H23" s="9">
        <v>0</v>
      </c>
      <c r="I23" s="563">
        <v>0</v>
      </c>
      <c r="J23" s="563">
        <v>5.5848178630968109E-2</v>
      </c>
      <c r="K23" s="563">
        <v>0</v>
      </c>
      <c r="L23" s="563">
        <v>1.659889321209863E-2</v>
      </c>
      <c r="M23" s="563">
        <v>0</v>
      </c>
      <c r="N23" s="9">
        <v>0</v>
      </c>
      <c r="O23" s="9">
        <v>0</v>
      </c>
      <c r="P23" s="9">
        <v>5.8337408941647378E-2</v>
      </c>
      <c r="Q23" s="9">
        <v>9.7419163292185376E-3</v>
      </c>
      <c r="R23" s="9">
        <v>0</v>
      </c>
      <c r="S23" s="9"/>
      <c r="T23" s="9">
        <v>0</v>
      </c>
      <c r="U23" s="9">
        <v>0</v>
      </c>
    </row>
    <row r="24" spans="1:21" hidden="1" x14ac:dyDescent="0.35">
      <c r="B24" s="9"/>
      <c r="C24" s="9"/>
      <c r="D24" s="9"/>
      <c r="E24" s="9"/>
      <c r="F24" s="9"/>
      <c r="G24" s="9"/>
      <c r="H24" s="9"/>
      <c r="I24" s="563"/>
      <c r="J24" s="563"/>
      <c r="K24" s="563"/>
      <c r="L24" s="563"/>
      <c r="M24" s="563"/>
      <c r="N24" s="9"/>
      <c r="O24" s="9"/>
      <c r="P24" s="9"/>
      <c r="Q24" s="9"/>
      <c r="R24" s="9"/>
      <c r="S24" s="9"/>
      <c r="T24" s="9"/>
      <c r="U24" s="9"/>
    </row>
    <row r="25" spans="1:21" hidden="1" x14ac:dyDescent="0.35">
      <c r="A25" t="s">
        <v>47</v>
      </c>
      <c r="B25" s="9">
        <v>1.674968476066601E-2</v>
      </c>
      <c r="C25" s="9">
        <v>2.733779115632835E-2</v>
      </c>
      <c r="D25" s="9">
        <v>4.8974937981157785E-3</v>
      </c>
      <c r="E25" s="9">
        <v>1.2225348280534362E-2</v>
      </c>
      <c r="F25" s="9">
        <v>1.2963926489052643E-2</v>
      </c>
      <c r="G25" s="9">
        <v>1.6641594055393751E-2</v>
      </c>
      <c r="H25" s="9">
        <v>2.3943135577836779E-2</v>
      </c>
      <c r="I25" s="563">
        <v>3.5434131844384952E-2</v>
      </c>
      <c r="J25" s="563">
        <v>5.5848178630968116E-2</v>
      </c>
      <c r="K25" s="563">
        <v>7.2564104373478615E-3</v>
      </c>
      <c r="L25" s="563">
        <v>8.2994466060493169E-3</v>
      </c>
      <c r="M25" s="563">
        <v>3.1065978150809755E-2</v>
      </c>
      <c r="N25" s="9">
        <v>1.4559899602456294E-2</v>
      </c>
      <c r="O25" s="9">
        <v>3.2562128015904843E-2</v>
      </c>
      <c r="P25" s="9">
        <v>1.9445802980549126E-2</v>
      </c>
      <c r="Q25" s="9">
        <v>8.0022884132866547E-3</v>
      </c>
      <c r="R25" s="9">
        <v>1.9504057668558349E-2</v>
      </c>
      <c r="S25" s="9">
        <v>7.4992320921714762E-4</v>
      </c>
      <c r="T25" s="9">
        <v>1.2921346939269721E-2</v>
      </c>
      <c r="U25" s="9">
        <v>1.546834417754776E-2</v>
      </c>
    </row>
    <row r="26" spans="1:21" hidden="1" x14ac:dyDescent="0.35">
      <c r="A26" t="s">
        <v>48</v>
      </c>
      <c r="B26" s="9">
        <v>6.6998739042664051E-3</v>
      </c>
      <c r="C26" s="9">
        <v>1.6402674693797008E-2</v>
      </c>
      <c r="D26" s="9">
        <v>3.5710892277927555E-3</v>
      </c>
      <c r="E26" s="9">
        <v>2.4450696561068722E-3</v>
      </c>
      <c r="F26" s="9">
        <v>8.8390407879904414E-4</v>
      </c>
      <c r="G26" s="9">
        <v>4.7098851100170992E-3</v>
      </c>
      <c r="H26" s="9">
        <v>0</v>
      </c>
      <c r="I26" s="563">
        <v>0</v>
      </c>
      <c r="J26" s="563">
        <v>1.1169635726193622E-2</v>
      </c>
      <c r="K26" s="563">
        <v>0</v>
      </c>
      <c r="L26" s="563">
        <v>3.3197786424197261E-3</v>
      </c>
      <c r="M26" s="563">
        <v>0</v>
      </c>
      <c r="N26" s="9">
        <v>0</v>
      </c>
      <c r="O26" s="9">
        <v>0</v>
      </c>
      <c r="P26" s="9">
        <v>1.1667481788329475E-2</v>
      </c>
      <c r="Q26" s="9">
        <v>1.9483832658437074E-3</v>
      </c>
      <c r="R26" s="9">
        <v>0</v>
      </c>
      <c r="S26" s="9">
        <v>4.4459733117873743E-3</v>
      </c>
      <c r="T26" s="9">
        <v>0</v>
      </c>
      <c r="U26" s="9">
        <v>0</v>
      </c>
    </row>
    <row r="28" spans="1:21" s="25" customFormat="1" ht="12.75" customHeight="1" x14ac:dyDescent="0.35">
      <c r="A28" s="937"/>
      <c r="B28" s="936"/>
      <c r="C28" s="935"/>
      <c r="D28" s="937"/>
      <c r="E28" s="932" t="s">
        <v>60</v>
      </c>
      <c r="F28" s="916" t="s">
        <v>68</v>
      </c>
      <c r="G28" s="916"/>
      <c r="H28" s="916"/>
      <c r="I28" s="916"/>
      <c r="J28" s="916"/>
      <c r="K28" s="916"/>
      <c r="L28" s="916"/>
      <c r="M28" s="916"/>
      <c r="N28" s="916"/>
      <c r="O28" s="916"/>
      <c r="P28" s="936" t="s">
        <v>168</v>
      </c>
      <c r="Q28" s="937"/>
      <c r="R28" s="940" t="s">
        <v>70</v>
      </c>
      <c r="S28" s="916"/>
      <c r="T28" s="916"/>
      <c r="U28" s="941"/>
    </row>
    <row r="29" spans="1:21" s="25" customFormat="1" ht="25.5" customHeight="1" x14ac:dyDescent="0.35">
      <c r="A29" s="939"/>
      <c r="B29" s="938"/>
      <c r="C29" s="965"/>
      <c r="D29" s="939"/>
      <c r="E29" s="933"/>
      <c r="F29" s="916" t="s">
        <v>72</v>
      </c>
      <c r="G29" s="916"/>
      <c r="H29" s="916"/>
      <c r="I29" s="916"/>
      <c r="J29" s="941"/>
      <c r="K29" s="940" t="s">
        <v>71</v>
      </c>
      <c r="L29" s="916"/>
      <c r="M29" s="916"/>
      <c r="N29" s="916"/>
      <c r="O29" s="916"/>
      <c r="P29" s="938"/>
      <c r="Q29" s="939"/>
      <c r="R29" s="940" t="s">
        <v>73</v>
      </c>
      <c r="S29" s="941"/>
      <c r="T29" s="940" t="s">
        <v>74</v>
      </c>
      <c r="U29" s="941"/>
    </row>
    <row r="30" spans="1:21" s="25" customFormat="1" ht="52" x14ac:dyDescent="0.35">
      <c r="A30" s="458"/>
      <c r="B30" s="201" t="s">
        <v>170</v>
      </c>
      <c r="C30" s="25" t="s">
        <v>89</v>
      </c>
      <c r="D30" s="195" t="s">
        <v>171</v>
      </c>
      <c r="E30" s="933"/>
      <c r="F30" s="347" t="s">
        <v>75</v>
      </c>
      <c r="G30" s="25" t="s">
        <v>76</v>
      </c>
      <c r="H30" s="25" t="s">
        <v>77</v>
      </c>
      <c r="I30" s="565" t="s">
        <v>172</v>
      </c>
      <c r="J30" s="566" t="s">
        <v>79</v>
      </c>
      <c r="K30" s="352" t="s">
        <v>75</v>
      </c>
      <c r="L30" s="353" t="s">
        <v>76</v>
      </c>
      <c r="M30" s="353" t="s">
        <v>77</v>
      </c>
      <c r="N30" s="353" t="s">
        <v>172</v>
      </c>
      <c r="O30" s="353" t="s">
        <v>79</v>
      </c>
      <c r="P30" s="364" t="s">
        <v>82</v>
      </c>
      <c r="Q30" s="365" t="s">
        <v>83</v>
      </c>
      <c r="R30" s="25" t="s">
        <v>80</v>
      </c>
      <c r="S30" s="195" t="s">
        <v>81</v>
      </c>
      <c r="T30" s="201" t="s">
        <v>80</v>
      </c>
      <c r="U30" s="195" t="s">
        <v>81</v>
      </c>
    </row>
    <row r="31" spans="1:21" x14ac:dyDescent="0.35">
      <c r="A31" s="193" t="s">
        <v>11</v>
      </c>
      <c r="B31" s="46">
        <v>62071.026599256984</v>
      </c>
      <c r="C31" s="340">
        <v>139.72187036566601</v>
      </c>
      <c r="D31" s="340">
        <v>11021.896543251698</v>
      </c>
      <c r="E31" s="48">
        <v>0.17756910344678647</v>
      </c>
      <c r="F31" s="348">
        <v>3.2666762997221668E-2</v>
      </c>
      <c r="G31" s="199">
        <v>2.1137317233496378E-2</v>
      </c>
      <c r="H31" s="199">
        <v>1.1529445763725294E-2</v>
      </c>
      <c r="I31" s="350">
        <v>0</v>
      </c>
      <c r="J31" s="350">
        <v>0</v>
      </c>
      <c r="K31" s="354">
        <v>6.8657849522984149E-2</v>
      </c>
      <c r="L31" s="355">
        <v>2.0695355145886909E-2</v>
      </c>
      <c r="M31" s="355">
        <v>1.4584748891112498E-2</v>
      </c>
      <c r="N31" s="355">
        <v>1.9215742939542159E-3</v>
      </c>
      <c r="O31" s="355">
        <v>1.0760816046143609E-2</v>
      </c>
      <c r="P31" s="351">
        <v>1.4588325948635105E-2</v>
      </c>
      <c r="Q31" s="350">
        <v>6.8078854426963809E-3</v>
      </c>
      <c r="R31" s="344">
        <v>1.4588325948635102E-2</v>
      </c>
      <c r="S31" s="342">
        <v>5.8353303794540417E-3</v>
      </c>
      <c r="T31" s="344">
        <v>1.4588325948635102E-2</v>
      </c>
      <c r="U31" s="341">
        <v>5.8353303794540417E-3</v>
      </c>
    </row>
    <row r="32" spans="1:21" x14ac:dyDescent="0.35">
      <c r="A32" t="s">
        <v>13</v>
      </c>
      <c r="B32" s="43">
        <v>19958.329062286339</v>
      </c>
      <c r="C32" s="44">
        <v>2.3314927170917001</v>
      </c>
      <c r="D32" s="44">
        <v>12157.018459554209</v>
      </c>
      <c r="E32" s="50">
        <v>0.60912005316749462</v>
      </c>
      <c r="F32" s="349">
        <v>0.12272658650470936</v>
      </c>
      <c r="G32" s="12">
        <v>7.7419158757588563E-2</v>
      </c>
      <c r="H32" s="12">
        <v>0</v>
      </c>
      <c r="I32" s="360">
        <v>4.53074277471208E-2</v>
      </c>
      <c r="J32" s="360">
        <v>0</v>
      </c>
      <c r="K32" s="357">
        <v>7.1327958225913618E-2</v>
      </c>
      <c r="L32" s="356">
        <v>0</v>
      </c>
      <c r="M32" s="356">
        <v>6.0912005316749465E-2</v>
      </c>
      <c r="N32" s="356">
        <v>1.041595290916416E-2</v>
      </c>
      <c r="O32" s="356">
        <v>0</v>
      </c>
      <c r="P32" s="361">
        <v>0.10008545073406092</v>
      </c>
      <c r="Q32" s="360">
        <v>3.3361816911353641E-2</v>
      </c>
      <c r="R32" s="345">
        <v>5.0042725367030458E-2</v>
      </c>
      <c r="S32" s="1">
        <v>3.002563522021828E-2</v>
      </c>
      <c r="T32" s="345">
        <v>5.0042725367030458E-2</v>
      </c>
      <c r="U32" s="68">
        <v>3.002563522021828E-2</v>
      </c>
    </row>
    <row r="33" spans="1:21" x14ac:dyDescent="0.35">
      <c r="A33" t="s">
        <v>12</v>
      </c>
      <c r="B33" s="43">
        <v>42038.224534805777</v>
      </c>
      <c r="C33" s="44">
        <v>2.4476085011358499</v>
      </c>
      <c r="D33" s="44">
        <v>6471.6232161512789</v>
      </c>
      <c r="E33" s="50">
        <v>0.15394615942433684</v>
      </c>
      <c r="F33" s="349">
        <v>1.499343518520891E-2</v>
      </c>
      <c r="G33" s="12">
        <v>1.499343518520891E-2</v>
      </c>
      <c r="H33" s="12">
        <v>0</v>
      </c>
      <c r="I33" s="360">
        <v>0</v>
      </c>
      <c r="J33" s="360">
        <v>0</v>
      </c>
      <c r="K33" s="357">
        <v>8.9960611111253475E-2</v>
      </c>
      <c r="L33" s="356">
        <v>3.3318744856019808E-2</v>
      </c>
      <c r="M33" s="356">
        <v>0</v>
      </c>
      <c r="N33" s="356">
        <v>1.6659372428009902E-3</v>
      </c>
      <c r="O33" s="356">
        <v>2.1657184156412872E-2</v>
      </c>
      <c r="P33" s="361">
        <v>1.2647564855762147E-2</v>
      </c>
      <c r="Q33" s="360">
        <v>1.6863419807682863E-2</v>
      </c>
      <c r="R33" s="345">
        <v>4.8566649046126635E-3</v>
      </c>
      <c r="S33" s="1">
        <v>3.7942694567286443E-3</v>
      </c>
      <c r="T33" s="345">
        <v>4.8566649046126635E-3</v>
      </c>
      <c r="U33" s="68">
        <v>3.7942694567286443E-3</v>
      </c>
    </row>
    <row r="34" spans="1:21" x14ac:dyDescent="0.35">
      <c r="A34" t="s">
        <v>28</v>
      </c>
      <c r="B34" s="43">
        <v>64536.634896654687</v>
      </c>
      <c r="C34" s="44">
        <v>437.09888599999999</v>
      </c>
      <c r="D34" s="44">
        <v>12628.721272924957</v>
      </c>
      <c r="E34" s="50">
        <v>0.19568298367505335</v>
      </c>
      <c r="F34" s="349">
        <v>3.7375449881935197E-2</v>
      </c>
      <c r="G34" s="12">
        <v>1.9568298367505337E-2</v>
      </c>
      <c r="H34" s="12">
        <v>1.3697808857253736E-2</v>
      </c>
      <c r="I34" s="360">
        <v>0</v>
      </c>
      <c r="J34" s="360">
        <v>4.1093426571761201E-3</v>
      </c>
      <c r="K34" s="357">
        <v>9.3927832164025608E-3</v>
      </c>
      <c r="L34" s="356">
        <v>0</v>
      </c>
      <c r="M34" s="356">
        <v>0</v>
      </c>
      <c r="N34" s="356">
        <v>1.7611468530754799E-3</v>
      </c>
      <c r="O34" s="356">
        <v>7.6316363633270809E-3</v>
      </c>
      <c r="P34" s="361">
        <v>0</v>
      </c>
      <c r="Q34" s="360">
        <v>8.0382428391001202E-3</v>
      </c>
      <c r="R34" s="345">
        <v>1.6076485678200244E-2</v>
      </c>
      <c r="S34" s="1">
        <v>3.215297135640048E-3</v>
      </c>
      <c r="T34" s="345">
        <v>1.6076485678200244E-2</v>
      </c>
      <c r="U34" s="68">
        <v>3.215297135640048E-3</v>
      </c>
    </row>
    <row r="35" spans="1:21" x14ac:dyDescent="0.35">
      <c r="A35" t="s">
        <v>15</v>
      </c>
      <c r="B35" s="43">
        <v>41367.751423642956</v>
      </c>
      <c r="C35" s="44">
        <v>1445.979656</v>
      </c>
      <c r="D35" s="44">
        <v>9626.691456024193</v>
      </c>
      <c r="E35" s="50">
        <v>0.23271004888417116</v>
      </c>
      <c r="F35" s="349">
        <v>1.8616803910733691E-2</v>
      </c>
      <c r="G35" s="12">
        <v>9.3084019553668455E-3</v>
      </c>
      <c r="H35" s="12">
        <v>9.3084019553668455E-3</v>
      </c>
      <c r="I35" s="360">
        <v>0</v>
      </c>
      <c r="J35" s="360">
        <v>0</v>
      </c>
      <c r="K35" s="357">
        <v>9.3176552961210302E-2</v>
      </c>
      <c r="L35" s="356">
        <v>3.0219422582014151E-2</v>
      </c>
      <c r="M35" s="356">
        <v>0</v>
      </c>
      <c r="N35" s="356">
        <v>1.7627996506174926E-3</v>
      </c>
      <c r="O35" s="356">
        <v>3.0974908146564509E-2</v>
      </c>
      <c r="P35" s="361">
        <v>1.9118472632613473E-2</v>
      </c>
      <c r="Q35" s="360">
        <v>9.5592363163067347E-3</v>
      </c>
      <c r="R35" s="345">
        <v>1.4020213263916545E-2</v>
      </c>
      <c r="S35" s="1">
        <v>9.5592363163067324E-4</v>
      </c>
      <c r="T35" s="345">
        <v>1.4020213263916545E-2</v>
      </c>
      <c r="U35" s="68">
        <v>9.5592363163067324E-4</v>
      </c>
    </row>
    <row r="36" spans="1:21" x14ac:dyDescent="0.35">
      <c r="A36" t="s">
        <v>18</v>
      </c>
      <c r="B36" s="43">
        <v>61240.338529921333</v>
      </c>
      <c r="C36" s="44">
        <v>328.30903499999999</v>
      </c>
      <c r="D36" s="44">
        <v>14492.367412307125</v>
      </c>
      <c r="E36" s="50">
        <v>0.23664740855778121</v>
      </c>
      <c r="F36" s="349">
        <v>2.9962454885491461E-2</v>
      </c>
      <c r="G36" s="12">
        <v>1.3316646615773984E-2</v>
      </c>
      <c r="H36" s="12">
        <v>1.4084914689760942E-2</v>
      </c>
      <c r="I36" s="360">
        <v>0</v>
      </c>
      <c r="J36" s="360">
        <v>2.5608935799565349E-3</v>
      </c>
      <c r="K36" s="357">
        <v>9.0501979115663947E-2</v>
      </c>
      <c r="L36" s="356">
        <v>2.2202947338223158E-2</v>
      </c>
      <c r="M36" s="356">
        <v>2.3688265614597949E-2</v>
      </c>
      <c r="N36" s="356">
        <v>0</v>
      </c>
      <c r="O36" s="356">
        <v>2.2407818824619685E-2</v>
      </c>
      <c r="P36" s="361">
        <v>1.944194943787227E-2</v>
      </c>
      <c r="Q36" s="360">
        <v>9.0729097376737247E-3</v>
      </c>
      <c r="R36" s="345">
        <v>1.3764900202013562E-2</v>
      </c>
      <c r="S36" s="1">
        <v>3.8883898875744531E-3</v>
      </c>
      <c r="T36" s="345">
        <v>1.3764900202013562E-2</v>
      </c>
      <c r="U36" s="68">
        <v>3.8883898875744531E-3</v>
      </c>
    </row>
    <row r="37" spans="1:21" x14ac:dyDescent="0.35">
      <c r="A37" t="s">
        <v>17</v>
      </c>
      <c r="B37" s="43">
        <v>32914.164709455959</v>
      </c>
      <c r="C37" s="44">
        <v>0.42327107369702999</v>
      </c>
      <c r="D37" s="44">
        <v>12757.781798869688</v>
      </c>
      <c r="E37" s="50">
        <v>0.38760764283361826</v>
      </c>
      <c r="F37" s="349">
        <v>3.9638199461692218E-2</v>
      </c>
      <c r="G37" s="12">
        <v>2.7851602584723422E-2</v>
      </c>
      <c r="H37" s="12">
        <v>0</v>
      </c>
      <c r="I37" s="360">
        <v>0</v>
      </c>
      <c r="J37" s="360">
        <v>1.1786596876968796E-2</v>
      </c>
      <c r="K37" s="357">
        <v>9.7732280154225262E-2</v>
      </c>
      <c r="L37" s="356">
        <v>1.6023060523139076E-2</v>
      </c>
      <c r="M37" s="356">
        <v>2.1643715261622419E-2</v>
      </c>
      <c r="N37" s="356">
        <v>1.593917015390798E-3</v>
      </c>
      <c r="O37" s="356">
        <v>4.2448526830933891E-2</v>
      </c>
      <c r="P37" s="361">
        <v>6.4144840224656455E-2</v>
      </c>
      <c r="Q37" s="360">
        <v>1.6150318451400761E-2</v>
      </c>
      <c r="R37" s="345">
        <v>3.184420332185494E-2</v>
      </c>
      <c r="S37" s="1">
        <v>0</v>
      </c>
      <c r="T37" s="345">
        <v>3.184420332185494E-2</v>
      </c>
      <c r="U37" s="68">
        <v>0</v>
      </c>
    </row>
    <row r="38" spans="1:21" x14ac:dyDescent="0.35">
      <c r="A38" t="s">
        <v>21</v>
      </c>
      <c r="B38" s="43">
        <v>33639.138682369492</v>
      </c>
      <c r="C38" s="44">
        <v>3.2810392541797002</v>
      </c>
      <c r="D38" s="44">
        <v>12049.251351170033</v>
      </c>
      <c r="E38" s="50">
        <v>0.35819143483257881</v>
      </c>
      <c r="F38" s="349">
        <v>1.7300646302413555E-2</v>
      </c>
      <c r="G38" s="12">
        <v>6.5549032574361921E-3</v>
      </c>
      <c r="H38" s="12">
        <v>7.1638286966515755E-3</v>
      </c>
      <c r="I38" s="360">
        <v>3.5819143483257878E-3</v>
      </c>
      <c r="J38" s="360">
        <v>0</v>
      </c>
      <c r="K38" s="357">
        <v>5.8528480451643376E-2</v>
      </c>
      <c r="L38" s="356">
        <v>1.3145625658355642E-2</v>
      </c>
      <c r="M38" s="356">
        <v>1.4327657393303151E-2</v>
      </c>
      <c r="N38" s="356">
        <v>1.0745743044977364E-2</v>
      </c>
      <c r="O38" s="356">
        <v>7.1638286966515755E-3</v>
      </c>
      <c r="P38" s="361">
        <v>5.885498436289497E-2</v>
      </c>
      <c r="Q38" s="360">
        <v>1.4713746090723743E-2</v>
      </c>
      <c r="R38" s="345">
        <v>2.9427492181447492E-2</v>
      </c>
      <c r="S38" s="1">
        <v>0</v>
      </c>
      <c r="T38" s="345">
        <v>2.9427492181447492E-2</v>
      </c>
      <c r="U38" s="68">
        <v>0</v>
      </c>
    </row>
    <row r="39" spans="1:21" x14ac:dyDescent="0.35">
      <c r="A39" t="s">
        <v>27</v>
      </c>
      <c r="B39" s="43">
        <v>18135.051977806645</v>
      </c>
      <c r="C39" s="44">
        <v>11.0611622619102</v>
      </c>
      <c r="D39" s="44">
        <v>13626.813930670072</v>
      </c>
      <c r="E39" s="50">
        <v>0.7514074923714763</v>
      </c>
      <c r="F39" s="349">
        <v>3.7570374618573814E-2</v>
      </c>
      <c r="G39" s="12">
        <v>7.5140749237147635E-3</v>
      </c>
      <c r="H39" s="12">
        <v>1.8785187309286907E-2</v>
      </c>
      <c r="I39" s="360">
        <v>0</v>
      </c>
      <c r="J39" s="360">
        <v>1.1271112385572143E-2</v>
      </c>
      <c r="K39" s="357">
        <v>2.0288002294029859E-2</v>
      </c>
      <c r="L39" s="356">
        <v>0</v>
      </c>
      <c r="M39" s="356">
        <v>0</v>
      </c>
      <c r="N39" s="356">
        <v>1.5028149847429526E-3</v>
      </c>
      <c r="O39" s="356">
        <v>1.8785187309286907E-2</v>
      </c>
      <c r="P39" s="361">
        <v>0.12346491823389356</v>
      </c>
      <c r="Q39" s="360">
        <v>4.1154972744631195E-2</v>
      </c>
      <c r="R39" s="345">
        <v>6.1732459116946796E-2</v>
      </c>
      <c r="S39" s="1">
        <v>2.4692983646778712E-2</v>
      </c>
      <c r="T39" s="345">
        <v>6.1732459116946796E-2</v>
      </c>
      <c r="U39" s="68">
        <v>2.4692983646778712E-2</v>
      </c>
    </row>
    <row r="40" spans="1:21" s="63" customFormat="1" x14ac:dyDescent="0.35">
      <c r="A40" s="63" t="s">
        <v>24</v>
      </c>
      <c r="B40" s="43">
        <v>53614.560133164341</v>
      </c>
      <c r="C40" s="44">
        <v>9.8788359999999997</v>
      </c>
      <c r="D40" s="44">
        <v>7664.8706386056001</v>
      </c>
      <c r="E40" s="50">
        <v>0.14296248294433631</v>
      </c>
      <c r="F40" s="349">
        <v>3.1620617721129897E-3</v>
      </c>
      <c r="G40" s="12">
        <v>1.675341597003941E-3</v>
      </c>
      <c r="H40" s="12">
        <v>1.486720175109049E-3</v>
      </c>
      <c r="I40" s="360">
        <v>0</v>
      </c>
      <c r="J40" s="360">
        <v>0</v>
      </c>
      <c r="K40" s="357">
        <v>4.7777461874892131E-2</v>
      </c>
      <c r="L40" s="356">
        <v>8.9589822645117431E-3</v>
      </c>
      <c r="M40" s="356">
        <v>1.7975740951120686E-2</v>
      </c>
      <c r="N40" s="356">
        <v>2.9486012107269367E-3</v>
      </c>
      <c r="O40" s="356">
        <v>8.9351551840210191E-3</v>
      </c>
      <c r="P40" s="361">
        <v>5.9567701226806782E-3</v>
      </c>
      <c r="Q40" s="360">
        <v>7.8301283242598486E-3</v>
      </c>
      <c r="R40" s="345">
        <v>1.4877243816093712E-2</v>
      </c>
      <c r="S40" s="1">
        <v>0</v>
      </c>
      <c r="T40" s="345">
        <v>1.4877243816093712E-2</v>
      </c>
      <c r="U40" s="68">
        <v>0</v>
      </c>
    </row>
    <row r="41" spans="1:21" x14ac:dyDescent="0.35">
      <c r="A41" t="s">
        <v>29</v>
      </c>
      <c r="B41" s="43">
        <v>20886.767520789348</v>
      </c>
      <c r="C41" s="44">
        <v>91.951372038819699</v>
      </c>
      <c r="D41" s="44">
        <v>7295.1603127444805</v>
      </c>
      <c r="E41" s="50">
        <v>0.34927186820475431</v>
      </c>
      <c r="F41" s="501">
        <v>2.4449030774332803E-2</v>
      </c>
      <c r="G41" s="12">
        <v>1.0478156046142629E-2</v>
      </c>
      <c r="H41" s="12">
        <v>0</v>
      </c>
      <c r="I41" s="360">
        <v>0</v>
      </c>
      <c r="J41" s="360">
        <v>1.3970874728190174E-2</v>
      </c>
      <c r="K41" s="357">
        <v>5.4137139571736922E-2</v>
      </c>
      <c r="L41" s="356">
        <v>1.0478156046142629E-2</v>
      </c>
      <c r="M41" s="356">
        <v>0</v>
      </c>
      <c r="N41" s="356">
        <v>0</v>
      </c>
      <c r="O41" s="356">
        <v>3.3180827479451662E-2</v>
      </c>
      <c r="P41" s="361">
        <v>0</v>
      </c>
      <c r="Q41" s="360">
        <v>1.3390859225727246E-2</v>
      </c>
      <c r="R41" s="345">
        <v>1.3390859225727246E-2</v>
      </c>
      <c r="S41" s="1">
        <v>5.3563436902908977E-3</v>
      </c>
      <c r="T41" s="345">
        <v>1.3390859225727246E-2</v>
      </c>
      <c r="U41" s="68">
        <v>5.3563436902908977E-3</v>
      </c>
    </row>
    <row r="42" spans="1:21" x14ac:dyDescent="0.35">
      <c r="A42" t="s">
        <v>23</v>
      </c>
      <c r="B42" s="43">
        <v>17369.495423971723</v>
      </c>
      <c r="C42" s="44">
        <v>11.46</v>
      </c>
      <c r="D42" s="44">
        <v>1529.6044306565966</v>
      </c>
      <c r="E42" s="50">
        <v>8.8062686527185033E-2</v>
      </c>
      <c r="F42" s="349">
        <v>6.2524507434301366E-3</v>
      </c>
      <c r="G42" s="12">
        <v>4.2270089533048812E-3</v>
      </c>
      <c r="H42" s="12">
        <v>2.0254417901252554E-3</v>
      </c>
      <c r="I42" s="360">
        <v>0</v>
      </c>
      <c r="J42" s="360">
        <v>0</v>
      </c>
      <c r="K42" s="357">
        <v>3.3463820880330314E-2</v>
      </c>
      <c r="L42" s="356">
        <v>1.188846268116998E-2</v>
      </c>
      <c r="M42" s="356">
        <v>5.2837611916311013E-3</v>
      </c>
      <c r="N42" s="356">
        <v>1.3209402979077753E-3</v>
      </c>
      <c r="O42" s="356">
        <v>3.0821940284514763E-3</v>
      </c>
      <c r="P42" s="361">
        <v>7.2348575852107322E-3</v>
      </c>
      <c r="Q42" s="360">
        <v>7.2348575852107322E-3</v>
      </c>
      <c r="R42" s="345">
        <v>6.3600829158522512E-3</v>
      </c>
      <c r="S42" s="1">
        <v>0</v>
      </c>
      <c r="T42" s="345">
        <v>6.3600829158522512E-3</v>
      </c>
      <c r="U42" s="68">
        <v>0</v>
      </c>
    </row>
    <row r="43" spans="1:21" x14ac:dyDescent="0.35">
      <c r="A43" t="s">
        <v>19</v>
      </c>
      <c r="B43" s="43">
        <v>81768.475585504289</v>
      </c>
      <c r="C43" s="44">
        <v>0.46946851638315801</v>
      </c>
      <c r="D43" s="44">
        <v>15514.394993115015</v>
      </c>
      <c r="E43" s="50">
        <v>0.18973565157016781</v>
      </c>
      <c r="F43" s="349">
        <v>2.2212089709857323E-2</v>
      </c>
      <c r="G43" s="12">
        <v>1.8696867331810287E-2</v>
      </c>
      <c r="H43" s="12">
        <v>9.486782578508391E-4</v>
      </c>
      <c r="I43" s="360">
        <v>0</v>
      </c>
      <c r="J43" s="360">
        <v>2.5665441201961989E-3</v>
      </c>
      <c r="K43" s="357">
        <v>4.2530927088383165E-2</v>
      </c>
      <c r="L43" s="356">
        <v>9.7634804037148842E-3</v>
      </c>
      <c r="M43" s="356">
        <v>1.5178852125613426E-2</v>
      </c>
      <c r="N43" s="356">
        <v>7.9688973659470478E-4</v>
      </c>
      <c r="O43" s="356">
        <v>7.0282244187452698E-3</v>
      </c>
      <c r="P43" s="361">
        <v>1.5587878045528079E-2</v>
      </c>
      <c r="Q43" s="360">
        <v>1.5587878045528079E-2</v>
      </c>
      <c r="R43" s="345">
        <v>1.2366383249452278E-2</v>
      </c>
      <c r="S43" s="1">
        <v>0</v>
      </c>
      <c r="T43" s="345">
        <v>1.2366383249452278E-2</v>
      </c>
      <c r="U43" s="68">
        <v>0</v>
      </c>
    </row>
    <row r="44" spans="1:21" x14ac:dyDescent="0.35">
      <c r="A44" t="s">
        <v>16</v>
      </c>
      <c r="B44" s="43">
        <v>30940.178035102337</v>
      </c>
      <c r="C44" s="44">
        <v>1.73588788714955</v>
      </c>
      <c r="D44" s="44">
        <v>7085.7110594840688</v>
      </c>
      <c r="E44" s="50">
        <v>0.22901326073318545</v>
      </c>
      <c r="F44" s="349">
        <v>3.4663561538316755E-2</v>
      </c>
      <c r="G44" s="12">
        <v>3.4663561538316755E-2</v>
      </c>
      <c r="H44" s="12">
        <v>0</v>
      </c>
      <c r="I44" s="360">
        <v>0</v>
      </c>
      <c r="J44" s="360">
        <v>0</v>
      </c>
      <c r="K44" s="357">
        <v>4.8341959911695369E-2</v>
      </c>
      <c r="L44" s="356">
        <v>0</v>
      </c>
      <c r="M44" s="356">
        <v>2.3997850295757753E-2</v>
      </c>
      <c r="N44" s="356">
        <v>1.4427835426190682E-3</v>
      </c>
      <c r="O44" s="356">
        <v>2.2901326073318549E-2</v>
      </c>
      <c r="P44" s="361">
        <v>3.762952033078959E-2</v>
      </c>
      <c r="Q44" s="360">
        <v>1.8814760165394795E-2</v>
      </c>
      <c r="R44" s="345">
        <v>2.8222140248092192E-2</v>
      </c>
      <c r="S44" s="1">
        <v>0</v>
      </c>
      <c r="T44" s="345">
        <v>2.8222140248092192E-2</v>
      </c>
      <c r="U44" s="68">
        <v>0</v>
      </c>
    </row>
    <row r="45" spans="1:21" x14ac:dyDescent="0.35">
      <c r="A45" t="s">
        <v>20</v>
      </c>
      <c r="B45" s="43">
        <v>34858.38248065568</v>
      </c>
      <c r="C45" s="44">
        <v>2614.35542686907</v>
      </c>
      <c r="D45" s="44">
        <v>12303.023402797189</v>
      </c>
      <c r="E45" s="50">
        <v>0.35294303772197783</v>
      </c>
      <c r="F45" s="349">
        <v>3.4374540943037331E-2</v>
      </c>
      <c r="G45" s="12">
        <v>3.4374540943037331E-2</v>
      </c>
      <c r="H45" s="12">
        <v>0</v>
      </c>
      <c r="I45" s="360">
        <v>0</v>
      </c>
      <c r="J45" s="360">
        <v>0</v>
      </c>
      <c r="K45" s="357">
        <v>0.11840119658157301</v>
      </c>
      <c r="L45" s="356">
        <v>5.3471508133613621E-2</v>
      </c>
      <c r="M45" s="356">
        <v>0</v>
      </c>
      <c r="N45" s="356">
        <v>0</v>
      </c>
      <c r="O45" s="356">
        <v>1.1458180314345775E-2</v>
      </c>
      <c r="P45" s="361">
        <v>2.8996306089547969E-2</v>
      </c>
      <c r="Q45" s="360">
        <v>1.1598522435819188E-2</v>
      </c>
      <c r="R45" s="345">
        <v>1.4498153044773985E-2</v>
      </c>
      <c r="S45" s="1">
        <v>8.6988918268643915E-3</v>
      </c>
      <c r="T45" s="345">
        <v>1.4498153044773985E-2</v>
      </c>
      <c r="U45" s="68">
        <v>8.6988918268643915E-3</v>
      </c>
    </row>
    <row r="46" spans="1:21" x14ac:dyDescent="0.35">
      <c r="A46" t="s">
        <v>26</v>
      </c>
      <c r="B46" s="43">
        <v>55000.651565302629</v>
      </c>
      <c r="C46" s="44">
        <v>23.102980647857201</v>
      </c>
      <c r="D46" s="44">
        <v>9714.0712456431593</v>
      </c>
      <c r="E46" s="50">
        <v>0.17661738487060613</v>
      </c>
      <c r="F46" s="349">
        <v>1.2251274137721943E-2</v>
      </c>
      <c r="G46" s="12">
        <v>5.4853598713357219E-3</v>
      </c>
      <c r="H46" s="12">
        <v>5.8102766581395798E-3</v>
      </c>
      <c r="I46" s="360">
        <v>0</v>
      </c>
      <c r="J46" s="360">
        <v>9.5563760824664149E-4</v>
      </c>
      <c r="K46" s="357">
        <v>4.4532712544293487E-2</v>
      </c>
      <c r="L46" s="356">
        <v>1.3570054037102307E-2</v>
      </c>
      <c r="M46" s="356">
        <v>1.3570054037102307E-2</v>
      </c>
      <c r="N46" s="356">
        <v>1.911275216493283E-3</v>
      </c>
      <c r="O46" s="356">
        <v>1.911275216493283E-3</v>
      </c>
      <c r="P46" s="361">
        <v>1.451013677872216E-2</v>
      </c>
      <c r="Q46" s="360">
        <v>8.7060820672332957E-3</v>
      </c>
      <c r="R46" s="345">
        <v>1.1124438197020321E-2</v>
      </c>
      <c r="S46" s="1">
        <v>2.7085588653614698E-3</v>
      </c>
      <c r="T46" s="345">
        <v>1.1124438197020321E-2</v>
      </c>
      <c r="U46" s="68">
        <v>2.7085588653614698E-3</v>
      </c>
    </row>
    <row r="47" spans="1:21" x14ac:dyDescent="0.35">
      <c r="A47" t="s">
        <v>25</v>
      </c>
      <c r="B47" s="43">
        <v>28031.845136747816</v>
      </c>
      <c r="C47" s="44">
        <v>0.42315646387880601</v>
      </c>
      <c r="D47" s="44">
        <v>9165.4041260510967</v>
      </c>
      <c r="E47" s="50">
        <v>0.32696399688780686</v>
      </c>
      <c r="F47" s="349">
        <v>3.3513809681000199E-2</v>
      </c>
      <c r="G47" s="334">
        <v>2.3704889774365995E-2</v>
      </c>
      <c r="H47" s="334">
        <v>9.8089199066342062E-3</v>
      </c>
      <c r="I47" s="360">
        <v>0</v>
      </c>
      <c r="J47" s="360">
        <v>0</v>
      </c>
      <c r="K47" s="357">
        <v>8.5010639190829781E-2</v>
      </c>
      <c r="L47" s="356">
        <v>2.8609349727683097E-2</v>
      </c>
      <c r="M47" s="356">
        <v>2.4522299766585515E-2</v>
      </c>
      <c r="N47" s="356">
        <v>0</v>
      </c>
      <c r="O47" s="356">
        <v>3.2696399688780685E-3</v>
      </c>
      <c r="P47" s="361">
        <v>1.701258610162211E-2</v>
      </c>
      <c r="Q47" s="360">
        <v>1.701258610162211E-2</v>
      </c>
      <c r="R47" s="345">
        <v>2.6861978055192807E-2</v>
      </c>
      <c r="S47" s="1">
        <v>0</v>
      </c>
      <c r="T47" s="345">
        <v>2.6861978055192807E-2</v>
      </c>
      <c r="U47" s="68">
        <v>0</v>
      </c>
    </row>
    <row r="48" spans="1:21" x14ac:dyDescent="0.35">
      <c r="A48" t="s">
        <v>31</v>
      </c>
      <c r="B48" s="43">
        <v>72611.737405991866</v>
      </c>
      <c r="C48" s="44">
        <v>3.6342715294039798</v>
      </c>
      <c r="D48" s="44">
        <v>9938.7180368230984</v>
      </c>
      <c r="E48" s="50">
        <v>0.13687481379564073</v>
      </c>
      <c r="F48" s="349">
        <v>6.0224918070081925E-3</v>
      </c>
      <c r="G48" s="334">
        <v>6.0224918070081925E-3</v>
      </c>
      <c r="H48" s="12">
        <v>0</v>
      </c>
      <c r="I48" s="360">
        <v>0</v>
      </c>
      <c r="J48" s="360">
        <v>0</v>
      </c>
      <c r="K48" s="357">
        <v>2.408996722803277E-2</v>
      </c>
      <c r="L48" s="356">
        <v>1.2044983614016385E-2</v>
      </c>
      <c r="M48" s="356">
        <v>0</v>
      </c>
      <c r="N48" s="356">
        <v>0</v>
      </c>
      <c r="O48" s="356">
        <v>0</v>
      </c>
      <c r="P48" s="361">
        <v>0</v>
      </c>
      <c r="Q48" s="360">
        <v>5.2476924995590148E-3</v>
      </c>
      <c r="R48" s="345">
        <v>5.6225276780989455E-3</v>
      </c>
      <c r="S48" s="1">
        <v>0</v>
      </c>
      <c r="T48" s="345">
        <v>5.6225276780989455E-3</v>
      </c>
      <c r="U48" s="68">
        <v>0</v>
      </c>
    </row>
    <row r="49" spans="1:21" x14ac:dyDescent="0.35">
      <c r="A49" t="s">
        <v>14</v>
      </c>
      <c r="B49" s="43">
        <v>66316.344137277571</v>
      </c>
      <c r="C49" s="44">
        <v>25.926311753506798</v>
      </c>
      <c r="D49" s="44">
        <v>9769.3803271396955</v>
      </c>
      <c r="E49" s="50">
        <v>0.14731482041465788</v>
      </c>
      <c r="F49" s="349">
        <v>2.9208151034702184E-2</v>
      </c>
      <c r="G49" s="12">
        <v>2.3912637378843336E-2</v>
      </c>
      <c r="H49" s="12">
        <v>5.1360960733332264E-3</v>
      </c>
      <c r="I49" s="360">
        <v>0</v>
      </c>
      <c r="J49" s="360">
        <v>1.5941758252562222E-4</v>
      </c>
      <c r="K49" s="357">
        <v>4.1602518590713247E-2</v>
      </c>
      <c r="L49" s="356">
        <v>1.1956318689421668E-2</v>
      </c>
      <c r="M49" s="356">
        <v>7.3657410207328949E-3</v>
      </c>
      <c r="N49" s="356">
        <v>1.0164722608611395E-2</v>
      </c>
      <c r="O49" s="356">
        <v>1.5941758252562222E-4</v>
      </c>
      <c r="P49" s="361">
        <v>1.2102762110964336E-2</v>
      </c>
      <c r="Q49" s="360">
        <v>8.4719334776750359E-3</v>
      </c>
      <c r="R49" s="345">
        <v>1.4442629452417439E-2</v>
      </c>
      <c r="S49" s="1">
        <v>0</v>
      </c>
      <c r="T49" s="345">
        <v>1.4442629452417439E-2</v>
      </c>
      <c r="U49" s="68">
        <v>0</v>
      </c>
    </row>
    <row r="50" spans="1:21" x14ac:dyDescent="0.35">
      <c r="A50" s="176" t="s">
        <v>22</v>
      </c>
      <c r="B50" s="45">
        <v>18255.222216705592</v>
      </c>
      <c r="C50" s="339">
        <v>13.786</v>
      </c>
      <c r="D50" s="339">
        <v>113.1582765124039</v>
      </c>
      <c r="E50" s="52">
        <v>6.1986797623778738E-3</v>
      </c>
      <c r="F50" s="93">
        <v>3.719207857426724E-4</v>
      </c>
      <c r="G50" s="200">
        <v>2.4794719049511495E-4</v>
      </c>
      <c r="H50" s="200">
        <v>0</v>
      </c>
      <c r="I50" s="363">
        <v>0</v>
      </c>
      <c r="J50" s="363">
        <v>1.2397359524755748E-4</v>
      </c>
      <c r="K50" s="358">
        <v>1.5341732411885238E-3</v>
      </c>
      <c r="L50" s="359">
        <v>5.5788117861400865E-4</v>
      </c>
      <c r="M50" s="359">
        <v>0</v>
      </c>
      <c r="N50" s="359">
        <v>4.649009821783405E-5</v>
      </c>
      <c r="O50" s="359">
        <v>3.719207857426724E-4</v>
      </c>
      <c r="P50" s="362">
        <v>5.0925729234126474E-4</v>
      </c>
      <c r="Q50" s="363">
        <v>3.2252961848280095E-4</v>
      </c>
      <c r="R50" s="346">
        <v>5.0925729234126474E-4</v>
      </c>
      <c r="S50" s="194">
        <v>0</v>
      </c>
      <c r="T50" s="346">
        <v>5.0925729234126474E-4</v>
      </c>
      <c r="U50" s="343">
        <v>0</v>
      </c>
    </row>
    <row r="52" spans="1:21" ht="15" x14ac:dyDescent="0.35">
      <c r="A52" s="58"/>
    </row>
    <row r="55" spans="1:21" ht="18.5" x14ac:dyDescent="0.45">
      <c r="A55" s="21" t="s">
        <v>186</v>
      </c>
    </row>
    <row r="56" spans="1:21" ht="26" x14ac:dyDescent="0.35">
      <c r="A56" s="90" t="s">
        <v>169</v>
      </c>
      <c r="B56" s="188" t="s">
        <v>75</v>
      </c>
      <c r="C56" s="188" t="s">
        <v>76</v>
      </c>
      <c r="D56" s="188" t="s">
        <v>77</v>
      </c>
      <c r="E56" s="55" t="s">
        <v>192</v>
      </c>
      <c r="N56" s="25"/>
    </row>
    <row r="57" spans="1:21" x14ac:dyDescent="0.35">
      <c r="A57" s="445" t="s">
        <v>20</v>
      </c>
      <c r="B57" s="91">
        <v>3.4374540943037331E-2</v>
      </c>
      <c r="C57" s="91">
        <v>3.4374540943037331E-2</v>
      </c>
      <c r="D57" s="91">
        <v>0</v>
      </c>
      <c r="E57" s="49">
        <v>0</v>
      </c>
    </row>
    <row r="58" spans="1:21" x14ac:dyDescent="0.35">
      <c r="A58" s="446" t="s">
        <v>13</v>
      </c>
      <c r="B58" s="3">
        <v>7.7419158757588563E-2</v>
      </c>
      <c r="C58" s="3">
        <v>7.7419158757588563E-2</v>
      </c>
      <c r="D58" s="3">
        <v>0</v>
      </c>
      <c r="E58" s="51">
        <v>0</v>
      </c>
    </row>
    <row r="59" spans="1:21" x14ac:dyDescent="0.35">
      <c r="A59" s="446" t="s">
        <v>11</v>
      </c>
      <c r="B59" s="3">
        <v>3.2666762997221668E-2</v>
      </c>
      <c r="C59" s="3">
        <v>2.1137317233496378E-2</v>
      </c>
      <c r="D59" s="3">
        <v>1.1529445763725294E-2</v>
      </c>
      <c r="E59" s="51">
        <v>0</v>
      </c>
    </row>
    <row r="60" spans="1:21" ht="14.9" customHeight="1" x14ac:dyDescent="0.35">
      <c r="A60" s="446" t="s">
        <v>16</v>
      </c>
      <c r="B60" s="3">
        <v>3.4663561538316755E-2</v>
      </c>
      <c r="C60" s="3">
        <v>3.4663561538316755E-2</v>
      </c>
      <c r="D60" s="3">
        <v>0</v>
      </c>
      <c r="E60" s="51">
        <v>0</v>
      </c>
    </row>
    <row r="61" spans="1:21" ht="14.9" customHeight="1" x14ac:dyDescent="0.35">
      <c r="A61" s="446" t="s">
        <v>27</v>
      </c>
      <c r="B61" s="3">
        <v>3.7570374618573814E-2</v>
      </c>
      <c r="C61" s="3">
        <v>7.5140749237147635E-3</v>
      </c>
      <c r="D61" s="3">
        <v>1.8785187309286907E-2</v>
      </c>
      <c r="E61" s="51">
        <v>1.1271112385572143E-2</v>
      </c>
    </row>
    <row r="62" spans="1:21" x14ac:dyDescent="0.35">
      <c r="A62" s="446" t="s">
        <v>17</v>
      </c>
      <c r="B62" s="3">
        <v>3.9638199461692218E-2</v>
      </c>
      <c r="C62" s="3">
        <v>2.7851602584723422E-2</v>
      </c>
      <c r="D62" s="3">
        <v>0</v>
      </c>
      <c r="E62" s="51">
        <v>1.1786596876968796E-2</v>
      </c>
    </row>
    <row r="63" spans="1:21" x14ac:dyDescent="0.35">
      <c r="A63" s="446" t="s">
        <v>18</v>
      </c>
      <c r="B63" s="3">
        <v>2.9962454885491461E-2</v>
      </c>
      <c r="C63" s="3">
        <v>1.3316646615773984E-2</v>
      </c>
      <c r="D63" s="3">
        <v>1.4084914689760942E-2</v>
      </c>
      <c r="E63" s="51">
        <v>2.5608935799565349E-3</v>
      </c>
    </row>
    <row r="64" spans="1:21" ht="14.9" customHeight="1" x14ac:dyDescent="0.35">
      <c r="A64" s="446" t="s">
        <v>28</v>
      </c>
      <c r="B64" s="3">
        <v>3.7375449881935197E-2</v>
      </c>
      <c r="C64" s="3">
        <v>1.9568298367505337E-2</v>
      </c>
      <c r="D64" s="3">
        <v>1.3697808857253736E-2</v>
      </c>
      <c r="E64" s="51">
        <v>4.1093426571761201E-3</v>
      </c>
    </row>
    <row r="65" spans="1:15" x14ac:dyDescent="0.35">
      <c r="A65" s="446" t="s">
        <v>19</v>
      </c>
      <c r="B65" s="3">
        <v>4.5308415327465018E-2</v>
      </c>
      <c r="C65" s="3">
        <v>4.5308415327465018E-2</v>
      </c>
      <c r="D65" s="3">
        <v>0</v>
      </c>
      <c r="E65" s="51">
        <v>0</v>
      </c>
    </row>
    <row r="66" spans="1:15" x14ac:dyDescent="0.35">
      <c r="A66" s="446" t="s">
        <v>14</v>
      </c>
      <c r="B66" s="3">
        <v>2.9208151034702184E-2</v>
      </c>
      <c r="C66" s="3">
        <v>2.3912637378843336E-2</v>
      </c>
      <c r="D66" s="3">
        <v>5.1360960733332264E-3</v>
      </c>
      <c r="E66" s="51">
        <v>1.5941758252562222E-4</v>
      </c>
    </row>
    <row r="67" spans="1:15" x14ac:dyDescent="0.35">
      <c r="A67" s="446" t="s">
        <v>125</v>
      </c>
      <c r="B67" s="3"/>
      <c r="C67" s="3"/>
      <c r="D67" s="3"/>
      <c r="E67" s="51"/>
    </row>
    <row r="68" spans="1:15" x14ac:dyDescent="0.35">
      <c r="A68" s="446" t="s">
        <v>25</v>
      </c>
      <c r="B68" s="3">
        <v>3.3513809681000199E-2</v>
      </c>
      <c r="C68" s="3">
        <v>2.3704889774365995E-2</v>
      </c>
      <c r="D68" s="1">
        <v>9.8089199066342062E-3</v>
      </c>
      <c r="E68" s="51">
        <v>0</v>
      </c>
    </row>
    <row r="69" spans="1:15" x14ac:dyDescent="0.35">
      <c r="A69" s="446" t="s">
        <v>21</v>
      </c>
      <c r="B69" s="3">
        <v>1.3718731954087768E-2</v>
      </c>
      <c r="C69" s="3">
        <v>6.5549032574361921E-3</v>
      </c>
      <c r="D69" s="3">
        <v>7.1638286966515755E-3</v>
      </c>
      <c r="E69" s="51">
        <v>0</v>
      </c>
    </row>
    <row r="70" spans="1:15" x14ac:dyDescent="0.35">
      <c r="A70" s="446" t="s">
        <v>15</v>
      </c>
      <c r="B70" s="3">
        <v>1.8616803910733691E-2</v>
      </c>
      <c r="C70" s="3">
        <v>9.3084019553668455E-3</v>
      </c>
      <c r="D70" s="3">
        <v>9.3084019553668455E-3</v>
      </c>
      <c r="E70" s="51">
        <v>0</v>
      </c>
    </row>
    <row r="71" spans="1:15" x14ac:dyDescent="0.35">
      <c r="A71" s="446" t="s">
        <v>29</v>
      </c>
      <c r="B71" s="3">
        <v>2.4449030774332803E-2</v>
      </c>
      <c r="C71" s="3">
        <v>1.0478156046142629E-2</v>
      </c>
      <c r="D71" s="3">
        <v>0</v>
      </c>
      <c r="E71" s="51">
        <v>1.3970874728190174E-2</v>
      </c>
    </row>
    <row r="72" spans="1:15" x14ac:dyDescent="0.35">
      <c r="A72" s="446" t="s">
        <v>12</v>
      </c>
      <c r="B72" s="3">
        <v>1.499343518520891E-2</v>
      </c>
      <c r="C72" s="3">
        <v>1.499343518520891E-2</v>
      </c>
      <c r="D72" s="3">
        <v>0</v>
      </c>
      <c r="E72" s="51">
        <v>0</v>
      </c>
    </row>
    <row r="73" spans="1:15" x14ac:dyDescent="0.35">
      <c r="A73" s="446" t="s">
        <v>22</v>
      </c>
      <c r="B73" s="3">
        <v>3.719207857426724E-4</v>
      </c>
      <c r="C73" s="3">
        <v>2.4794719049511495E-4</v>
      </c>
      <c r="D73" s="3">
        <v>0</v>
      </c>
      <c r="E73" s="51">
        <v>1.2397359524755748E-4</v>
      </c>
    </row>
    <row r="74" spans="1:15" x14ac:dyDescent="0.35">
      <c r="A74" s="446" t="s">
        <v>26</v>
      </c>
      <c r="B74" s="3">
        <v>1.2251274137721943E-2</v>
      </c>
      <c r="C74" s="3">
        <v>5.4853598713357219E-3</v>
      </c>
      <c r="D74" s="3">
        <v>5.8102766581395798E-3</v>
      </c>
      <c r="E74" s="51">
        <v>9.5563760824664149E-4</v>
      </c>
    </row>
    <row r="75" spans="1:15" x14ac:dyDescent="0.35">
      <c r="A75" s="446" t="s">
        <v>31</v>
      </c>
      <c r="B75" s="3">
        <v>6.0224918070081925E-3</v>
      </c>
      <c r="C75" s="3">
        <v>6.0224918070081925E-3</v>
      </c>
      <c r="D75" s="3">
        <v>0</v>
      </c>
      <c r="E75" s="51">
        <v>0</v>
      </c>
    </row>
    <row r="76" spans="1:15" x14ac:dyDescent="0.35">
      <c r="A76" s="446" t="s">
        <v>24</v>
      </c>
      <c r="B76" s="92">
        <v>3.1620617721129897E-3</v>
      </c>
      <c r="C76" s="92">
        <v>1.675341597003941E-3</v>
      </c>
      <c r="D76" s="92">
        <v>1.486720175109049E-3</v>
      </c>
      <c r="E76" s="53">
        <v>0</v>
      </c>
    </row>
    <row r="77" spans="1:15" x14ac:dyDescent="0.35">
      <c r="B77" s="3">
        <v>2.7646664708103865E-2</v>
      </c>
      <c r="C77" s="3">
        <v>2.0186167387096231E-2</v>
      </c>
      <c r="D77" s="3">
        <v>5.0953473729084932E-3</v>
      </c>
      <c r="E77" s="3">
        <v>2.3651499480991365E-3</v>
      </c>
      <c r="I77" s="22"/>
      <c r="J77" s="22"/>
      <c r="K77" s="22"/>
      <c r="L77" s="22"/>
      <c r="M77" s="22"/>
      <c r="N77" s="22"/>
      <c r="O77" s="22"/>
    </row>
    <row r="78" spans="1:15" x14ac:dyDescent="0.35">
      <c r="I78" s="22"/>
      <c r="J78" s="22"/>
      <c r="K78" s="22"/>
      <c r="L78" s="22"/>
      <c r="M78" s="22"/>
      <c r="N78" s="22"/>
      <c r="O78" s="22"/>
    </row>
    <row r="79" spans="1:15" x14ac:dyDescent="0.35">
      <c r="I79" s="22"/>
      <c r="J79" s="22"/>
      <c r="K79" s="22"/>
      <c r="L79" s="22"/>
      <c r="M79" s="22"/>
      <c r="N79" s="22"/>
      <c r="O79" s="22"/>
    </row>
    <row r="80" spans="1:15" x14ac:dyDescent="0.35">
      <c r="I80" s="22"/>
      <c r="J80" s="22"/>
      <c r="K80" s="22"/>
      <c r="L80" s="22"/>
      <c r="M80" s="22"/>
      <c r="N80" s="22"/>
      <c r="O80" s="22"/>
    </row>
    <row r="81" spans="1:15" x14ac:dyDescent="0.35">
      <c r="A81" s="646"/>
      <c r="B81" s="772"/>
      <c r="C81" s="733" t="s">
        <v>76</v>
      </c>
      <c r="D81" s="733" t="s">
        <v>77</v>
      </c>
      <c r="E81" s="733" t="s">
        <v>192</v>
      </c>
      <c r="I81" s="22"/>
      <c r="J81" s="22"/>
      <c r="K81" s="22"/>
      <c r="L81" s="22"/>
      <c r="M81" s="22"/>
      <c r="N81" s="22"/>
      <c r="O81" s="22"/>
    </row>
    <row r="82" spans="1:15" x14ac:dyDescent="0.35">
      <c r="A82" s="955" t="s">
        <v>20</v>
      </c>
      <c r="B82" s="733">
        <v>2013</v>
      </c>
      <c r="C82" s="516">
        <v>4.6085019715848163E-2</v>
      </c>
      <c r="D82" s="516">
        <v>0</v>
      </c>
      <c r="E82" s="516">
        <v>0</v>
      </c>
      <c r="I82" s="22"/>
      <c r="J82" s="22"/>
      <c r="K82" s="22"/>
      <c r="L82" s="22"/>
      <c r="M82" s="22"/>
      <c r="N82" s="22"/>
      <c r="O82" s="22"/>
    </row>
    <row r="83" spans="1:15" x14ac:dyDescent="0.35">
      <c r="A83" s="956"/>
      <c r="B83" s="733">
        <v>2023</v>
      </c>
      <c r="C83" s="740">
        <v>3.4374540943037331E-2</v>
      </c>
      <c r="D83" s="740">
        <v>0</v>
      </c>
      <c r="E83" s="740">
        <v>0</v>
      </c>
      <c r="N83" s="22"/>
      <c r="O83" s="22"/>
    </row>
    <row r="84" spans="1:15" x14ac:dyDescent="0.35">
      <c r="A84" s="955" t="s">
        <v>13</v>
      </c>
      <c r="B84" s="733">
        <v>2013</v>
      </c>
      <c r="C84" s="516">
        <v>4.2274704614293557E-2</v>
      </c>
      <c r="D84" s="516">
        <v>0</v>
      </c>
      <c r="E84" s="516">
        <v>0</v>
      </c>
      <c r="N84" s="22"/>
      <c r="O84" s="22"/>
    </row>
    <row r="85" spans="1:15" x14ac:dyDescent="0.35">
      <c r="A85" s="956"/>
      <c r="B85" s="733">
        <v>2023</v>
      </c>
      <c r="C85" s="516">
        <v>7.7419158757588563E-2</v>
      </c>
      <c r="D85" s="516">
        <v>0</v>
      </c>
      <c r="E85" s="516">
        <v>0</v>
      </c>
      <c r="N85" s="22"/>
      <c r="O85" s="22"/>
    </row>
    <row r="86" spans="1:15" x14ac:dyDescent="0.35">
      <c r="A86" s="963" t="s">
        <v>11</v>
      </c>
      <c r="B86" s="733">
        <v>2013</v>
      </c>
      <c r="C86" s="759">
        <v>2.4259128046208531E-2</v>
      </c>
      <c r="D86" s="759">
        <v>1.3232251661568288E-2</v>
      </c>
      <c r="E86" s="759">
        <v>0</v>
      </c>
      <c r="N86" s="22"/>
      <c r="O86" s="22"/>
    </row>
    <row r="87" spans="1:15" x14ac:dyDescent="0.35">
      <c r="A87" s="964"/>
      <c r="B87" s="733">
        <v>2023</v>
      </c>
      <c r="C87" s="516">
        <v>2.1137317233496378E-2</v>
      </c>
      <c r="D87" s="516">
        <v>1.1529445763725294E-2</v>
      </c>
      <c r="E87" s="516">
        <v>0</v>
      </c>
      <c r="N87" s="22"/>
      <c r="O87" s="22"/>
    </row>
    <row r="88" spans="1:15" x14ac:dyDescent="0.35">
      <c r="A88" s="955" t="s">
        <v>16</v>
      </c>
      <c r="B88" s="733">
        <v>2013</v>
      </c>
      <c r="C88" s="516">
        <v>3.9976584180409898E-2</v>
      </c>
      <c r="D88" s="516">
        <v>0</v>
      </c>
      <c r="E88" s="516">
        <v>0</v>
      </c>
      <c r="N88" s="22"/>
      <c r="O88" s="22"/>
    </row>
    <row r="89" spans="1:15" x14ac:dyDescent="0.35">
      <c r="A89" s="956"/>
      <c r="B89" s="733">
        <v>2023</v>
      </c>
      <c r="C89" s="516">
        <v>3.4663561538316755E-2</v>
      </c>
      <c r="D89" s="516">
        <v>0</v>
      </c>
      <c r="E89" s="516">
        <v>0</v>
      </c>
      <c r="N89" s="22"/>
      <c r="O89" s="22"/>
    </row>
    <row r="90" spans="1:15" x14ac:dyDescent="0.35">
      <c r="A90" s="955" t="s">
        <v>27</v>
      </c>
      <c r="B90" s="733">
        <v>2013</v>
      </c>
      <c r="C90" s="516">
        <v>6.7948617334344531E-3</v>
      </c>
      <c r="D90" s="516">
        <v>1.6987154333586132E-2</v>
      </c>
      <c r="E90" s="516">
        <v>1.019229260015168E-2</v>
      </c>
      <c r="N90" s="22"/>
      <c r="O90" s="22"/>
    </row>
    <row r="91" spans="1:15" x14ac:dyDescent="0.35">
      <c r="A91" s="956"/>
      <c r="B91" s="733">
        <v>2023</v>
      </c>
      <c r="C91" s="516">
        <v>7.5140749237147635E-3</v>
      </c>
      <c r="D91" s="516">
        <v>1.8785187309286907E-2</v>
      </c>
      <c r="E91" s="516">
        <v>1.1271112385572143E-2</v>
      </c>
      <c r="N91" s="22"/>
      <c r="O91" s="22"/>
    </row>
    <row r="92" spans="1:15" x14ac:dyDescent="0.35">
      <c r="A92" s="957" t="s">
        <v>17</v>
      </c>
      <c r="B92" s="733">
        <v>2013</v>
      </c>
      <c r="C92" s="516">
        <v>2.0932844310909353E-2</v>
      </c>
      <c r="D92" s="516">
        <v>0</v>
      </c>
      <c r="E92" s="516">
        <v>8.8586283906107351E-3</v>
      </c>
      <c r="N92" s="22"/>
      <c r="O92" s="22"/>
    </row>
    <row r="93" spans="1:15" x14ac:dyDescent="0.35">
      <c r="A93" s="958"/>
      <c r="B93" s="733">
        <v>2023</v>
      </c>
      <c r="C93" s="516">
        <v>2.7851602584723422E-2</v>
      </c>
      <c r="D93" s="516">
        <v>0</v>
      </c>
      <c r="E93" s="516">
        <v>1.1786596876968796E-2</v>
      </c>
      <c r="N93" s="22"/>
      <c r="O93" s="22"/>
    </row>
    <row r="94" spans="1:15" x14ac:dyDescent="0.35">
      <c r="A94" s="955" t="s">
        <v>18</v>
      </c>
      <c r="B94" s="733">
        <v>2013</v>
      </c>
      <c r="C94" s="516">
        <v>8.2788005521325578E-3</v>
      </c>
      <c r="D94" s="516">
        <v>1.7053709002520248E-2</v>
      </c>
      <c r="E94" s="516">
        <v>3.1006743640945907E-3</v>
      </c>
      <c r="N94" s="22"/>
      <c r="O94" s="22"/>
    </row>
    <row r="95" spans="1:15" x14ac:dyDescent="0.35">
      <c r="A95" s="956"/>
      <c r="B95" s="733">
        <v>2023</v>
      </c>
      <c r="C95" s="516">
        <v>1.3316646615773984E-2</v>
      </c>
      <c r="D95" s="516">
        <v>1.4084914689760942E-2</v>
      </c>
      <c r="E95" s="516">
        <v>2.5608935799565349E-3</v>
      </c>
      <c r="N95" s="22"/>
      <c r="O95" s="22"/>
    </row>
    <row r="96" spans="1:15" x14ac:dyDescent="0.35">
      <c r="A96" s="955" t="s">
        <v>28</v>
      </c>
      <c r="B96" s="733">
        <v>2013</v>
      </c>
      <c r="C96" s="516">
        <v>1.4874173741316808E-2</v>
      </c>
      <c r="D96" s="516">
        <v>1.0411921618921766E-2</v>
      </c>
      <c r="E96" s="516">
        <v>3.0938281381938954E-3</v>
      </c>
      <c r="N96" s="22"/>
      <c r="O96" s="22"/>
    </row>
    <row r="97" spans="1:15" x14ac:dyDescent="0.35">
      <c r="A97" s="956"/>
      <c r="B97" s="733">
        <v>2023</v>
      </c>
      <c r="C97" s="516">
        <v>1.9568298367505337E-2</v>
      </c>
      <c r="D97" s="516">
        <v>1.3697808857253736E-2</v>
      </c>
      <c r="E97" s="516">
        <v>4.1093426571761201E-3</v>
      </c>
      <c r="N97" s="22"/>
      <c r="O97" s="22"/>
    </row>
    <row r="98" spans="1:15" x14ac:dyDescent="0.35">
      <c r="A98" s="955" t="s">
        <v>19</v>
      </c>
      <c r="B98" s="733">
        <v>2013</v>
      </c>
      <c r="C98" s="516">
        <v>2.3058311331806108E-2</v>
      </c>
      <c r="D98" s="516">
        <v>1.1248254400623144E-3</v>
      </c>
      <c r="E98" s="516">
        <v>3.0430908430210328E-3</v>
      </c>
      <c r="N98" s="22"/>
      <c r="O98" s="22"/>
    </row>
    <row r="99" spans="1:15" x14ac:dyDescent="0.35">
      <c r="A99" s="956"/>
      <c r="B99" s="733">
        <v>2023</v>
      </c>
      <c r="C99" s="516">
        <v>4.5308415327465018E-2</v>
      </c>
      <c r="D99" s="516">
        <v>0</v>
      </c>
      <c r="E99" s="516">
        <v>0</v>
      </c>
      <c r="N99" s="22"/>
      <c r="O99" s="22"/>
    </row>
    <row r="100" spans="1:15" x14ac:dyDescent="0.35">
      <c r="A100" s="955" t="s">
        <v>14</v>
      </c>
      <c r="B100" s="733">
        <v>2013</v>
      </c>
      <c r="C100" s="516">
        <v>2.4357783500961377E-2</v>
      </c>
      <c r="D100" s="516">
        <v>5.7179655436872742E-3</v>
      </c>
      <c r="E100" s="516">
        <v>1.6238522333974253E-4</v>
      </c>
      <c r="N100" s="22"/>
      <c r="O100" s="22"/>
    </row>
    <row r="101" spans="1:15" x14ac:dyDescent="0.35">
      <c r="A101" s="956"/>
      <c r="B101" s="733">
        <v>2023</v>
      </c>
      <c r="C101" s="516">
        <v>2.3912637378843336E-2</v>
      </c>
      <c r="D101" s="516">
        <v>5.1360960733332264E-3</v>
      </c>
      <c r="E101" s="516">
        <v>1.5941758252562222E-4</v>
      </c>
      <c r="N101" s="22"/>
      <c r="O101" s="22"/>
    </row>
    <row r="102" spans="1:15" x14ac:dyDescent="0.35">
      <c r="A102" s="455" t="s">
        <v>25</v>
      </c>
      <c r="B102" s="733">
        <v>2013</v>
      </c>
      <c r="C102" s="516">
        <v>1.4831210518799579E-2</v>
      </c>
      <c r="D102" s="516">
        <v>7.1189810490237988E-3</v>
      </c>
      <c r="E102" s="516">
        <v>0</v>
      </c>
      <c r="N102" s="22"/>
      <c r="O102" s="22"/>
    </row>
    <row r="103" spans="1:15" x14ac:dyDescent="0.35">
      <c r="A103" s="760"/>
      <c r="B103" s="733">
        <v>2023</v>
      </c>
      <c r="C103" s="516">
        <v>2.3704889774365995E-2</v>
      </c>
      <c r="D103" s="516">
        <v>9.8089199066342062E-3</v>
      </c>
      <c r="E103" s="516">
        <v>0</v>
      </c>
      <c r="N103" s="22"/>
      <c r="O103" s="22"/>
    </row>
    <row r="104" spans="1:15" x14ac:dyDescent="0.35">
      <c r="A104" s="455" t="s">
        <v>21</v>
      </c>
      <c r="B104" s="733">
        <v>2013</v>
      </c>
      <c r="C104" s="516">
        <v>7.8894094551523099E-3</v>
      </c>
      <c r="D104" s="516">
        <v>8.6223054154670048E-3</v>
      </c>
      <c r="E104" s="516">
        <v>4.3111527077335024E-3</v>
      </c>
      <c r="N104" s="22"/>
      <c r="O104" s="22"/>
    </row>
    <row r="105" spans="1:15" x14ac:dyDescent="0.35">
      <c r="A105" s="760"/>
      <c r="B105" s="733">
        <v>2023</v>
      </c>
      <c r="C105" s="516">
        <v>6.5549032574361921E-3</v>
      </c>
      <c r="D105" s="516">
        <v>7.1638286966515755E-3</v>
      </c>
      <c r="E105" s="516">
        <v>0</v>
      </c>
      <c r="N105" s="22"/>
      <c r="O105" s="22"/>
    </row>
    <row r="106" spans="1:15" x14ac:dyDescent="0.35">
      <c r="A106" s="455" t="s">
        <v>15</v>
      </c>
      <c r="B106" s="733">
        <v>2013</v>
      </c>
      <c r="C106" s="516">
        <v>8.6033330336440297E-3</v>
      </c>
      <c r="D106" s="516">
        <v>8.6033330336440297E-3</v>
      </c>
      <c r="E106" s="516">
        <v>0</v>
      </c>
      <c r="N106" s="22"/>
      <c r="O106" s="22"/>
    </row>
    <row r="107" spans="1:15" x14ac:dyDescent="0.35">
      <c r="A107" s="760"/>
      <c r="B107" s="733">
        <v>2023</v>
      </c>
      <c r="C107" s="516">
        <v>9.3084019553668455E-3</v>
      </c>
      <c r="D107" s="516">
        <v>9.3084019553668455E-3</v>
      </c>
      <c r="E107" s="516">
        <v>0</v>
      </c>
      <c r="N107" s="22"/>
      <c r="O107" s="22"/>
    </row>
    <row r="108" spans="1:15" x14ac:dyDescent="0.35">
      <c r="A108" s="455" t="s">
        <v>29</v>
      </c>
      <c r="B108" s="733">
        <v>2013</v>
      </c>
      <c r="C108" s="516">
        <v>5.4094607343000006E-3</v>
      </c>
      <c r="D108" s="516">
        <v>0</v>
      </c>
      <c r="E108" s="516">
        <v>9.0743703817882503E-3</v>
      </c>
      <c r="N108" s="22"/>
      <c r="O108" s="22"/>
    </row>
    <row r="109" spans="1:15" x14ac:dyDescent="0.35">
      <c r="A109" s="760"/>
      <c r="B109" s="733">
        <v>2023</v>
      </c>
      <c r="C109" s="516">
        <v>1.0478156046142629E-2</v>
      </c>
      <c r="D109" s="516">
        <v>0</v>
      </c>
      <c r="E109" s="516">
        <v>1.3970874728190174E-2</v>
      </c>
      <c r="N109" s="22"/>
      <c r="O109" s="22"/>
    </row>
    <row r="110" spans="1:15" x14ac:dyDescent="0.35">
      <c r="A110" s="455" t="s">
        <v>12</v>
      </c>
      <c r="B110" s="733">
        <v>2013</v>
      </c>
      <c r="C110" s="516">
        <v>1.3434097571220365E-2</v>
      </c>
      <c r="D110" s="516"/>
      <c r="E110" s="516">
        <v>0</v>
      </c>
      <c r="N110" s="22"/>
      <c r="O110" s="22"/>
    </row>
    <row r="111" spans="1:15" x14ac:dyDescent="0.35">
      <c r="A111" s="760"/>
      <c r="B111" s="733">
        <v>2023</v>
      </c>
      <c r="C111" s="516">
        <v>1.499343518520891E-2</v>
      </c>
      <c r="D111" s="516">
        <v>0</v>
      </c>
      <c r="E111" s="516">
        <v>0</v>
      </c>
      <c r="N111" s="22"/>
      <c r="O111" s="22"/>
    </row>
    <row r="112" spans="1:15" x14ac:dyDescent="0.35">
      <c r="A112" s="455" t="s">
        <v>22</v>
      </c>
      <c r="B112" s="733">
        <v>2013</v>
      </c>
      <c r="C112" s="516">
        <v>7.4999999999999997E-3</v>
      </c>
      <c r="D112" s="516">
        <v>0</v>
      </c>
      <c r="E112" s="735">
        <v>3.8E-3</v>
      </c>
      <c r="N112" s="22"/>
      <c r="O112" s="22"/>
    </row>
    <row r="113" spans="1:15" x14ac:dyDescent="0.35">
      <c r="A113" s="760"/>
      <c r="B113" s="733">
        <v>2023</v>
      </c>
      <c r="C113" s="516">
        <v>2.4794719049511495E-4</v>
      </c>
      <c r="D113" s="516">
        <v>0</v>
      </c>
      <c r="E113" s="516">
        <v>1.2397359524755748E-4</v>
      </c>
      <c r="N113" s="22"/>
      <c r="O113" s="22"/>
    </row>
    <row r="114" spans="1:15" x14ac:dyDescent="0.35">
      <c r="A114" s="455" t="s">
        <v>26</v>
      </c>
      <c r="B114" s="733">
        <v>2013</v>
      </c>
      <c r="C114" s="516">
        <v>4.9556037834783398E-3</v>
      </c>
      <c r="D114" s="516">
        <v>5.2491412898167779E-3</v>
      </c>
      <c r="E114" s="516">
        <v>8.6334560687775959E-4</v>
      </c>
      <c r="N114" s="22"/>
      <c r="O114" s="22"/>
    </row>
    <row r="115" spans="1:15" x14ac:dyDescent="0.35">
      <c r="A115" s="760"/>
      <c r="B115" s="733">
        <v>2023</v>
      </c>
      <c r="C115" s="516">
        <v>5.4853598713357219E-3</v>
      </c>
      <c r="D115" s="516">
        <v>5.8102766581395798E-3</v>
      </c>
      <c r="E115" s="516">
        <v>9.5563760824664149E-4</v>
      </c>
      <c r="N115" s="22"/>
      <c r="O115" s="22"/>
    </row>
    <row r="116" spans="1:15" x14ac:dyDescent="0.35">
      <c r="A116" s="455" t="s">
        <v>31</v>
      </c>
      <c r="B116" s="733">
        <v>2013</v>
      </c>
      <c r="C116" s="516">
        <v>4.0000000000000001E-3</v>
      </c>
      <c r="D116" s="516">
        <v>2E-3</v>
      </c>
      <c r="E116" s="516">
        <v>0</v>
      </c>
      <c r="N116" s="22"/>
      <c r="O116" s="22"/>
    </row>
    <row r="117" spans="1:15" x14ac:dyDescent="0.35">
      <c r="A117" s="760"/>
      <c r="B117" s="733">
        <v>2023</v>
      </c>
      <c r="C117" s="516">
        <v>6.0224918070081925E-3</v>
      </c>
      <c r="D117" s="516">
        <v>0</v>
      </c>
      <c r="E117" s="516">
        <v>0</v>
      </c>
      <c r="N117" s="22"/>
      <c r="O117" s="22"/>
    </row>
    <row r="118" spans="1:15" x14ac:dyDescent="0.35">
      <c r="A118" s="455" t="s">
        <v>24</v>
      </c>
      <c r="B118" s="733">
        <v>2013</v>
      </c>
      <c r="C118" s="516">
        <v>0</v>
      </c>
      <c r="D118" s="516">
        <v>7.7764844863417726E-4</v>
      </c>
      <c r="E118" s="516">
        <v>0</v>
      </c>
      <c r="N118" s="22"/>
      <c r="O118" s="22"/>
    </row>
    <row r="119" spans="1:15" x14ac:dyDescent="0.35">
      <c r="A119" s="760"/>
      <c r="B119" s="733">
        <v>2023</v>
      </c>
      <c r="C119" s="516">
        <v>1.675341597003941E-3</v>
      </c>
      <c r="D119" s="516">
        <v>1.486720175109049E-3</v>
      </c>
      <c r="E119" s="516">
        <v>0</v>
      </c>
      <c r="N119" s="22"/>
      <c r="O119" s="22"/>
    </row>
    <row r="120" spans="1:15" x14ac:dyDescent="0.35">
      <c r="A120" s="455" t="s">
        <v>125</v>
      </c>
      <c r="B120" s="448">
        <v>2013</v>
      </c>
      <c r="C120" s="753">
        <v>1.6711332990732387E-2</v>
      </c>
      <c r="D120" s="753">
        <v>5.3832909353851007E-3</v>
      </c>
      <c r="E120" s="753">
        <v>2.4473562239900625E-3</v>
      </c>
      <c r="N120" s="22"/>
      <c r="O120" s="22"/>
    </row>
    <row r="121" spans="1:15" x14ac:dyDescent="0.35">
      <c r="A121" s="760"/>
      <c r="B121" s="448">
        <v>2023</v>
      </c>
      <c r="C121" s="753">
        <v>2.0186167387096231E-2</v>
      </c>
      <c r="D121" s="753">
        <v>5.0953473729084932E-3</v>
      </c>
      <c r="E121" s="753">
        <v>2.3651499480991365E-3</v>
      </c>
      <c r="N121" s="22"/>
      <c r="O121" s="22"/>
    </row>
    <row r="122" spans="1:15" x14ac:dyDescent="0.35">
      <c r="N122" s="597"/>
      <c r="O122" s="22"/>
    </row>
    <row r="123" spans="1:15" x14ac:dyDescent="0.35">
      <c r="N123" s="597"/>
      <c r="O123" s="22"/>
    </row>
    <row r="124" spans="1:15" x14ac:dyDescent="0.35">
      <c r="I124" s="22"/>
      <c r="J124" s="22"/>
      <c r="K124" s="22"/>
      <c r="L124" s="22"/>
      <c r="M124" s="22"/>
      <c r="N124" s="22"/>
      <c r="O124" s="22"/>
    </row>
    <row r="125" spans="1:15" x14ac:dyDescent="0.35">
      <c r="C125" s="64"/>
      <c r="D125" s="64"/>
      <c r="E125" s="64"/>
      <c r="I125" s="22"/>
      <c r="J125" s="22"/>
      <c r="K125" s="22"/>
      <c r="L125" s="22"/>
      <c r="M125" s="22"/>
      <c r="N125" s="22"/>
      <c r="O125" s="22"/>
    </row>
    <row r="126" spans="1:15" x14ac:dyDescent="0.35">
      <c r="I126" s="22"/>
      <c r="J126" s="22"/>
      <c r="K126" s="22"/>
      <c r="L126" s="22"/>
      <c r="M126" s="22"/>
      <c r="N126" s="22"/>
      <c r="O126" s="22"/>
    </row>
    <row r="127" spans="1:15" x14ac:dyDescent="0.35">
      <c r="I127" s="22"/>
      <c r="J127" s="22"/>
      <c r="K127" s="22"/>
      <c r="L127" s="22"/>
      <c r="M127" s="22"/>
      <c r="N127" s="22"/>
      <c r="O127" s="22"/>
    </row>
    <row r="128" spans="1:15" x14ac:dyDescent="0.35">
      <c r="I128" s="22"/>
      <c r="J128" s="22"/>
      <c r="K128" s="22"/>
      <c r="L128" s="22"/>
      <c r="M128" s="22"/>
      <c r="N128" s="22"/>
      <c r="O128" s="22"/>
    </row>
    <row r="129" spans="9:15" x14ac:dyDescent="0.35">
      <c r="I129" s="22"/>
      <c r="J129" s="22"/>
      <c r="K129" s="22"/>
      <c r="L129" s="22"/>
      <c r="M129" s="22"/>
      <c r="N129" s="22"/>
      <c r="O129" s="22"/>
    </row>
    <row r="130" spans="9:15" x14ac:dyDescent="0.35">
      <c r="I130" s="22"/>
      <c r="J130" s="22"/>
      <c r="K130" s="22"/>
      <c r="L130" s="22"/>
      <c r="M130" s="22"/>
      <c r="N130" s="22"/>
      <c r="O130" s="22"/>
    </row>
    <row r="131" spans="9:15" x14ac:dyDescent="0.35">
      <c r="I131" s="22"/>
      <c r="J131" s="22"/>
      <c r="K131" s="22"/>
      <c r="L131" s="22"/>
      <c r="M131" s="22"/>
      <c r="N131" s="22"/>
      <c r="O131" s="22"/>
    </row>
    <row r="132" spans="9:15" x14ac:dyDescent="0.35">
      <c r="I132" s="22"/>
      <c r="J132" s="22"/>
      <c r="K132" s="22"/>
      <c r="L132" s="22"/>
      <c r="M132" s="22"/>
      <c r="N132" s="22"/>
      <c r="O132" s="22"/>
    </row>
  </sheetData>
  <mergeCells count="20">
    <mergeCell ref="A92:A93"/>
    <mergeCell ref="A94:A95"/>
    <mergeCell ref="A96:A97"/>
    <mergeCell ref="A98:A99"/>
    <mergeCell ref="A100:A101"/>
    <mergeCell ref="A88:A89"/>
    <mergeCell ref="A90:A91"/>
    <mergeCell ref="R28:U28"/>
    <mergeCell ref="F29:J29"/>
    <mergeCell ref="K29:O29"/>
    <mergeCell ref="R29:S29"/>
    <mergeCell ref="T29:U29"/>
    <mergeCell ref="A82:A83"/>
    <mergeCell ref="A84:A85"/>
    <mergeCell ref="A86:A87"/>
    <mergeCell ref="A28:A29"/>
    <mergeCell ref="B28:D29"/>
    <mergeCell ref="E28:E30"/>
    <mergeCell ref="F28:O28"/>
    <mergeCell ref="P28:Q29"/>
  </mergeCells>
  <pageMargins left="0.7" right="0.7" top="0.75" bottom="0.75" header="0.3" footer="0.3"/>
  <pageSetup paperSize="9"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0" tint="-0.34998626667073579"/>
  </sheetPr>
  <dimension ref="A1:AK387"/>
  <sheetViews>
    <sheetView showGridLines="0" topLeftCell="A48" zoomScale="70" zoomScaleNormal="70" workbookViewId="0">
      <selection activeCell="A32" sqref="A32:XFD32"/>
    </sheetView>
  </sheetViews>
  <sheetFormatPr defaultColWidth="9.1796875" defaultRowHeight="14.5" x14ac:dyDescent="0.35"/>
  <cols>
    <col min="1" max="1" width="11.6328125" customWidth="1"/>
    <col min="2" max="2" width="19.6328125" customWidth="1"/>
    <col min="3" max="4" width="14.08984375" customWidth="1"/>
    <col min="5" max="5" width="21.81640625" customWidth="1"/>
    <col min="6" max="6" width="24.36328125" customWidth="1"/>
    <col min="7" max="7" width="18.54296875" customWidth="1"/>
    <col min="8" max="8" width="11.1796875" customWidth="1"/>
    <col min="9" max="9" width="24.26953125" customWidth="1"/>
    <col min="10" max="10" width="16.1796875" customWidth="1"/>
    <col min="11" max="11" width="19.6328125" customWidth="1"/>
    <col min="12" max="12" width="12.36328125" customWidth="1"/>
    <col min="13" max="13" width="10.54296875" customWidth="1"/>
    <col min="14" max="14" width="25.36328125" customWidth="1"/>
    <col min="15" max="15" width="17.54296875" customWidth="1"/>
    <col min="16" max="17" width="15.36328125" customWidth="1"/>
    <col min="18" max="18" width="35.81640625" customWidth="1"/>
    <col min="19" max="19" width="15.36328125" customWidth="1"/>
    <col min="20" max="20" width="13.90625" customWidth="1"/>
    <col min="21" max="21" width="15.36328125" customWidth="1"/>
    <col min="22" max="22" width="22.90625" customWidth="1"/>
    <col min="23" max="23" width="10.1796875" customWidth="1"/>
    <col min="24" max="24" width="12.1796875" customWidth="1"/>
    <col min="25" max="25" width="23.36328125" customWidth="1"/>
    <col min="26" max="28" width="18.36328125" customWidth="1"/>
    <col min="29" max="30" width="16.36328125" customWidth="1"/>
    <col min="31" max="31" width="15.1796875" customWidth="1"/>
    <col min="32" max="32" width="18.81640625" customWidth="1"/>
    <col min="33" max="33" width="8.36328125" customWidth="1"/>
    <col min="34" max="34" width="13.54296875" customWidth="1"/>
    <col min="35" max="35" width="18.6328125" customWidth="1"/>
    <col min="37" max="37" width="16.1796875" customWidth="1"/>
  </cols>
  <sheetData>
    <row r="1" spans="1:21" ht="18.5" x14ac:dyDescent="0.45">
      <c r="A1" s="21" t="s">
        <v>164</v>
      </c>
    </row>
    <row r="2" spans="1:21" x14ac:dyDescent="0.35">
      <c r="A2" t="s">
        <v>165</v>
      </c>
    </row>
    <row r="3" spans="1:21" hidden="1" x14ac:dyDescent="0.35">
      <c r="B3" t="s">
        <v>11</v>
      </c>
      <c r="C3" t="s">
        <v>13</v>
      </c>
      <c r="D3" t="s">
        <v>12</v>
      </c>
      <c r="E3" t="s">
        <v>28</v>
      </c>
      <c r="F3" t="s">
        <v>15</v>
      </c>
      <c r="G3" t="s">
        <v>18</v>
      </c>
      <c r="H3" t="s">
        <v>17</v>
      </c>
      <c r="I3" t="s">
        <v>21</v>
      </c>
      <c r="J3" t="s">
        <v>27</v>
      </c>
      <c r="K3" t="s">
        <v>24</v>
      </c>
      <c r="L3" t="s">
        <v>29</v>
      </c>
      <c r="M3" t="s">
        <v>23</v>
      </c>
      <c r="N3" t="s">
        <v>19</v>
      </c>
      <c r="O3" t="s">
        <v>16</v>
      </c>
      <c r="P3" t="s">
        <v>20</v>
      </c>
      <c r="Q3" t="s">
        <v>26</v>
      </c>
      <c r="R3" t="s">
        <v>25</v>
      </c>
      <c r="S3" t="s">
        <v>31</v>
      </c>
      <c r="T3" t="s">
        <v>14</v>
      </c>
      <c r="U3" t="s">
        <v>22</v>
      </c>
    </row>
    <row r="4" spans="1:21" hidden="1" x14ac:dyDescent="0.35">
      <c r="A4" t="s">
        <v>166</v>
      </c>
      <c r="B4" s="44">
        <v>51981.66618883748</v>
      </c>
      <c r="C4" s="44">
        <v>13399.558925638197</v>
      </c>
      <c r="D4" s="44">
        <v>31854.20927605778</v>
      </c>
      <c r="E4" s="44">
        <v>48876.098568060908</v>
      </c>
      <c r="F4" s="44">
        <v>27978.629828159494</v>
      </c>
      <c r="G4" s="44">
        <v>32573.579999449135</v>
      </c>
      <c r="H4" s="44">
        <v>23817.328246283825</v>
      </c>
      <c r="I4" s="44">
        <v>17578.982060432587</v>
      </c>
      <c r="J4" s="44">
        <v>11887.30867229441</v>
      </c>
      <c r="K4" s="44">
        <v>39897.407089304121</v>
      </c>
      <c r="L4" s="44">
        <v>21078.640412240045</v>
      </c>
      <c r="M4" s="44">
        <v>11153.537145024622</v>
      </c>
      <c r="N4" s="44">
        <v>41758.326275234329</v>
      </c>
      <c r="O4" s="44">
        <v>22374.300986377995</v>
      </c>
      <c r="P4" s="44">
        <v>18500.406599785332</v>
      </c>
      <c r="Q4" s="44">
        <v>32257.388273899738</v>
      </c>
      <c r="R4" s="44">
        <v>19369.410535282801</v>
      </c>
      <c r="S4" s="44">
        <v>69279.42526894639</v>
      </c>
      <c r="T4" s="44">
        <v>41717.517890633171</v>
      </c>
      <c r="U4" s="44">
        <v>43705.439247906645</v>
      </c>
    </row>
    <row r="5" spans="1:21" hidden="1" x14ac:dyDescent="0.35">
      <c r="A5" t="s">
        <v>89</v>
      </c>
      <c r="B5" s="44">
        <v>3.6579999999999999</v>
      </c>
      <c r="C5" s="44">
        <v>3.2309999999999999</v>
      </c>
      <c r="D5" s="44">
        <v>1.6459999999999999</v>
      </c>
      <c r="E5" s="44">
        <v>346.63400000000001</v>
      </c>
      <c r="F5" s="44">
        <v>1175.5250000000001</v>
      </c>
      <c r="G5" s="44">
        <v>362.64100000000002</v>
      </c>
      <c r="H5" s="44">
        <v>0.55000000000000004</v>
      </c>
      <c r="I5" s="44">
        <v>3.742</v>
      </c>
      <c r="J5" s="44">
        <v>10.058</v>
      </c>
      <c r="K5" s="44">
        <v>7.7889999999999997</v>
      </c>
      <c r="L5" s="44">
        <v>56.567</v>
      </c>
      <c r="M5" s="44">
        <v>9.3789999999999996</v>
      </c>
      <c r="N5" s="44">
        <v>0.59199999999999997</v>
      </c>
      <c r="O5" s="44">
        <v>1.5229999999999999</v>
      </c>
      <c r="P5" s="44">
        <v>2273.096</v>
      </c>
      <c r="Q5" s="44">
        <v>20.154</v>
      </c>
      <c r="R5" s="44">
        <v>0.49299999999999999</v>
      </c>
      <c r="S5" s="44">
        <v>3.839</v>
      </c>
      <c r="T5" s="44">
        <v>17.292999999999999</v>
      </c>
      <c r="U5" s="44">
        <v>3.9550000000000001</v>
      </c>
    </row>
    <row r="6" spans="1:21" hidden="1" x14ac:dyDescent="0.35">
      <c r="A6" t="s">
        <v>167</v>
      </c>
      <c r="B6" s="44">
        <v>10593.231017632586</v>
      </c>
      <c r="C6" s="44">
        <v>4456.8245125348194</v>
      </c>
      <c r="D6" s="44">
        <v>4942.891859052248</v>
      </c>
      <c r="E6" s="44">
        <v>7269.9158189906357</v>
      </c>
      <c r="F6" s="44">
        <v>6017.7367559175682</v>
      </c>
      <c r="G6" s="44">
        <v>9332.9173480108402</v>
      </c>
      <c r="H6" s="44">
        <v>6938.181818181818</v>
      </c>
      <c r="I6" s="44">
        <v>7578.5676109032602</v>
      </c>
      <c r="J6" s="44">
        <v>8077.2618810896802</v>
      </c>
      <c r="K6" s="44">
        <v>2780.8385749333997</v>
      </c>
      <c r="L6" s="44">
        <v>4560.9631056976687</v>
      </c>
      <c r="M6" s="44">
        <v>4864.2643291087179</v>
      </c>
      <c r="N6" s="44">
        <v>9324.3243243243251</v>
      </c>
      <c r="O6" s="44">
        <v>5909.389363099147</v>
      </c>
      <c r="P6" s="44">
        <v>8754.0447037872582</v>
      </c>
      <c r="Q6" s="44">
        <v>4096.4572789520689</v>
      </c>
      <c r="R6" s="44">
        <v>4596.3488843813384</v>
      </c>
      <c r="S6" s="44">
        <v>6772.6074498567341</v>
      </c>
      <c r="T6" s="44">
        <v>5495.8653790551089</v>
      </c>
      <c r="U6" s="44">
        <v>8225.2844500632109</v>
      </c>
    </row>
    <row r="7" spans="1:21" hidden="1" x14ac:dyDescent="0.35">
      <c r="B7" s="44"/>
      <c r="C7" s="44"/>
      <c r="D7" s="44"/>
      <c r="E7" s="44"/>
      <c r="F7" s="44"/>
      <c r="G7" s="44"/>
      <c r="H7" s="44"/>
      <c r="I7" s="44"/>
      <c r="J7" s="44"/>
      <c r="K7" s="44"/>
      <c r="L7" s="44"/>
      <c r="M7" s="44"/>
      <c r="N7" s="44"/>
      <c r="O7" s="44"/>
      <c r="P7" s="44"/>
      <c r="Q7" s="44"/>
      <c r="R7" s="44"/>
      <c r="S7" s="44"/>
      <c r="T7" s="44"/>
      <c r="U7" s="44"/>
    </row>
    <row r="8" spans="1:21" hidden="1" x14ac:dyDescent="0.35">
      <c r="A8" t="s">
        <v>60</v>
      </c>
      <c r="B8" s="3">
        <v>0.20378783125476982</v>
      </c>
      <c r="C8" s="3">
        <v>0.33260979240199495</v>
      </c>
      <c r="D8" s="3">
        <v>0.15517232954099469</v>
      </c>
      <c r="E8" s="3">
        <v>0.14874173741316807</v>
      </c>
      <c r="F8" s="1">
        <f>+F6/F4</f>
        <v>0.21508332584110071</v>
      </c>
      <c r="G8" s="3">
        <v>0.28651801085937356</v>
      </c>
      <c r="H8" s="3">
        <v>0.2913081495303475</v>
      </c>
      <c r="I8" s="3">
        <v>0.43111527077335021</v>
      </c>
      <c r="J8" s="3">
        <v>0.6794861733434453</v>
      </c>
      <c r="K8" s="47">
        <f>+K6/K4</f>
        <v>6.9699731832420245E-2</v>
      </c>
      <c r="L8" s="3">
        <v>0.21637842937200005</v>
      </c>
      <c r="M8" s="3">
        <v>0.43611853942482925</v>
      </c>
      <c r="N8" s="3">
        <v>0.22329257793682972</v>
      </c>
      <c r="O8" s="3">
        <v>0.26411503835122818</v>
      </c>
      <c r="P8" s="3">
        <v>0.47318120586002876</v>
      </c>
      <c r="Q8" s="3">
        <v>0.12699283786302734</v>
      </c>
      <c r="R8" s="3">
        <v>0.23729936830079326</v>
      </c>
      <c r="S8" s="3">
        <v>9.7757846915806731E-2</v>
      </c>
      <c r="T8" s="3">
        <v>0.13173998974395107</v>
      </c>
      <c r="U8" s="3">
        <v>0.18819818749349776</v>
      </c>
    </row>
    <row r="9" spans="1:21" hidden="1" x14ac:dyDescent="0.35">
      <c r="A9" s="14" t="s">
        <v>39</v>
      </c>
      <c r="B9" s="3">
        <v>4.0799440462855635E-2</v>
      </c>
      <c r="C9" s="3">
        <v>4.2274704614293557E-2</v>
      </c>
      <c r="D9" s="3">
        <v>1.3434097571220365E-2</v>
      </c>
      <c r="E9" s="3">
        <v>2.8379923498432467E-2</v>
      </c>
      <c r="F9" s="3">
        <v>1.7206666067288059E-2</v>
      </c>
      <c r="G9" s="3">
        <v>2.8433183918747398E-2</v>
      </c>
      <c r="H9" s="3">
        <v>3.2085298120274899E-2</v>
      </c>
      <c r="I9" s="3">
        <v>2.0822867578352815E-2</v>
      </c>
      <c r="J9" s="3">
        <v>3.3974308667172264E-2</v>
      </c>
      <c r="K9" s="3">
        <v>1.7233974788701169E-3</v>
      </c>
      <c r="L9" s="3">
        <v>1.4483831116088251E-2</v>
      </c>
      <c r="M9" s="3">
        <v>2.7257408714051828E-2</v>
      </c>
      <c r="N9" s="3">
        <v>2.7452751876480087E-2</v>
      </c>
      <c r="O9" s="3">
        <v>3.4334954985659666E-2</v>
      </c>
      <c r="P9" s="3">
        <v>4.6086553063901421E-2</v>
      </c>
      <c r="Q9" s="3">
        <v>8.1908640793736717E-3</v>
      </c>
      <c r="R9" s="3">
        <v>2.1950191567823379E-2</v>
      </c>
      <c r="S9" s="3">
        <v>5.4646552354316964E-3</v>
      </c>
      <c r="T9" s="3">
        <v>2.5853972987250395E-2</v>
      </c>
      <c r="U9" s="3">
        <v>1.1291891249609869E-2</v>
      </c>
    </row>
    <row r="10" spans="1:21" hidden="1" x14ac:dyDescent="0.35">
      <c r="A10" t="s">
        <v>40</v>
      </c>
      <c r="B10" s="3">
        <v>2.4259126761697943E-2</v>
      </c>
      <c r="C10" s="3">
        <v>4.2274704614293557E-2</v>
      </c>
      <c r="D10" s="3">
        <v>1.3434097571220365E-2</v>
      </c>
      <c r="E10" s="3">
        <v>1.4874173741316808E-2</v>
      </c>
      <c r="F10" s="3">
        <v>8.6033330336440297E-3</v>
      </c>
      <c r="G10" s="3">
        <v>8.2788005521325578E-3</v>
      </c>
      <c r="H10" s="3">
        <v>2.2544590425251358E-2</v>
      </c>
      <c r="I10" s="3">
        <v>7.8894094551523099E-3</v>
      </c>
      <c r="J10" s="3">
        <v>6.7948617334344531E-3</v>
      </c>
      <c r="K10" s="3">
        <v>1.2698718265358757E-3</v>
      </c>
      <c r="L10" s="3">
        <v>5.4094607343000006E-3</v>
      </c>
      <c r="M10" s="3">
        <v>1.7444741576993172E-2</v>
      </c>
      <c r="N10" s="3">
        <v>2.1985142519465251E-2</v>
      </c>
      <c r="O10" s="3">
        <v>3.4334954985659666E-2</v>
      </c>
      <c r="P10" s="3">
        <v>4.6086553063901421E-2</v>
      </c>
      <c r="Q10" s="3">
        <v>3.9442583737923547E-3</v>
      </c>
      <c r="R10" s="3">
        <v>1.4831210518799579E-2</v>
      </c>
      <c r="S10" s="3">
        <v>3.8516532428624121E-3</v>
      </c>
      <c r="T10" s="3">
        <v>1.9760998461592662E-2</v>
      </c>
      <c r="U10" s="3">
        <v>7.527927499739912E-3</v>
      </c>
    </row>
    <row r="11" spans="1:21" hidden="1" x14ac:dyDescent="0.35">
      <c r="A11" t="s">
        <v>41</v>
      </c>
      <c r="B11" s="3">
        <v>1.6540313701157688E-2</v>
      </c>
      <c r="C11" s="3"/>
      <c r="D11" s="3"/>
      <c r="E11" s="3">
        <v>1.0411921618921766E-2</v>
      </c>
      <c r="F11" s="3">
        <v>8.6033330336440297E-3</v>
      </c>
      <c r="G11" s="3">
        <v>1.7053709002520248E-2</v>
      </c>
      <c r="H11" s="3">
        <v>0</v>
      </c>
      <c r="I11" s="3">
        <v>8.6223054154670048E-3</v>
      </c>
      <c r="J11" s="3">
        <v>1.6987154333586132E-2</v>
      </c>
      <c r="K11" s="3">
        <v>4.5352565233424134E-4</v>
      </c>
      <c r="L11" s="3">
        <v>0</v>
      </c>
      <c r="M11" s="3">
        <v>9.812667137058655E-3</v>
      </c>
      <c r="N11" s="3">
        <v>2.447041949992654E-3</v>
      </c>
      <c r="O11" s="3"/>
      <c r="P11" s="3"/>
      <c r="Q11" s="3">
        <v>4.177890402902007E-3</v>
      </c>
      <c r="R11" s="3">
        <v>7.1189810490237988E-3</v>
      </c>
      <c r="S11" s="3">
        <v>1.6130019925692839E-3</v>
      </c>
      <c r="T11" s="3">
        <v>5.9282995384777968E-3</v>
      </c>
      <c r="U11" s="3">
        <v>0</v>
      </c>
    </row>
    <row r="12" spans="1:21" hidden="1" x14ac:dyDescent="0.35">
      <c r="A12" t="s">
        <v>42</v>
      </c>
      <c r="B12" s="3"/>
      <c r="C12" s="3"/>
      <c r="D12" s="3"/>
      <c r="E12" s="3">
        <v>8.924504244790084E-4</v>
      </c>
      <c r="F12" s="3"/>
      <c r="G12" s="3">
        <v>0</v>
      </c>
      <c r="H12" s="3">
        <v>6.7905392847142643E-3</v>
      </c>
      <c r="I12" s="3">
        <v>4.3111527077335024E-3</v>
      </c>
      <c r="J12" s="3">
        <v>0</v>
      </c>
      <c r="K12" s="3">
        <v>0</v>
      </c>
      <c r="L12" s="3">
        <v>0</v>
      </c>
      <c r="M12" s="3">
        <v>0</v>
      </c>
      <c r="N12" s="3">
        <v>0</v>
      </c>
      <c r="O12" s="3"/>
      <c r="P12" s="3"/>
      <c r="Q12" s="3">
        <v>0</v>
      </c>
      <c r="R12" s="3">
        <v>0</v>
      </c>
      <c r="S12" s="3"/>
      <c r="T12" s="3">
        <v>0</v>
      </c>
      <c r="U12" s="3">
        <v>9.40990937467489E-4</v>
      </c>
    </row>
    <row r="13" spans="1:21" hidden="1" x14ac:dyDescent="0.35">
      <c r="A13" t="s">
        <v>43</v>
      </c>
      <c r="B13" s="3"/>
      <c r="C13" s="3"/>
      <c r="D13" s="3"/>
      <c r="E13" s="3">
        <v>2.2013777137148871E-3</v>
      </c>
      <c r="F13" s="3"/>
      <c r="G13" s="3">
        <v>3.1006743640945907E-3</v>
      </c>
      <c r="H13" s="3">
        <v>2.7501684103092773E-3</v>
      </c>
      <c r="I13" s="3">
        <v>0</v>
      </c>
      <c r="J13" s="3">
        <v>1.019229260015168E-2</v>
      </c>
      <c r="K13" s="3">
        <v>0</v>
      </c>
      <c r="L13" s="3">
        <v>9.0743703817882503E-3</v>
      </c>
      <c r="M13" s="3">
        <v>0</v>
      </c>
      <c r="N13" s="3">
        <v>3.0205674070221825E-3</v>
      </c>
      <c r="O13" s="3"/>
      <c r="P13" s="3"/>
      <c r="Q13" s="3">
        <v>6.8715302679309319E-5</v>
      </c>
      <c r="R13" s="3">
        <v>0</v>
      </c>
      <c r="S13" s="3"/>
      <c r="T13" s="3">
        <v>1.6467498717993883E-4</v>
      </c>
      <c r="U13" s="3">
        <v>2.8229728124024673E-3</v>
      </c>
    </row>
    <row r="14" spans="1:21" hidden="1" x14ac:dyDescent="0.35">
      <c r="A14" s="14" t="s">
        <v>44</v>
      </c>
      <c r="B14" s="3">
        <v>5.7339754164013317E-2</v>
      </c>
      <c r="C14" s="3">
        <v>3.8948606690273606E-2</v>
      </c>
      <c r="D14" s="3">
        <v>5.7430767116967055E-2</v>
      </c>
      <c r="E14" s="3">
        <v>6.856994094747047E-3</v>
      </c>
      <c r="F14" s="3">
        <v>5.656102200235083E-2</v>
      </c>
      <c r="G14" s="3">
        <v>8.2090157544191369E-2</v>
      </c>
      <c r="H14" s="3">
        <v>3.7592053031402513E-2</v>
      </c>
      <c r="I14" s="3">
        <v>5.4622304806983484E-2</v>
      </c>
      <c r="J14" s="3">
        <v>1.6987154333586132E-2</v>
      </c>
      <c r="K14" s="3">
        <v>2.6286155851123226E-2</v>
      </c>
      <c r="L14" s="3">
        <v>2.5803127702611003E-2</v>
      </c>
      <c r="M14" s="3">
        <v>7.9218244284564851E-2</v>
      </c>
      <c r="N14" s="3">
        <v>3.5861705657386105E-2</v>
      </c>
      <c r="O14" s="3">
        <v>4.744386472249229E-2</v>
      </c>
      <c r="P14" s="3">
        <v>7.6810921773169061E-2</v>
      </c>
      <c r="Q14" s="3">
        <v>2.2524876218277593E-2</v>
      </c>
      <c r="R14" s="3">
        <v>3.618815366587097E-2</v>
      </c>
      <c r="S14" s="3">
        <v>7.7033064857248241E-3</v>
      </c>
      <c r="T14" s="3">
        <v>2.5722232997506447E-2</v>
      </c>
      <c r="U14" s="3">
        <v>2.9645919484913238E-2</v>
      </c>
    </row>
    <row r="15" spans="1:21" hidden="1" x14ac:dyDescent="0.35">
      <c r="A15" t="s">
        <v>40</v>
      </c>
      <c r="B15" s="3">
        <v>2.2428665378769821E-2</v>
      </c>
      <c r="C15" s="3">
        <v>0</v>
      </c>
      <c r="D15" s="3">
        <v>3.3585243928050908E-2</v>
      </c>
      <c r="E15" s="3"/>
      <c r="F15" s="3">
        <v>2.7931368890049789E-2</v>
      </c>
      <c r="G15" s="3">
        <v>1.9906329417487271E-2</v>
      </c>
      <c r="H15" s="3">
        <v>1.052533589130711E-2</v>
      </c>
      <c r="I15" s="3">
        <v>1.5821930437381955E-2</v>
      </c>
      <c r="J15" s="3">
        <v>0</v>
      </c>
      <c r="K15" s="3">
        <v>5.0069232017700251E-3</v>
      </c>
      <c r="L15" s="3">
        <v>5.4094607343000006E-3</v>
      </c>
      <c r="M15" s="3">
        <v>3.0528297759738046E-2</v>
      </c>
      <c r="N15" s="3">
        <v>1.1462862134496841E-2</v>
      </c>
      <c r="O15" s="3"/>
      <c r="P15" s="3">
        <v>7.1690193654957782E-2</v>
      </c>
      <c r="Q15" s="3">
        <v>9.7575729804619225E-3</v>
      </c>
      <c r="R15" s="3">
        <v>1.6017707360303546E-2</v>
      </c>
      <c r="S15" s="3">
        <v>7.7033064857248241E-3</v>
      </c>
      <c r="T15" s="3">
        <v>9.8804992307963309E-3</v>
      </c>
      <c r="U15" s="3">
        <v>1.6937836874414802E-2</v>
      </c>
    </row>
    <row r="16" spans="1:21" hidden="1" x14ac:dyDescent="0.35">
      <c r="A16" t="s">
        <v>41</v>
      </c>
      <c r="B16" s="3">
        <v>2.3156439181620758E-2</v>
      </c>
      <c r="C16" s="3">
        <v>3.3260979240199495E-2</v>
      </c>
      <c r="D16" s="3"/>
      <c r="E16" s="3"/>
      <c r="F16" s="3">
        <v>0</v>
      </c>
      <c r="G16" s="3">
        <v>2.8681237867874965E-2</v>
      </c>
      <c r="H16" s="3">
        <v>1.9386989657859222E-2</v>
      </c>
      <c r="I16" s="3">
        <v>1.724461083093401E-2</v>
      </c>
      <c r="J16" s="3">
        <v>0</v>
      </c>
      <c r="K16" s="3">
        <v>1.5488617120349608E-2</v>
      </c>
      <c r="L16" s="3">
        <v>0</v>
      </c>
      <c r="M16" s="3">
        <v>2.6167112365489749E-2</v>
      </c>
      <c r="N16" s="3">
        <v>1.9836333807127952E-2</v>
      </c>
      <c r="O16" s="3">
        <v>2.3770353451610535E-2</v>
      </c>
      <c r="P16" s="3">
        <v>0</v>
      </c>
      <c r="Q16" s="3">
        <v>9.7438299199260631E-3</v>
      </c>
      <c r="R16" s="3">
        <v>1.7797452622559495E-2</v>
      </c>
      <c r="S16" s="3"/>
      <c r="T16" s="3">
        <v>6.5869994871975536E-3</v>
      </c>
      <c r="U16" s="3">
        <v>0</v>
      </c>
    </row>
    <row r="17" spans="1:24" hidden="1" x14ac:dyDescent="0.35">
      <c r="A17" t="s">
        <v>42</v>
      </c>
      <c r="B17" s="3">
        <v>1.9627838925373791E-3</v>
      </c>
      <c r="C17" s="3">
        <v>5.6876274500741132E-3</v>
      </c>
      <c r="D17" s="3">
        <v>1.6792621964025456E-3</v>
      </c>
      <c r="E17" s="3">
        <v>4.9828482033411302E-3</v>
      </c>
      <c r="F17" s="3">
        <v>1.9319196815617772E-2</v>
      </c>
      <c r="G17" s="3">
        <v>1.0247532528119704E-2</v>
      </c>
      <c r="H17" s="3">
        <v>4.9974644647740431E-3</v>
      </c>
      <c r="I17" s="3">
        <v>1.2933458123200507E-2</v>
      </c>
      <c r="J17" s="3">
        <v>0</v>
      </c>
      <c r="K17" s="3">
        <v>1.4367692665948767E-3</v>
      </c>
      <c r="L17" s="3">
        <v>0</v>
      </c>
      <c r="M17" s="3">
        <v>6.5417780913724372E-3</v>
      </c>
      <c r="N17" s="3">
        <v>9.3782882733468463E-4</v>
      </c>
      <c r="O17" s="3">
        <v>1.6639247416127378E-3</v>
      </c>
      <c r="P17" s="3">
        <v>0</v>
      </c>
      <c r="Q17" s="3">
        <v>1.6491672643034235E-3</v>
      </c>
      <c r="R17" s="3">
        <v>0</v>
      </c>
      <c r="S17" s="3"/>
      <c r="T17" s="3">
        <v>9.0900592923326244E-3</v>
      </c>
      <c r="U17" s="3">
        <v>5.180155110758527E-3</v>
      </c>
    </row>
    <row r="18" spans="1:24" hidden="1" x14ac:dyDescent="0.35">
      <c r="A18" t="s">
        <v>43</v>
      </c>
      <c r="B18" s="3">
        <v>9.7918657110853506E-3</v>
      </c>
      <c r="C18" s="3"/>
      <c r="D18" s="3">
        <v>2.2166260992513599E-2</v>
      </c>
      <c r="E18" s="3">
        <v>1.8741458914059176E-3</v>
      </c>
      <c r="F18" s="3">
        <v>9.3104562966832647E-3</v>
      </c>
      <c r="G18" s="3">
        <v>2.325505773070943E-2</v>
      </c>
      <c r="H18" s="3">
        <v>2.6822630174621349E-3</v>
      </c>
      <c r="I18" s="3">
        <v>8.6223054154670048E-3</v>
      </c>
      <c r="J18" s="3">
        <v>1.6987154333586132E-2</v>
      </c>
      <c r="K18" s="3">
        <v>4.3538462624087169E-3</v>
      </c>
      <c r="L18" s="3">
        <v>2.0393666968311002E-2</v>
      </c>
      <c r="M18" s="3">
        <v>1.5981056067964631E-2</v>
      </c>
      <c r="N18" s="3">
        <v>3.6246808884266191E-3</v>
      </c>
      <c r="O18" s="3">
        <v>2.2009586529269015E-2</v>
      </c>
      <c r="P18" s="3">
        <v>5.1207281182112695E-3</v>
      </c>
      <c r="Q18" s="3">
        <v>1.3743060535861865E-3</v>
      </c>
      <c r="R18" s="3">
        <v>2.3729936830079327E-3</v>
      </c>
      <c r="S18" s="3"/>
      <c r="T18" s="3">
        <v>1.6467498717993883E-4</v>
      </c>
      <c r="U18" s="3">
        <v>7.527927499739912E-3</v>
      </c>
    </row>
    <row r="19" spans="1:24" hidden="1" x14ac:dyDescent="0.35">
      <c r="B19" s="3"/>
      <c r="C19" s="3"/>
      <c r="D19" s="3"/>
      <c r="E19" s="3"/>
      <c r="F19" s="3"/>
      <c r="G19" s="3"/>
      <c r="H19" s="3"/>
      <c r="I19" s="3"/>
      <c r="J19" s="3"/>
      <c r="K19" s="3"/>
      <c r="L19" s="3"/>
      <c r="M19" s="3"/>
      <c r="N19" s="3"/>
      <c r="O19" s="3"/>
      <c r="P19" s="3"/>
      <c r="Q19" s="3"/>
      <c r="R19" s="3"/>
      <c r="S19" s="3"/>
      <c r="T19" s="3"/>
      <c r="U19" s="3"/>
    </row>
    <row r="20" spans="1:24" hidden="1" x14ac:dyDescent="0.35">
      <c r="A20" t="s">
        <v>5</v>
      </c>
      <c r="B20" s="3">
        <v>1.6749684760666014E-2</v>
      </c>
      <c r="C20" s="3">
        <v>5.4675582312656706E-2</v>
      </c>
      <c r="D20" s="3">
        <v>1.275389009925984E-2</v>
      </c>
      <c r="E20" s="3">
        <v>0</v>
      </c>
      <c r="F20" s="3">
        <v>1.7678081575980883E-2</v>
      </c>
      <c r="G20" s="3">
        <v>2.3549425550085497E-2</v>
      </c>
      <c r="H20" s="3">
        <v>4.8218814705365737E-2</v>
      </c>
      <c r="I20" s="3">
        <v>7.0868263688769903E-2</v>
      </c>
      <c r="J20" s="3">
        <v>0.11169635726193622</v>
      </c>
      <c r="K20" s="3">
        <v>2.8643725410583661E-3</v>
      </c>
      <c r="L20" s="3">
        <v>0</v>
      </c>
      <c r="M20" s="3">
        <v>3.584535940478048E-2</v>
      </c>
      <c r="N20" s="3">
        <v>1.8352814624944907E-2</v>
      </c>
      <c r="O20" s="3">
        <v>4.3416170687873124E-2</v>
      </c>
      <c r="P20" s="3">
        <v>3.8891605961098245E-2</v>
      </c>
      <c r="Q20" s="3">
        <v>1.0437767495591287E-2</v>
      </c>
      <c r="R20" s="3">
        <v>9.7520288342791746E-3</v>
      </c>
      <c r="S20" s="3"/>
      <c r="T20" s="3">
        <v>1.0827944362516526E-2</v>
      </c>
      <c r="U20" s="3">
        <v>1.5468344177547761E-2</v>
      </c>
    </row>
    <row r="21" spans="1:24" hidden="1" x14ac:dyDescent="0.35">
      <c r="A21" t="s">
        <v>4</v>
      </c>
      <c r="B21" s="3">
        <v>7.8165195549774712E-3</v>
      </c>
      <c r="C21" s="3">
        <v>1.8225194104218904E-2</v>
      </c>
      <c r="D21" s="3">
        <v>1.7005186799013122E-2</v>
      </c>
      <c r="E21" s="3">
        <v>6.1126741402671809E-3</v>
      </c>
      <c r="F21" s="3">
        <v>8.8390407879904414E-3</v>
      </c>
      <c r="G21" s="3">
        <v>1.0989731923373233E-2</v>
      </c>
      <c r="H21" s="3">
        <v>1.1971567788918391E-2</v>
      </c>
      <c r="I21" s="3">
        <v>1.7717065922192476E-2</v>
      </c>
      <c r="J21" s="3">
        <v>3.7232119087312068E-2</v>
      </c>
      <c r="K21" s="3">
        <v>2.6734143716544752E-3</v>
      </c>
      <c r="L21" s="3">
        <v>8.2994466060493152E-3</v>
      </c>
      <c r="M21" s="3">
        <v>3.584535940478048E-2</v>
      </c>
      <c r="N21" s="3">
        <v>1.8352814624944907E-2</v>
      </c>
      <c r="O21" s="3">
        <v>2.1708085343936562E-2</v>
      </c>
      <c r="P21" s="3">
        <v>1.5556642384439302E-2</v>
      </c>
      <c r="Q21" s="3">
        <v>6.2626604973547734E-3</v>
      </c>
      <c r="R21" s="3">
        <v>1.560324613484668E-2</v>
      </c>
      <c r="S21" s="3">
        <v>3.749616046085738E-3</v>
      </c>
      <c r="T21" s="3">
        <v>7.5795610537615684E-3</v>
      </c>
      <c r="U21" s="3">
        <v>9.7966179791135824E-3</v>
      </c>
    </row>
    <row r="22" spans="1:24" hidden="1" x14ac:dyDescent="0.35">
      <c r="A22" t="s">
        <v>45</v>
      </c>
      <c r="B22" s="3">
        <v>8.3748423803330044E-2</v>
      </c>
      <c r="C22" s="3">
        <v>0.13668895578164175</v>
      </c>
      <c r="D22" s="3">
        <v>2.4487468990578892E-2</v>
      </c>
      <c r="E22" s="3">
        <v>6.1126741402671811E-2</v>
      </c>
      <c r="F22" s="3">
        <v>6.4819632445263217E-2</v>
      </c>
      <c r="G22" s="3">
        <v>8.320797027696876E-2</v>
      </c>
      <c r="H22" s="3">
        <v>0.1197156778891839</v>
      </c>
      <c r="I22" s="3">
        <v>0.17717065922192476</v>
      </c>
      <c r="J22" s="3">
        <v>0.27924089315484057</v>
      </c>
      <c r="K22" s="3">
        <v>3.6282052186739307E-2</v>
      </c>
      <c r="L22" s="3">
        <v>4.1497233030246584E-2</v>
      </c>
      <c r="M22" s="3">
        <v>0.15532989075404877</v>
      </c>
      <c r="N22" s="3">
        <v>7.2799498012281472E-2</v>
      </c>
      <c r="O22" s="3">
        <v>0.1628106400795242</v>
      </c>
      <c r="P22" s="3">
        <v>9.7229014902745631E-2</v>
      </c>
      <c r="Q22" s="3">
        <v>4.0011442066433277E-2</v>
      </c>
      <c r="R22" s="3">
        <v>9.752028834279175E-2</v>
      </c>
      <c r="S22" s="3">
        <v>2.222986655893687E-2</v>
      </c>
      <c r="T22" s="3">
        <v>6.4606734696348603E-2</v>
      </c>
      <c r="U22" s="3">
        <v>7.7341720887738802E-2</v>
      </c>
    </row>
    <row r="23" spans="1:24" hidden="1" x14ac:dyDescent="0.35">
      <c r="A23" t="s">
        <v>46</v>
      </c>
      <c r="B23" s="3">
        <v>3.3499369521332027E-2</v>
      </c>
      <c r="C23" s="3">
        <v>8.2013373468985046E-2</v>
      </c>
      <c r="D23" s="3">
        <v>1.7855446138963778E-2</v>
      </c>
      <c r="E23" s="3">
        <v>1.2225348280534362E-2</v>
      </c>
      <c r="F23" s="3">
        <v>4.4195203939952207E-3</v>
      </c>
      <c r="G23" s="3">
        <v>2.3549425550085497E-2</v>
      </c>
      <c r="H23" s="3">
        <v>0</v>
      </c>
      <c r="I23" s="3">
        <v>0</v>
      </c>
      <c r="J23" s="3">
        <v>5.5848178630968109E-2</v>
      </c>
      <c r="K23" s="3">
        <v>0</v>
      </c>
      <c r="L23" s="3">
        <v>1.659889321209863E-2</v>
      </c>
      <c r="M23" s="3">
        <v>0</v>
      </c>
      <c r="N23" s="3">
        <v>0</v>
      </c>
      <c r="O23" s="3">
        <v>0</v>
      </c>
      <c r="P23" s="3">
        <v>5.8337408941647378E-2</v>
      </c>
      <c r="Q23" s="3">
        <v>9.7419163292185376E-3</v>
      </c>
      <c r="R23" s="3">
        <v>0</v>
      </c>
      <c r="S23" s="3"/>
      <c r="T23" s="3">
        <v>0</v>
      </c>
      <c r="U23" s="3">
        <v>0</v>
      </c>
    </row>
    <row r="24" spans="1:24" hidden="1" x14ac:dyDescent="0.35">
      <c r="B24" s="3"/>
      <c r="C24" s="3"/>
      <c r="D24" s="3"/>
      <c r="E24" s="3"/>
      <c r="F24" s="3"/>
      <c r="G24" s="3"/>
      <c r="H24" s="3"/>
      <c r="I24" s="3"/>
      <c r="J24" s="3"/>
      <c r="K24" s="3"/>
      <c r="L24" s="3"/>
      <c r="M24" s="3"/>
      <c r="N24" s="3"/>
      <c r="O24" s="3"/>
      <c r="P24" s="3"/>
      <c r="Q24" s="3"/>
      <c r="R24" s="3"/>
      <c r="S24" s="3"/>
      <c r="T24" s="3"/>
      <c r="U24" s="3"/>
    </row>
    <row r="25" spans="1:24" hidden="1" x14ac:dyDescent="0.35">
      <c r="A25" t="s">
        <v>47</v>
      </c>
      <c r="B25" s="3">
        <v>1.674968476066601E-2</v>
      </c>
      <c r="C25" s="3">
        <v>2.733779115632835E-2</v>
      </c>
      <c r="D25" s="3">
        <v>4.8974937981157785E-3</v>
      </c>
      <c r="E25" s="3">
        <v>1.2225348280534362E-2</v>
      </c>
      <c r="F25" s="3">
        <v>1.2963926489052643E-2</v>
      </c>
      <c r="G25" s="3">
        <v>1.6641594055393751E-2</v>
      </c>
      <c r="H25" s="3">
        <v>2.3943135577836779E-2</v>
      </c>
      <c r="I25" s="3">
        <v>3.5434131844384952E-2</v>
      </c>
      <c r="J25" s="3">
        <v>5.5848178630968116E-2</v>
      </c>
      <c r="K25" s="3">
        <v>7.2564104373478615E-3</v>
      </c>
      <c r="L25" s="3">
        <v>8.2994466060493169E-3</v>
      </c>
      <c r="M25" s="3">
        <v>3.1065978150809755E-2</v>
      </c>
      <c r="N25" s="3">
        <v>1.4559899602456294E-2</v>
      </c>
      <c r="O25" s="3">
        <v>3.2562128015904843E-2</v>
      </c>
      <c r="P25" s="3">
        <v>1.9445802980549126E-2</v>
      </c>
      <c r="Q25" s="3">
        <v>8.0022884132866547E-3</v>
      </c>
      <c r="R25" s="3">
        <v>1.9504057668558349E-2</v>
      </c>
      <c r="S25" s="3">
        <v>7.4992320921714762E-4</v>
      </c>
      <c r="T25" s="3">
        <v>1.2921346939269721E-2</v>
      </c>
      <c r="U25" s="3">
        <v>1.546834417754776E-2</v>
      </c>
    </row>
    <row r="26" spans="1:24" hidden="1" x14ac:dyDescent="0.35">
      <c r="A26" t="s">
        <v>48</v>
      </c>
      <c r="B26" s="3">
        <v>6.6998739042664051E-3</v>
      </c>
      <c r="C26" s="3">
        <v>1.6402674693797008E-2</v>
      </c>
      <c r="D26" s="3">
        <v>3.5710892277927555E-3</v>
      </c>
      <c r="E26" s="3">
        <v>2.4450696561068722E-3</v>
      </c>
      <c r="F26" s="3">
        <v>8.8390407879904414E-4</v>
      </c>
      <c r="G26" s="3">
        <v>4.7098851100170992E-3</v>
      </c>
      <c r="H26" s="3">
        <v>0</v>
      </c>
      <c r="I26" s="3">
        <v>0</v>
      </c>
      <c r="J26" s="3">
        <v>1.1169635726193622E-2</v>
      </c>
      <c r="K26" s="3">
        <v>0</v>
      </c>
      <c r="L26" s="3">
        <v>3.3197786424197261E-3</v>
      </c>
      <c r="M26" s="3">
        <v>0</v>
      </c>
      <c r="N26" s="3">
        <v>0</v>
      </c>
      <c r="O26" s="3">
        <v>0</v>
      </c>
      <c r="P26" s="3">
        <v>1.1667481788329475E-2</v>
      </c>
      <c r="Q26" s="3">
        <v>1.9483832658437074E-3</v>
      </c>
      <c r="R26" s="3">
        <v>0</v>
      </c>
      <c r="S26" s="3">
        <v>4.4459733117873743E-3</v>
      </c>
      <c r="T26" s="3">
        <v>0</v>
      </c>
      <c r="U26" s="3">
        <v>0</v>
      </c>
    </row>
    <row r="28" spans="1:24" s="25" customFormat="1" ht="12.75" customHeight="1" x14ac:dyDescent="0.35">
      <c r="A28" s="953"/>
      <c r="B28" s="953"/>
      <c r="C28" s="953"/>
      <c r="D28" s="953"/>
      <c r="E28" s="184"/>
      <c r="F28" s="953" t="s">
        <v>68</v>
      </c>
      <c r="G28" s="953"/>
      <c r="H28" s="953"/>
      <c r="I28" s="953"/>
      <c r="J28" s="953"/>
      <c r="K28" s="953"/>
      <c r="L28" s="953"/>
      <c r="M28" s="953"/>
      <c r="N28" s="953"/>
      <c r="O28" s="953"/>
      <c r="P28" s="953" t="s">
        <v>168</v>
      </c>
      <c r="Q28" s="953"/>
      <c r="R28" s="953" t="s">
        <v>70</v>
      </c>
      <c r="S28" s="953"/>
      <c r="T28" s="953"/>
      <c r="U28" s="953"/>
    </row>
    <row r="29" spans="1:24" s="25" customFormat="1" ht="25.5" customHeight="1" x14ac:dyDescent="0.35">
      <c r="A29" s="953"/>
      <c r="B29" s="953"/>
      <c r="C29" s="953"/>
      <c r="D29" s="953"/>
      <c r="E29" s="743"/>
      <c r="F29" s="953" t="s">
        <v>72</v>
      </c>
      <c r="G29" s="953"/>
      <c r="H29" s="953"/>
      <c r="I29" s="953"/>
      <c r="J29" s="953"/>
      <c r="K29" s="953" t="s">
        <v>71</v>
      </c>
      <c r="L29" s="953"/>
      <c r="M29" s="953"/>
      <c r="N29" s="953"/>
      <c r="O29" s="953"/>
      <c r="P29" s="953"/>
      <c r="Q29" s="953"/>
      <c r="R29" s="953" t="s">
        <v>74</v>
      </c>
      <c r="S29" s="953"/>
      <c r="T29" s="953" t="s">
        <v>73</v>
      </c>
      <c r="U29" s="953"/>
    </row>
    <row r="30" spans="1:24" s="25" customFormat="1" ht="52" x14ac:dyDescent="0.35">
      <c r="A30" s="184" t="s">
        <v>169</v>
      </c>
      <c r="B30" s="184" t="s">
        <v>170</v>
      </c>
      <c r="C30" s="184" t="s">
        <v>89</v>
      </c>
      <c r="D30" s="184" t="s">
        <v>171</v>
      </c>
      <c r="E30" s="743" t="s">
        <v>60</v>
      </c>
      <c r="F30" s="747" t="s">
        <v>75</v>
      </c>
      <c r="G30" s="184" t="s">
        <v>76</v>
      </c>
      <c r="H30" s="184" t="s">
        <v>77</v>
      </c>
      <c r="I30" s="184" t="s">
        <v>172</v>
      </c>
      <c r="J30" s="184" t="s">
        <v>79</v>
      </c>
      <c r="K30" s="747" t="s">
        <v>173</v>
      </c>
      <c r="L30" s="184" t="s">
        <v>174</v>
      </c>
      <c r="M30" s="184" t="s">
        <v>175</v>
      </c>
      <c r="N30" s="184" t="s">
        <v>176</v>
      </c>
      <c r="O30" s="184" t="s">
        <v>177</v>
      </c>
      <c r="P30" s="184" t="s">
        <v>5</v>
      </c>
      <c r="Q30" s="184" t="s">
        <v>4</v>
      </c>
      <c r="R30" s="184" t="s">
        <v>80</v>
      </c>
      <c r="S30" s="184" t="s">
        <v>81</v>
      </c>
      <c r="T30" s="184" t="s">
        <v>80</v>
      </c>
      <c r="U30" s="184" t="s">
        <v>81</v>
      </c>
    </row>
    <row r="31" spans="1:24" x14ac:dyDescent="0.35">
      <c r="A31" s="623" t="s">
        <v>11</v>
      </c>
      <c r="B31" s="744" t="e">
        <f>VLOOKUP('Figure 4'!$A31,#REF!,4,FALSE)</f>
        <v>#REF!</v>
      </c>
      <c r="C31" s="745" t="e">
        <f>VLOOKUP('Figure 4'!$A31,#REF!,5,FALSE)</f>
        <v>#REF!</v>
      </c>
      <c r="D31" s="745" t="e">
        <f>VLOOKUP('Figure 4'!$A31,#REF!,6,FALSE)</f>
        <v>#REF!</v>
      </c>
      <c r="E31" s="746" t="e">
        <f>+D31/B31</f>
        <v>#REF!</v>
      </c>
      <c r="F31" s="746" t="e">
        <f>+J31+I31+H31+G31</f>
        <v>#REF!</v>
      </c>
      <c r="G31" s="746" t="e">
        <f>VLOOKUP(A31,#REF!,8,FALSE)</f>
        <v>#REF!</v>
      </c>
      <c r="H31" s="746" t="e">
        <f>VLOOKUP(A31,#REF!,9,FALSE)</f>
        <v>#REF!</v>
      </c>
      <c r="I31" s="746" t="e">
        <f>VLOOKUP(A31,#REF!,10,FALSE)</f>
        <v>#REF!</v>
      </c>
      <c r="J31" s="746" t="e">
        <f>VLOOKUP(A31,#REF!,11,FALSE)</f>
        <v>#REF!</v>
      </c>
      <c r="K31" s="746" t="e">
        <f>+O31+N31+M31+L31</f>
        <v>#REF!</v>
      </c>
      <c r="L31" s="746" t="e">
        <f>VLOOKUP($A31,#REF!,13,FALSE)</f>
        <v>#REF!</v>
      </c>
      <c r="M31" s="746" t="e">
        <f>VLOOKUP($A31,#REF!,14,FALSE)</f>
        <v>#REF!</v>
      </c>
      <c r="N31" s="746" t="e">
        <f>VLOOKUP($A31,#REF!,15,FALSE)</f>
        <v>#REF!</v>
      </c>
      <c r="O31" s="746" t="e">
        <f>VLOOKUP($A31,#REF!,16,FALSE)</f>
        <v>#REF!</v>
      </c>
      <c r="P31" s="746" t="e">
        <f>VLOOKUP($A31,#REF!,17,FALSE)</f>
        <v>#REF!</v>
      </c>
      <c r="Q31" s="746" t="e">
        <f>VLOOKUP($A31,#REF!,18,FALSE)</f>
        <v>#REF!</v>
      </c>
      <c r="R31" s="746" t="e">
        <f>VLOOKUP($A31,#REF!,19,FALSE)</f>
        <v>#REF!</v>
      </c>
      <c r="S31" s="746" t="e">
        <f>VLOOKUP($A31,#REF!,20,FALSE)</f>
        <v>#REF!</v>
      </c>
      <c r="T31" s="746" t="e">
        <f>VLOOKUP($A31,#REF!,19,FALSE)</f>
        <v>#REF!</v>
      </c>
      <c r="U31" s="746" t="e">
        <f>VLOOKUP($A31,#REF!,20,FALSE)</f>
        <v>#REF!</v>
      </c>
      <c r="V31" s="7"/>
      <c r="W31" s="7"/>
      <c r="X31" s="7"/>
    </row>
    <row r="32" spans="1:24" x14ac:dyDescent="0.35">
      <c r="A32" s="623" t="s">
        <v>13</v>
      </c>
      <c r="B32" s="744" t="e">
        <f>VLOOKUP('Figure 4'!$A32,#REF!,4,FALSE)</f>
        <v>#REF!</v>
      </c>
      <c r="C32" s="745" t="e">
        <f>VLOOKUP('Figure 4'!$A32,#REF!,5,FALSE)</f>
        <v>#REF!</v>
      </c>
      <c r="D32" s="745" t="e">
        <f>VLOOKUP('Figure 4'!$A32,#REF!,6,FALSE)</f>
        <v>#REF!</v>
      </c>
      <c r="E32" s="746" t="e">
        <f t="shared" ref="E32:E50" si="0">+D32/B32</f>
        <v>#REF!</v>
      </c>
      <c r="F32" s="746" t="e">
        <f t="shared" ref="F32:F50" si="1">+J32+I32+H32+G32</f>
        <v>#REF!</v>
      </c>
      <c r="G32" s="746" t="e">
        <f>VLOOKUP(A32,#REF!,8,FALSE)</f>
        <v>#REF!</v>
      </c>
      <c r="H32" s="746" t="e">
        <f>VLOOKUP(A32,#REF!,9,FALSE)</f>
        <v>#REF!</v>
      </c>
      <c r="I32" s="746" t="e">
        <f>VLOOKUP(A32,#REF!,10,FALSE)</f>
        <v>#REF!</v>
      </c>
      <c r="J32" s="746" t="e">
        <f>VLOOKUP(A32,#REF!,11,FALSE)</f>
        <v>#REF!</v>
      </c>
      <c r="K32" s="746" t="e">
        <f t="shared" ref="K32:K50" si="2">+O32+N32+M32+L32</f>
        <v>#REF!</v>
      </c>
      <c r="L32" s="746" t="e">
        <f>VLOOKUP($A32,#REF!,13,FALSE)</f>
        <v>#REF!</v>
      </c>
      <c r="M32" s="746" t="e">
        <f>VLOOKUP($A32,#REF!,14,FALSE)</f>
        <v>#REF!</v>
      </c>
      <c r="N32" s="746" t="e">
        <f>VLOOKUP($A32,#REF!,15,FALSE)</f>
        <v>#REF!</v>
      </c>
      <c r="O32" s="746" t="e">
        <f>VLOOKUP($A32,#REF!,16,FALSE)</f>
        <v>#REF!</v>
      </c>
      <c r="P32" s="746" t="e">
        <f>VLOOKUP($A32,#REF!,17,FALSE)</f>
        <v>#REF!</v>
      </c>
      <c r="Q32" s="746" t="e">
        <f>VLOOKUP($A32,#REF!,18,FALSE)</f>
        <v>#REF!</v>
      </c>
      <c r="R32" s="746" t="e">
        <f>VLOOKUP($A32,#REF!,19,FALSE)</f>
        <v>#REF!</v>
      </c>
      <c r="S32" s="746" t="e">
        <f>VLOOKUP($A32,#REF!,20,FALSE)</f>
        <v>#REF!</v>
      </c>
      <c r="T32" s="746" t="e">
        <f>VLOOKUP($A32,#REF!,19,FALSE)</f>
        <v>#REF!</v>
      </c>
      <c r="U32" s="746" t="e">
        <f>VLOOKUP($A32,#REF!,20,FALSE)</f>
        <v>#REF!</v>
      </c>
      <c r="V32" s="7"/>
      <c r="W32" s="7"/>
      <c r="X32" s="7"/>
    </row>
    <row r="33" spans="1:24" x14ac:dyDescent="0.35">
      <c r="A33" s="623" t="s">
        <v>12</v>
      </c>
      <c r="B33" s="744" t="e">
        <f>VLOOKUP('Figure 4'!$A33,#REF!,4,FALSE)</f>
        <v>#REF!</v>
      </c>
      <c r="C33" s="745" t="e">
        <f>VLOOKUP('Figure 4'!$A33,#REF!,5,FALSE)</f>
        <v>#REF!</v>
      </c>
      <c r="D33" s="745" t="e">
        <f>VLOOKUP('Figure 4'!$A33,#REF!,6,FALSE)</f>
        <v>#REF!</v>
      </c>
      <c r="E33" s="746" t="e">
        <f t="shared" si="0"/>
        <v>#REF!</v>
      </c>
      <c r="F33" s="746" t="e">
        <f t="shared" si="1"/>
        <v>#REF!</v>
      </c>
      <c r="G33" s="746" t="e">
        <f>VLOOKUP(A33,#REF!,8,FALSE)</f>
        <v>#REF!</v>
      </c>
      <c r="H33" s="746" t="e">
        <f>VLOOKUP(A33,#REF!,9,FALSE)</f>
        <v>#REF!</v>
      </c>
      <c r="I33" s="746" t="e">
        <f>VLOOKUP(A33,#REF!,10,FALSE)</f>
        <v>#REF!</v>
      </c>
      <c r="J33" s="746" t="e">
        <f>VLOOKUP(A33,#REF!,11,FALSE)</f>
        <v>#REF!</v>
      </c>
      <c r="K33" s="746" t="e">
        <f t="shared" si="2"/>
        <v>#REF!</v>
      </c>
      <c r="L33" s="746" t="e">
        <f>VLOOKUP($A33,#REF!,13,FALSE)</f>
        <v>#REF!</v>
      </c>
      <c r="M33" s="746" t="e">
        <f>VLOOKUP($A33,#REF!,14,FALSE)</f>
        <v>#REF!</v>
      </c>
      <c r="N33" s="746" t="e">
        <f>VLOOKUP($A33,#REF!,15,FALSE)</f>
        <v>#REF!</v>
      </c>
      <c r="O33" s="746" t="e">
        <f>VLOOKUP($A33,#REF!,16,FALSE)</f>
        <v>#REF!</v>
      </c>
      <c r="P33" s="746" t="e">
        <f>VLOOKUP($A33,#REF!,17,FALSE)</f>
        <v>#REF!</v>
      </c>
      <c r="Q33" s="746" t="e">
        <f>VLOOKUP($A33,#REF!,18,FALSE)</f>
        <v>#REF!</v>
      </c>
      <c r="R33" s="746" t="e">
        <f>VLOOKUP($A33,#REF!,19,FALSE)</f>
        <v>#REF!</v>
      </c>
      <c r="S33" s="746" t="e">
        <f>VLOOKUP($A33,#REF!,20,FALSE)</f>
        <v>#REF!</v>
      </c>
      <c r="T33" s="746" t="e">
        <f>VLOOKUP($A33,#REF!,19,FALSE)</f>
        <v>#REF!</v>
      </c>
      <c r="U33" s="746" t="e">
        <f>VLOOKUP($A33,#REF!,20,FALSE)</f>
        <v>#REF!</v>
      </c>
      <c r="V33" s="7"/>
      <c r="W33" s="7"/>
      <c r="X33" s="7"/>
    </row>
    <row r="34" spans="1:24" x14ac:dyDescent="0.35">
      <c r="A34" s="623" t="s">
        <v>28</v>
      </c>
      <c r="B34" s="744" t="e">
        <f>VLOOKUP('Figure 4'!$A34,#REF!,4,FALSE)</f>
        <v>#REF!</v>
      </c>
      <c r="C34" s="745" t="e">
        <f>VLOOKUP('Figure 4'!$A34,#REF!,5,FALSE)</f>
        <v>#REF!</v>
      </c>
      <c r="D34" s="745" t="e">
        <f>VLOOKUP('Figure 4'!$A34,#REF!,6,FALSE)</f>
        <v>#REF!</v>
      </c>
      <c r="E34" s="746" t="e">
        <f t="shared" si="0"/>
        <v>#REF!</v>
      </c>
      <c r="F34" s="746" t="e">
        <f t="shared" si="1"/>
        <v>#REF!</v>
      </c>
      <c r="G34" s="746" t="e">
        <f>VLOOKUP(A34,#REF!,8,FALSE)</f>
        <v>#REF!</v>
      </c>
      <c r="H34" s="746" t="e">
        <f>VLOOKUP(A34,#REF!,9,FALSE)</f>
        <v>#REF!</v>
      </c>
      <c r="I34" s="746" t="e">
        <f>VLOOKUP(A34,#REF!,10,FALSE)</f>
        <v>#REF!</v>
      </c>
      <c r="J34" s="746" t="e">
        <f>VLOOKUP(A34,#REF!,11,FALSE)</f>
        <v>#REF!</v>
      </c>
      <c r="K34" s="746" t="e">
        <f t="shared" si="2"/>
        <v>#REF!</v>
      </c>
      <c r="L34" s="746" t="e">
        <f>VLOOKUP($A34,#REF!,13,FALSE)</f>
        <v>#REF!</v>
      </c>
      <c r="M34" s="746" t="e">
        <f>VLOOKUP($A34,#REF!,14,FALSE)</f>
        <v>#REF!</v>
      </c>
      <c r="N34" s="746" t="e">
        <f>VLOOKUP($A34,#REF!,15,FALSE)</f>
        <v>#REF!</v>
      </c>
      <c r="O34" s="746" t="e">
        <f>VLOOKUP($A34,#REF!,16,FALSE)</f>
        <v>#REF!</v>
      </c>
      <c r="P34" s="746" t="e">
        <f>VLOOKUP($A34,#REF!,17,FALSE)</f>
        <v>#REF!</v>
      </c>
      <c r="Q34" s="746" t="e">
        <f>VLOOKUP($A34,#REF!,18,FALSE)</f>
        <v>#REF!</v>
      </c>
      <c r="R34" s="746" t="e">
        <f>VLOOKUP($A34,#REF!,19,FALSE)</f>
        <v>#REF!</v>
      </c>
      <c r="S34" s="746" t="e">
        <f>VLOOKUP($A34,#REF!,20,FALSE)</f>
        <v>#REF!</v>
      </c>
      <c r="T34" s="746" t="e">
        <f>VLOOKUP($A34,#REF!,19,FALSE)</f>
        <v>#REF!</v>
      </c>
      <c r="U34" s="746" t="e">
        <f>VLOOKUP($A34,#REF!,20,FALSE)</f>
        <v>#REF!</v>
      </c>
      <c r="V34" s="7"/>
      <c r="W34" s="7"/>
      <c r="X34" s="7"/>
    </row>
    <row r="35" spans="1:24" x14ac:dyDescent="0.35">
      <c r="A35" s="623" t="s">
        <v>15</v>
      </c>
      <c r="B35" s="744" t="e">
        <f>VLOOKUP('Figure 4'!$A35,#REF!,4,FALSE)</f>
        <v>#REF!</v>
      </c>
      <c r="C35" s="745" t="e">
        <f>VLOOKUP('Figure 4'!$A35,#REF!,5,FALSE)</f>
        <v>#REF!</v>
      </c>
      <c r="D35" s="745" t="e">
        <f>VLOOKUP('Figure 4'!$A35,#REF!,6,FALSE)</f>
        <v>#REF!</v>
      </c>
      <c r="E35" s="746" t="e">
        <f t="shared" si="0"/>
        <v>#REF!</v>
      </c>
      <c r="F35" s="746" t="e">
        <f t="shared" si="1"/>
        <v>#REF!</v>
      </c>
      <c r="G35" s="746" t="e">
        <f>VLOOKUP(A35,#REF!,8,FALSE)</f>
        <v>#REF!</v>
      </c>
      <c r="H35" s="746" t="e">
        <f>VLOOKUP(A35,#REF!,9,FALSE)</f>
        <v>#REF!</v>
      </c>
      <c r="I35" s="746" t="e">
        <f>VLOOKUP(A35,#REF!,10,FALSE)</f>
        <v>#REF!</v>
      </c>
      <c r="J35" s="746" t="e">
        <f>VLOOKUP(A35,#REF!,11,FALSE)</f>
        <v>#REF!</v>
      </c>
      <c r="K35" s="746" t="e">
        <f t="shared" si="2"/>
        <v>#REF!</v>
      </c>
      <c r="L35" s="746" t="e">
        <f>VLOOKUP($A35,#REF!,13,FALSE)</f>
        <v>#REF!</v>
      </c>
      <c r="M35" s="746" t="e">
        <f>VLOOKUP($A35,#REF!,14,FALSE)</f>
        <v>#REF!</v>
      </c>
      <c r="N35" s="746" t="e">
        <f>VLOOKUP($A35,#REF!,15,FALSE)</f>
        <v>#REF!</v>
      </c>
      <c r="O35" s="746" t="e">
        <f>VLOOKUP($A35,#REF!,16,FALSE)</f>
        <v>#REF!</v>
      </c>
      <c r="P35" s="746" t="e">
        <f>VLOOKUP($A35,#REF!,17,FALSE)</f>
        <v>#REF!</v>
      </c>
      <c r="Q35" s="746" t="e">
        <f>VLOOKUP($A35,#REF!,18,FALSE)</f>
        <v>#REF!</v>
      </c>
      <c r="R35" s="746" t="e">
        <f>VLOOKUP($A35,#REF!,19,FALSE)</f>
        <v>#REF!</v>
      </c>
      <c r="S35" s="746" t="e">
        <f>VLOOKUP($A35,#REF!,20,FALSE)</f>
        <v>#REF!</v>
      </c>
      <c r="T35" s="746" t="e">
        <f>VLOOKUP($A35,#REF!,19,FALSE)</f>
        <v>#REF!</v>
      </c>
      <c r="U35" s="746" t="e">
        <f>VLOOKUP($A35,#REF!,20,FALSE)</f>
        <v>#REF!</v>
      </c>
      <c r="V35" s="7"/>
      <c r="W35" s="7"/>
      <c r="X35" s="7"/>
    </row>
    <row r="36" spans="1:24" x14ac:dyDescent="0.35">
      <c r="A36" s="623" t="s">
        <v>18</v>
      </c>
      <c r="B36" s="744" t="e">
        <f>VLOOKUP('Figure 4'!$A36,#REF!,4,FALSE)</f>
        <v>#REF!</v>
      </c>
      <c r="C36" s="745" t="e">
        <f>VLOOKUP('Figure 4'!$A36,#REF!,5,FALSE)</f>
        <v>#REF!</v>
      </c>
      <c r="D36" s="745" t="e">
        <f>VLOOKUP('Figure 4'!$A36,#REF!,6,FALSE)</f>
        <v>#REF!</v>
      </c>
      <c r="E36" s="746" t="e">
        <f t="shared" si="0"/>
        <v>#REF!</v>
      </c>
      <c r="F36" s="746" t="e">
        <f t="shared" si="1"/>
        <v>#REF!</v>
      </c>
      <c r="G36" s="746" t="e">
        <f>VLOOKUP(A36,#REF!,8,FALSE)</f>
        <v>#REF!</v>
      </c>
      <c r="H36" s="746" t="e">
        <f>VLOOKUP(A36,#REF!,9,FALSE)</f>
        <v>#REF!</v>
      </c>
      <c r="I36" s="746" t="e">
        <f>VLOOKUP(A36,#REF!,10,FALSE)</f>
        <v>#REF!</v>
      </c>
      <c r="J36" s="746" t="e">
        <f>VLOOKUP(A36,#REF!,11,FALSE)</f>
        <v>#REF!</v>
      </c>
      <c r="K36" s="746" t="e">
        <f t="shared" si="2"/>
        <v>#REF!</v>
      </c>
      <c r="L36" s="746" t="e">
        <f>VLOOKUP($A36,#REF!,13,FALSE)</f>
        <v>#REF!</v>
      </c>
      <c r="M36" s="746" t="e">
        <f>VLOOKUP($A36,#REF!,14,FALSE)</f>
        <v>#REF!</v>
      </c>
      <c r="N36" s="746" t="e">
        <f>VLOOKUP($A36,#REF!,15,FALSE)</f>
        <v>#REF!</v>
      </c>
      <c r="O36" s="746" t="e">
        <f>VLOOKUP($A36,#REF!,16,FALSE)</f>
        <v>#REF!</v>
      </c>
      <c r="P36" s="746" t="e">
        <f>VLOOKUP($A36,#REF!,17,FALSE)</f>
        <v>#REF!</v>
      </c>
      <c r="Q36" s="746" t="e">
        <f>VLOOKUP($A36,#REF!,18,FALSE)</f>
        <v>#REF!</v>
      </c>
      <c r="R36" s="746" t="e">
        <f>VLOOKUP($A36,#REF!,19,FALSE)</f>
        <v>#REF!</v>
      </c>
      <c r="S36" s="746" t="e">
        <f>VLOOKUP($A36,#REF!,20,FALSE)</f>
        <v>#REF!</v>
      </c>
      <c r="T36" s="746" t="e">
        <f>VLOOKUP($A36,#REF!,19,FALSE)</f>
        <v>#REF!</v>
      </c>
      <c r="U36" s="746" t="e">
        <f>VLOOKUP($A36,#REF!,20,FALSE)</f>
        <v>#REF!</v>
      </c>
      <c r="V36" s="7"/>
      <c r="W36" s="7"/>
      <c r="X36" s="7"/>
    </row>
    <row r="37" spans="1:24" x14ac:dyDescent="0.35">
      <c r="A37" s="623" t="s">
        <v>17</v>
      </c>
      <c r="B37" s="744" t="e">
        <f>VLOOKUP('Figure 4'!$A37,#REF!,4,FALSE)</f>
        <v>#REF!</v>
      </c>
      <c r="C37" s="745" t="e">
        <f>VLOOKUP('Figure 4'!$A37,#REF!,5,FALSE)</f>
        <v>#REF!</v>
      </c>
      <c r="D37" s="745" t="e">
        <f>VLOOKUP('Figure 4'!$A37,#REF!,6,FALSE)</f>
        <v>#REF!</v>
      </c>
      <c r="E37" s="746" t="e">
        <f t="shared" si="0"/>
        <v>#REF!</v>
      </c>
      <c r="F37" s="746" t="e">
        <f t="shared" si="1"/>
        <v>#REF!</v>
      </c>
      <c r="G37" s="746" t="e">
        <f>VLOOKUP(A37,#REF!,8,FALSE)</f>
        <v>#REF!</v>
      </c>
      <c r="H37" s="746" t="e">
        <f>VLOOKUP(A37,#REF!,9,FALSE)</f>
        <v>#REF!</v>
      </c>
      <c r="I37" s="746" t="e">
        <f>VLOOKUP(A37,#REF!,10,FALSE)</f>
        <v>#REF!</v>
      </c>
      <c r="J37" s="746" t="e">
        <f>VLOOKUP(A37,#REF!,11,FALSE)</f>
        <v>#REF!</v>
      </c>
      <c r="K37" s="746" t="e">
        <f t="shared" si="2"/>
        <v>#REF!</v>
      </c>
      <c r="L37" s="746" t="e">
        <f>VLOOKUP($A37,#REF!,13,FALSE)</f>
        <v>#REF!</v>
      </c>
      <c r="M37" s="746" t="e">
        <f>VLOOKUP($A37,#REF!,14,FALSE)</f>
        <v>#REF!</v>
      </c>
      <c r="N37" s="746" t="e">
        <f>VLOOKUP($A37,#REF!,15,FALSE)</f>
        <v>#REF!</v>
      </c>
      <c r="O37" s="746" t="e">
        <f>VLOOKUP($A37,#REF!,16,FALSE)</f>
        <v>#REF!</v>
      </c>
      <c r="P37" s="746" t="e">
        <f>VLOOKUP($A37,#REF!,17,FALSE)</f>
        <v>#REF!</v>
      </c>
      <c r="Q37" s="746" t="e">
        <f>VLOOKUP($A37,#REF!,18,FALSE)</f>
        <v>#REF!</v>
      </c>
      <c r="R37" s="746" t="e">
        <f>VLOOKUP($A37,#REF!,19,FALSE)</f>
        <v>#REF!</v>
      </c>
      <c r="S37" s="746" t="e">
        <f>VLOOKUP($A37,#REF!,20,FALSE)</f>
        <v>#REF!</v>
      </c>
      <c r="T37" s="746" t="e">
        <f>VLOOKUP($A37,#REF!,19,FALSE)</f>
        <v>#REF!</v>
      </c>
      <c r="U37" s="746" t="e">
        <f>VLOOKUP($A37,#REF!,20,FALSE)</f>
        <v>#REF!</v>
      </c>
      <c r="V37" s="7"/>
      <c r="W37" s="7"/>
      <c r="X37" s="7"/>
    </row>
    <row r="38" spans="1:24" x14ac:dyDescent="0.35">
      <c r="A38" s="623" t="s">
        <v>21</v>
      </c>
      <c r="B38" s="744" t="e">
        <f>VLOOKUP('Figure 4'!$A38,#REF!,4,FALSE)</f>
        <v>#REF!</v>
      </c>
      <c r="C38" s="745" t="e">
        <f>VLOOKUP('Figure 4'!$A38,#REF!,5,FALSE)</f>
        <v>#REF!</v>
      </c>
      <c r="D38" s="745" t="e">
        <f>VLOOKUP('Figure 4'!$A38,#REF!,6,FALSE)</f>
        <v>#REF!</v>
      </c>
      <c r="E38" s="746" t="e">
        <f t="shared" si="0"/>
        <v>#REF!</v>
      </c>
      <c r="F38" s="746" t="e">
        <f t="shared" si="1"/>
        <v>#REF!</v>
      </c>
      <c r="G38" s="746" t="e">
        <f>VLOOKUP(A38,#REF!,8,FALSE)</f>
        <v>#REF!</v>
      </c>
      <c r="H38" s="746" t="e">
        <f>VLOOKUP(A38,#REF!,9,FALSE)</f>
        <v>#REF!</v>
      </c>
      <c r="I38" s="746" t="e">
        <f>VLOOKUP(A38,#REF!,10,FALSE)</f>
        <v>#REF!</v>
      </c>
      <c r="J38" s="746" t="e">
        <f>VLOOKUP(A38,#REF!,11,FALSE)</f>
        <v>#REF!</v>
      </c>
      <c r="K38" s="746" t="e">
        <f t="shared" si="2"/>
        <v>#REF!</v>
      </c>
      <c r="L38" s="746" t="e">
        <f>VLOOKUP($A38,#REF!,13,FALSE)</f>
        <v>#REF!</v>
      </c>
      <c r="M38" s="746" t="e">
        <f>VLOOKUP($A38,#REF!,14,FALSE)</f>
        <v>#REF!</v>
      </c>
      <c r="N38" s="746" t="e">
        <f>VLOOKUP($A38,#REF!,15,FALSE)</f>
        <v>#REF!</v>
      </c>
      <c r="O38" s="746" t="e">
        <f>VLOOKUP($A38,#REF!,16,FALSE)</f>
        <v>#REF!</v>
      </c>
      <c r="P38" s="746" t="e">
        <f>VLOOKUP($A38,#REF!,17,FALSE)</f>
        <v>#REF!</v>
      </c>
      <c r="Q38" s="746" t="e">
        <f>VLOOKUP($A38,#REF!,18,FALSE)</f>
        <v>#REF!</v>
      </c>
      <c r="R38" s="746" t="e">
        <f>VLOOKUP($A38,#REF!,19,FALSE)</f>
        <v>#REF!</v>
      </c>
      <c r="S38" s="746" t="e">
        <f>VLOOKUP($A38,#REF!,20,FALSE)</f>
        <v>#REF!</v>
      </c>
      <c r="T38" s="746" t="e">
        <f>VLOOKUP($A38,#REF!,19,FALSE)</f>
        <v>#REF!</v>
      </c>
      <c r="U38" s="746" t="e">
        <f>VLOOKUP($A38,#REF!,20,FALSE)</f>
        <v>#REF!</v>
      </c>
      <c r="V38" s="7"/>
      <c r="W38" s="7"/>
      <c r="X38" s="7"/>
    </row>
    <row r="39" spans="1:24" x14ac:dyDescent="0.35">
      <c r="A39" s="623" t="s">
        <v>27</v>
      </c>
      <c r="B39" s="744" t="e">
        <f>VLOOKUP('Figure 4'!$A39,#REF!,4,FALSE)</f>
        <v>#REF!</v>
      </c>
      <c r="C39" s="745" t="e">
        <f>VLOOKUP('Figure 4'!$A39,#REF!,5,FALSE)</f>
        <v>#REF!</v>
      </c>
      <c r="D39" s="745" t="e">
        <f>VLOOKUP('Figure 4'!$A39,#REF!,6,FALSE)</f>
        <v>#REF!</v>
      </c>
      <c r="E39" s="746" t="e">
        <f t="shared" si="0"/>
        <v>#REF!</v>
      </c>
      <c r="F39" s="746" t="e">
        <f t="shared" si="1"/>
        <v>#REF!</v>
      </c>
      <c r="G39" s="746" t="e">
        <f>VLOOKUP(A39,#REF!,8,FALSE)</f>
        <v>#REF!</v>
      </c>
      <c r="H39" s="746" t="e">
        <f>VLOOKUP(A39,#REF!,9,FALSE)</f>
        <v>#REF!</v>
      </c>
      <c r="I39" s="746" t="e">
        <f>VLOOKUP(A39,#REF!,10,FALSE)</f>
        <v>#REF!</v>
      </c>
      <c r="J39" s="746" t="e">
        <f>VLOOKUP(A39,#REF!,11,FALSE)</f>
        <v>#REF!</v>
      </c>
      <c r="K39" s="746" t="e">
        <f t="shared" si="2"/>
        <v>#REF!</v>
      </c>
      <c r="L39" s="746" t="e">
        <f>VLOOKUP($A39,#REF!,13,FALSE)</f>
        <v>#REF!</v>
      </c>
      <c r="M39" s="746" t="e">
        <f>VLOOKUP($A39,#REF!,14,FALSE)</f>
        <v>#REF!</v>
      </c>
      <c r="N39" s="746" t="e">
        <f>VLOOKUP($A39,#REF!,15,FALSE)</f>
        <v>#REF!</v>
      </c>
      <c r="O39" s="746" t="e">
        <f>VLOOKUP($A39,#REF!,16,FALSE)</f>
        <v>#REF!</v>
      </c>
      <c r="P39" s="746" t="e">
        <f>VLOOKUP($A39,#REF!,17,FALSE)</f>
        <v>#REF!</v>
      </c>
      <c r="Q39" s="746" t="e">
        <f>VLOOKUP($A39,#REF!,18,FALSE)</f>
        <v>#REF!</v>
      </c>
      <c r="R39" s="746" t="e">
        <f>VLOOKUP($A39,#REF!,19,FALSE)</f>
        <v>#REF!</v>
      </c>
      <c r="S39" s="746" t="e">
        <f>VLOOKUP($A39,#REF!,20,FALSE)</f>
        <v>#REF!</v>
      </c>
      <c r="T39" s="746" t="e">
        <f>VLOOKUP($A39,#REF!,19,FALSE)</f>
        <v>#REF!</v>
      </c>
      <c r="U39" s="746" t="e">
        <f>VLOOKUP($A39,#REF!,20,FALSE)</f>
        <v>#REF!</v>
      </c>
      <c r="V39" s="7"/>
      <c r="W39" s="7"/>
      <c r="X39" s="7"/>
    </row>
    <row r="40" spans="1:24" s="60" customFormat="1" x14ac:dyDescent="0.35">
      <c r="A40" s="623" t="s">
        <v>24</v>
      </c>
      <c r="B40" s="744" t="e">
        <f>VLOOKUP('Figure 4'!$A40,#REF!,4,FALSE)</f>
        <v>#REF!</v>
      </c>
      <c r="C40" s="745" t="e">
        <f>VLOOKUP('Figure 4'!$A40,#REF!,5,FALSE)</f>
        <v>#REF!</v>
      </c>
      <c r="D40" s="745" t="e">
        <f>VLOOKUP('Figure 4'!$A40,#REF!,6,FALSE)</f>
        <v>#REF!</v>
      </c>
      <c r="E40" s="746" t="e">
        <f t="shared" si="0"/>
        <v>#REF!</v>
      </c>
      <c r="F40" s="746" t="e">
        <f t="shared" si="1"/>
        <v>#REF!</v>
      </c>
      <c r="G40" s="746" t="e">
        <f>VLOOKUP(A40,#REF!,8,FALSE)</f>
        <v>#REF!</v>
      </c>
      <c r="H40" s="746" t="e">
        <f>VLOOKUP(A40,#REF!,9,FALSE)</f>
        <v>#REF!</v>
      </c>
      <c r="I40" s="746" t="e">
        <f>VLOOKUP(A40,#REF!,10,FALSE)</f>
        <v>#REF!</v>
      </c>
      <c r="J40" s="746" t="e">
        <f>VLOOKUP(A40,#REF!,11,FALSE)</f>
        <v>#REF!</v>
      </c>
      <c r="K40" s="746" t="e">
        <f t="shared" si="2"/>
        <v>#REF!</v>
      </c>
      <c r="L40" s="746" t="e">
        <f>VLOOKUP($A40,#REF!,13,FALSE)</f>
        <v>#REF!</v>
      </c>
      <c r="M40" s="746" t="e">
        <f>VLOOKUP($A40,#REF!,14,FALSE)</f>
        <v>#REF!</v>
      </c>
      <c r="N40" s="746" t="e">
        <f>VLOOKUP($A40,#REF!,15,FALSE)</f>
        <v>#REF!</v>
      </c>
      <c r="O40" s="746" t="e">
        <f>VLOOKUP($A40,#REF!,16,FALSE)</f>
        <v>#REF!</v>
      </c>
      <c r="P40" s="746" t="e">
        <f>VLOOKUP($A40,#REF!,17,FALSE)</f>
        <v>#REF!</v>
      </c>
      <c r="Q40" s="746" t="e">
        <f>VLOOKUP($A40,#REF!,18,FALSE)</f>
        <v>#REF!</v>
      </c>
      <c r="R40" s="746" t="e">
        <f>VLOOKUP($A40,#REF!,19,FALSE)</f>
        <v>#REF!</v>
      </c>
      <c r="S40" s="746" t="e">
        <f>VLOOKUP($A40,#REF!,20,FALSE)</f>
        <v>#REF!</v>
      </c>
      <c r="T40" s="746" t="e">
        <f>VLOOKUP($A40,#REF!,19,FALSE)</f>
        <v>#REF!</v>
      </c>
      <c r="U40" s="746" t="e">
        <f>VLOOKUP($A40,#REF!,20,FALSE)</f>
        <v>#REF!</v>
      </c>
      <c r="V40" s="7"/>
      <c r="W40" s="7"/>
      <c r="X40" s="7"/>
    </row>
    <row r="41" spans="1:24" x14ac:dyDescent="0.35">
      <c r="A41" s="623" t="s">
        <v>29</v>
      </c>
      <c r="B41" s="744" t="e">
        <f>VLOOKUP('Figure 4'!$A41,#REF!,4,FALSE)</f>
        <v>#REF!</v>
      </c>
      <c r="C41" s="745" t="e">
        <f>VLOOKUP('Figure 4'!$A41,#REF!,5,FALSE)</f>
        <v>#REF!</v>
      </c>
      <c r="D41" s="745" t="e">
        <f>VLOOKUP('Figure 4'!$A41,#REF!,6,FALSE)</f>
        <v>#REF!</v>
      </c>
      <c r="E41" s="746" t="e">
        <f t="shared" si="0"/>
        <v>#REF!</v>
      </c>
      <c r="F41" s="746" t="e">
        <f t="shared" si="1"/>
        <v>#REF!</v>
      </c>
      <c r="G41" s="746" t="e">
        <f>VLOOKUP(A41,#REF!,8,FALSE)</f>
        <v>#REF!</v>
      </c>
      <c r="H41" s="746" t="e">
        <f>VLOOKUP(A41,#REF!,9,FALSE)</f>
        <v>#REF!</v>
      </c>
      <c r="I41" s="746" t="e">
        <f>VLOOKUP(A41,#REF!,10,FALSE)</f>
        <v>#REF!</v>
      </c>
      <c r="J41" s="746" t="e">
        <f>VLOOKUP(A41,#REF!,11,FALSE)</f>
        <v>#REF!</v>
      </c>
      <c r="K41" s="746" t="e">
        <f t="shared" si="2"/>
        <v>#REF!</v>
      </c>
      <c r="L41" s="746" t="e">
        <f>VLOOKUP($A41,#REF!,13,FALSE)</f>
        <v>#REF!</v>
      </c>
      <c r="M41" s="746" t="e">
        <f>VLOOKUP($A41,#REF!,14,FALSE)</f>
        <v>#REF!</v>
      </c>
      <c r="N41" s="746" t="e">
        <f>VLOOKUP($A41,#REF!,15,FALSE)</f>
        <v>#REF!</v>
      </c>
      <c r="O41" s="746" t="e">
        <f>VLOOKUP($A41,#REF!,16,FALSE)</f>
        <v>#REF!</v>
      </c>
      <c r="P41" s="746" t="e">
        <f>VLOOKUP($A41,#REF!,17,FALSE)</f>
        <v>#REF!</v>
      </c>
      <c r="Q41" s="746" t="e">
        <f>VLOOKUP($A41,#REF!,18,FALSE)</f>
        <v>#REF!</v>
      </c>
      <c r="R41" s="746" t="e">
        <f>VLOOKUP($A41,#REF!,19,FALSE)</f>
        <v>#REF!</v>
      </c>
      <c r="S41" s="746" t="e">
        <f>VLOOKUP($A41,#REF!,20,FALSE)</f>
        <v>#REF!</v>
      </c>
      <c r="T41" s="746" t="e">
        <f>VLOOKUP($A41,#REF!,19,FALSE)</f>
        <v>#REF!</v>
      </c>
      <c r="U41" s="746" t="e">
        <f>VLOOKUP($A41,#REF!,20,FALSE)</f>
        <v>#REF!</v>
      </c>
      <c r="V41" s="7"/>
      <c r="W41" s="7"/>
      <c r="X41" s="7"/>
    </row>
    <row r="42" spans="1:24" x14ac:dyDescent="0.35">
      <c r="A42" s="623" t="s">
        <v>23</v>
      </c>
      <c r="B42" s="744" t="e">
        <f>VLOOKUP('Figure 4'!$A42,#REF!,4,FALSE)</f>
        <v>#REF!</v>
      </c>
      <c r="C42" s="745" t="e">
        <f>VLOOKUP('Figure 4'!$A42,#REF!,5,FALSE)</f>
        <v>#REF!</v>
      </c>
      <c r="D42" s="745" t="e">
        <f>VLOOKUP('Figure 4'!$A42,#REF!,6,FALSE)</f>
        <v>#REF!</v>
      </c>
      <c r="E42" s="746" t="e">
        <f t="shared" si="0"/>
        <v>#REF!</v>
      </c>
      <c r="F42" s="746" t="e">
        <f t="shared" si="1"/>
        <v>#REF!</v>
      </c>
      <c r="G42" s="746" t="e">
        <f>VLOOKUP(A42,#REF!,8,FALSE)</f>
        <v>#REF!</v>
      </c>
      <c r="H42" s="746" t="e">
        <f>VLOOKUP(A42,#REF!,9,FALSE)</f>
        <v>#REF!</v>
      </c>
      <c r="I42" s="746" t="e">
        <f>VLOOKUP(A42,#REF!,10,FALSE)</f>
        <v>#REF!</v>
      </c>
      <c r="J42" s="746" t="e">
        <f>VLOOKUP(A42,#REF!,11,FALSE)</f>
        <v>#REF!</v>
      </c>
      <c r="K42" s="746" t="e">
        <f t="shared" si="2"/>
        <v>#REF!</v>
      </c>
      <c r="L42" s="746" t="e">
        <f>VLOOKUP($A42,#REF!,13,FALSE)</f>
        <v>#REF!</v>
      </c>
      <c r="M42" s="746" t="e">
        <f>VLOOKUP($A42,#REF!,14,FALSE)</f>
        <v>#REF!</v>
      </c>
      <c r="N42" s="746" t="e">
        <f>VLOOKUP($A42,#REF!,15,FALSE)</f>
        <v>#REF!</v>
      </c>
      <c r="O42" s="746" t="e">
        <f>VLOOKUP($A42,#REF!,16,FALSE)</f>
        <v>#REF!</v>
      </c>
      <c r="P42" s="746" t="e">
        <f>VLOOKUP($A42,#REF!,17,FALSE)</f>
        <v>#REF!</v>
      </c>
      <c r="Q42" s="746" t="e">
        <f>VLOOKUP($A42,#REF!,18,FALSE)</f>
        <v>#REF!</v>
      </c>
      <c r="R42" s="746" t="e">
        <f>VLOOKUP($A42,#REF!,19,FALSE)</f>
        <v>#REF!</v>
      </c>
      <c r="S42" s="746" t="e">
        <f>VLOOKUP($A42,#REF!,20,FALSE)</f>
        <v>#REF!</v>
      </c>
      <c r="T42" s="746" t="e">
        <f>VLOOKUP($A42,#REF!,19,FALSE)</f>
        <v>#REF!</v>
      </c>
      <c r="U42" s="746" t="e">
        <f>VLOOKUP($A42,#REF!,20,FALSE)</f>
        <v>#REF!</v>
      </c>
      <c r="V42" s="7"/>
      <c r="W42" s="7"/>
      <c r="X42" s="7"/>
    </row>
    <row r="43" spans="1:24" x14ac:dyDescent="0.35">
      <c r="A43" s="623" t="s">
        <v>19</v>
      </c>
      <c r="B43" s="744" t="e">
        <f>VLOOKUP('Figure 4'!$A43,#REF!,4,FALSE)</f>
        <v>#REF!</v>
      </c>
      <c r="C43" s="745" t="e">
        <f>VLOOKUP('Figure 4'!$A43,#REF!,5,FALSE)</f>
        <v>#REF!</v>
      </c>
      <c r="D43" s="745" t="e">
        <f>VLOOKUP('Figure 4'!$A43,#REF!,6,FALSE)</f>
        <v>#REF!</v>
      </c>
      <c r="E43" s="746" t="e">
        <f t="shared" si="0"/>
        <v>#REF!</v>
      </c>
      <c r="F43" s="746" t="e">
        <f t="shared" si="1"/>
        <v>#REF!</v>
      </c>
      <c r="G43" s="746" t="e">
        <f>VLOOKUP(A43,#REF!,8,FALSE)</f>
        <v>#REF!</v>
      </c>
      <c r="H43" s="746" t="e">
        <f>VLOOKUP(A43,#REF!,9,FALSE)</f>
        <v>#REF!</v>
      </c>
      <c r="I43" s="746" t="e">
        <f>VLOOKUP(A43,#REF!,10,FALSE)</f>
        <v>#REF!</v>
      </c>
      <c r="J43" s="746" t="e">
        <f>VLOOKUP(A43,#REF!,11,FALSE)</f>
        <v>#REF!</v>
      </c>
      <c r="K43" s="746" t="e">
        <f t="shared" si="2"/>
        <v>#REF!</v>
      </c>
      <c r="L43" s="746" t="e">
        <f>VLOOKUP($A43,#REF!,13,FALSE)</f>
        <v>#REF!</v>
      </c>
      <c r="M43" s="746" t="e">
        <f>VLOOKUP($A43,#REF!,14,FALSE)</f>
        <v>#REF!</v>
      </c>
      <c r="N43" s="746" t="e">
        <f>VLOOKUP($A43,#REF!,15,FALSE)</f>
        <v>#REF!</v>
      </c>
      <c r="O43" s="746" t="e">
        <f>VLOOKUP($A43,#REF!,16,FALSE)</f>
        <v>#REF!</v>
      </c>
      <c r="P43" s="746" t="e">
        <f>VLOOKUP($A43,#REF!,17,FALSE)</f>
        <v>#REF!</v>
      </c>
      <c r="Q43" s="746" t="e">
        <f>VLOOKUP($A43,#REF!,18,FALSE)</f>
        <v>#REF!</v>
      </c>
      <c r="R43" s="746" t="e">
        <f>VLOOKUP($A43,#REF!,19,FALSE)</f>
        <v>#REF!</v>
      </c>
      <c r="S43" s="746" t="e">
        <f>VLOOKUP($A43,#REF!,20,FALSE)</f>
        <v>#REF!</v>
      </c>
      <c r="T43" s="746" t="e">
        <f>VLOOKUP($A43,#REF!,19,FALSE)</f>
        <v>#REF!</v>
      </c>
      <c r="U43" s="746" t="e">
        <f>VLOOKUP($A43,#REF!,20,FALSE)</f>
        <v>#REF!</v>
      </c>
      <c r="V43" s="7"/>
      <c r="W43" s="7"/>
      <c r="X43" s="7"/>
    </row>
    <row r="44" spans="1:24" x14ac:dyDescent="0.35">
      <c r="A44" s="623" t="s">
        <v>16</v>
      </c>
      <c r="B44" s="744" t="e">
        <f>VLOOKUP('Figure 4'!$A44,#REF!,4,FALSE)</f>
        <v>#REF!</v>
      </c>
      <c r="C44" s="745" t="e">
        <f>VLOOKUP('Figure 4'!$A44,#REF!,5,FALSE)</f>
        <v>#REF!</v>
      </c>
      <c r="D44" s="745" t="e">
        <f>VLOOKUP('Figure 4'!$A44,#REF!,6,FALSE)</f>
        <v>#REF!</v>
      </c>
      <c r="E44" s="746" t="e">
        <f t="shared" si="0"/>
        <v>#REF!</v>
      </c>
      <c r="F44" s="746" t="e">
        <f t="shared" si="1"/>
        <v>#REF!</v>
      </c>
      <c r="G44" s="746" t="e">
        <f>VLOOKUP(A44,#REF!,8,FALSE)</f>
        <v>#REF!</v>
      </c>
      <c r="H44" s="746" t="e">
        <f>VLOOKUP(A44,#REF!,9,FALSE)</f>
        <v>#REF!</v>
      </c>
      <c r="I44" s="746" t="e">
        <f>VLOOKUP(A44,#REF!,10,FALSE)</f>
        <v>#REF!</v>
      </c>
      <c r="J44" s="746" t="e">
        <f>VLOOKUP(A44,#REF!,11,FALSE)</f>
        <v>#REF!</v>
      </c>
      <c r="K44" s="746" t="e">
        <f t="shared" si="2"/>
        <v>#REF!</v>
      </c>
      <c r="L44" s="746" t="e">
        <f>VLOOKUP($A44,#REF!,13,FALSE)</f>
        <v>#REF!</v>
      </c>
      <c r="M44" s="746" t="e">
        <f>VLOOKUP($A44,#REF!,14,FALSE)</f>
        <v>#REF!</v>
      </c>
      <c r="N44" s="746" t="e">
        <f>VLOOKUP($A44,#REF!,15,FALSE)</f>
        <v>#REF!</v>
      </c>
      <c r="O44" s="746" t="e">
        <f>VLOOKUP($A44,#REF!,16,FALSE)</f>
        <v>#REF!</v>
      </c>
      <c r="P44" s="746" t="e">
        <f>VLOOKUP($A44,#REF!,17,FALSE)</f>
        <v>#REF!</v>
      </c>
      <c r="Q44" s="746" t="e">
        <f>VLOOKUP($A44,#REF!,18,FALSE)</f>
        <v>#REF!</v>
      </c>
      <c r="R44" s="746" t="e">
        <f>VLOOKUP($A44,#REF!,19,FALSE)</f>
        <v>#REF!</v>
      </c>
      <c r="S44" s="746" t="e">
        <f>VLOOKUP($A44,#REF!,20,FALSE)</f>
        <v>#REF!</v>
      </c>
      <c r="T44" s="746" t="e">
        <f>VLOOKUP($A44,#REF!,19,FALSE)</f>
        <v>#REF!</v>
      </c>
      <c r="U44" s="746" t="e">
        <f>VLOOKUP($A44,#REF!,20,FALSE)</f>
        <v>#REF!</v>
      </c>
      <c r="V44" s="7"/>
      <c r="W44" s="7"/>
      <c r="X44" s="7"/>
    </row>
    <row r="45" spans="1:24" x14ac:dyDescent="0.35">
      <c r="A45" s="623" t="s">
        <v>20</v>
      </c>
      <c r="B45" s="744" t="e">
        <f>VLOOKUP('Figure 4'!$A45,#REF!,4,FALSE)</f>
        <v>#REF!</v>
      </c>
      <c r="C45" s="745" t="e">
        <f>VLOOKUP('Figure 4'!$A45,#REF!,5,FALSE)</f>
        <v>#REF!</v>
      </c>
      <c r="D45" s="745" t="e">
        <f>VLOOKUP('Figure 4'!$A45,#REF!,6,FALSE)</f>
        <v>#REF!</v>
      </c>
      <c r="E45" s="746" t="e">
        <f t="shared" si="0"/>
        <v>#REF!</v>
      </c>
      <c r="F45" s="746" t="e">
        <f t="shared" si="1"/>
        <v>#REF!</v>
      </c>
      <c r="G45" s="746" t="e">
        <f>VLOOKUP(A45,#REF!,8,FALSE)</f>
        <v>#REF!</v>
      </c>
      <c r="H45" s="746" t="e">
        <f>VLOOKUP(A45,#REF!,9,FALSE)</f>
        <v>#REF!</v>
      </c>
      <c r="I45" s="746" t="e">
        <f>VLOOKUP(A45,#REF!,10,FALSE)</f>
        <v>#REF!</v>
      </c>
      <c r="J45" s="746" t="e">
        <f>VLOOKUP(A45,#REF!,11,FALSE)</f>
        <v>#REF!</v>
      </c>
      <c r="K45" s="746" t="e">
        <f t="shared" si="2"/>
        <v>#REF!</v>
      </c>
      <c r="L45" s="746" t="e">
        <f>VLOOKUP($A45,#REF!,13,FALSE)</f>
        <v>#REF!</v>
      </c>
      <c r="M45" s="746" t="e">
        <f>VLOOKUP($A45,#REF!,14,FALSE)</f>
        <v>#REF!</v>
      </c>
      <c r="N45" s="746" t="e">
        <f>VLOOKUP($A45,#REF!,15,FALSE)</f>
        <v>#REF!</v>
      </c>
      <c r="O45" s="746" t="e">
        <f>VLOOKUP($A45,#REF!,16,FALSE)</f>
        <v>#REF!</v>
      </c>
      <c r="P45" s="746" t="e">
        <f>VLOOKUP($A45,#REF!,17,FALSE)</f>
        <v>#REF!</v>
      </c>
      <c r="Q45" s="746" t="e">
        <f>VLOOKUP($A45,#REF!,18,FALSE)</f>
        <v>#REF!</v>
      </c>
      <c r="R45" s="746" t="e">
        <f>VLOOKUP($A45,#REF!,19,FALSE)</f>
        <v>#REF!</v>
      </c>
      <c r="S45" s="746" t="e">
        <f>VLOOKUP($A45,#REF!,20,FALSE)</f>
        <v>#REF!</v>
      </c>
      <c r="T45" s="746" t="e">
        <f>VLOOKUP($A45,#REF!,19,FALSE)</f>
        <v>#REF!</v>
      </c>
      <c r="U45" s="746" t="e">
        <f>VLOOKUP($A45,#REF!,20,FALSE)</f>
        <v>#REF!</v>
      </c>
      <c r="V45" s="7"/>
      <c r="W45" s="7"/>
      <c r="X45" s="7"/>
    </row>
    <row r="46" spans="1:24" x14ac:dyDescent="0.35">
      <c r="A46" s="623" t="s">
        <v>26</v>
      </c>
      <c r="B46" s="744" t="e">
        <f>VLOOKUP('Figure 4'!$A46,#REF!,4,FALSE)</f>
        <v>#REF!</v>
      </c>
      <c r="C46" s="745" t="e">
        <f>VLOOKUP('Figure 4'!$A46,#REF!,5,FALSE)</f>
        <v>#REF!</v>
      </c>
      <c r="D46" s="745" t="e">
        <f>VLOOKUP('Figure 4'!$A46,#REF!,6,FALSE)</f>
        <v>#REF!</v>
      </c>
      <c r="E46" s="746" t="e">
        <f t="shared" si="0"/>
        <v>#REF!</v>
      </c>
      <c r="F46" s="746" t="e">
        <f t="shared" si="1"/>
        <v>#REF!</v>
      </c>
      <c r="G46" s="746" t="e">
        <f>VLOOKUP(A46,#REF!,8,FALSE)</f>
        <v>#REF!</v>
      </c>
      <c r="H46" s="746" t="e">
        <f>VLOOKUP(A46,#REF!,9,FALSE)</f>
        <v>#REF!</v>
      </c>
      <c r="I46" s="746" t="e">
        <f>VLOOKUP(A46,#REF!,10,FALSE)</f>
        <v>#REF!</v>
      </c>
      <c r="J46" s="746" t="e">
        <f>VLOOKUP(A46,#REF!,11,FALSE)</f>
        <v>#REF!</v>
      </c>
      <c r="K46" s="746" t="e">
        <f t="shared" si="2"/>
        <v>#REF!</v>
      </c>
      <c r="L46" s="746" t="e">
        <f>VLOOKUP($A46,#REF!,13,FALSE)</f>
        <v>#REF!</v>
      </c>
      <c r="M46" s="746" t="e">
        <f>VLOOKUP($A46,#REF!,14,FALSE)</f>
        <v>#REF!</v>
      </c>
      <c r="N46" s="746" t="e">
        <f>VLOOKUP($A46,#REF!,15,FALSE)</f>
        <v>#REF!</v>
      </c>
      <c r="O46" s="746" t="e">
        <f>VLOOKUP($A46,#REF!,16,FALSE)</f>
        <v>#REF!</v>
      </c>
      <c r="P46" s="746" t="e">
        <f>VLOOKUP($A46,#REF!,17,FALSE)</f>
        <v>#REF!</v>
      </c>
      <c r="Q46" s="746" t="e">
        <f>VLOOKUP($A46,#REF!,18,FALSE)</f>
        <v>#REF!</v>
      </c>
      <c r="R46" s="746" t="e">
        <f>VLOOKUP($A46,#REF!,19,FALSE)</f>
        <v>#REF!</v>
      </c>
      <c r="S46" s="746" t="e">
        <f>VLOOKUP($A46,#REF!,20,FALSE)</f>
        <v>#REF!</v>
      </c>
      <c r="T46" s="746" t="e">
        <f>VLOOKUP($A46,#REF!,19,FALSE)</f>
        <v>#REF!</v>
      </c>
      <c r="U46" s="746" t="e">
        <f>VLOOKUP($A46,#REF!,20,FALSE)</f>
        <v>#REF!</v>
      </c>
      <c r="V46" s="7"/>
      <c r="W46" s="7"/>
      <c r="X46" s="7"/>
    </row>
    <row r="47" spans="1:24" x14ac:dyDescent="0.35">
      <c r="A47" s="623" t="s">
        <v>25</v>
      </c>
      <c r="B47" s="744" t="e">
        <f>VLOOKUP('Figure 4'!$A47,#REF!,4,FALSE)</f>
        <v>#REF!</v>
      </c>
      <c r="C47" s="745" t="e">
        <f>VLOOKUP('Figure 4'!$A47,#REF!,5,FALSE)</f>
        <v>#REF!</v>
      </c>
      <c r="D47" s="745" t="e">
        <f>VLOOKUP('Figure 4'!$A47,#REF!,6,FALSE)</f>
        <v>#REF!</v>
      </c>
      <c r="E47" s="746" t="e">
        <f t="shared" si="0"/>
        <v>#REF!</v>
      </c>
      <c r="F47" s="746" t="e">
        <f t="shared" si="1"/>
        <v>#REF!</v>
      </c>
      <c r="G47" s="746" t="e">
        <f>VLOOKUP(A47,#REF!,8,FALSE)</f>
        <v>#REF!</v>
      </c>
      <c r="H47" s="746" t="e">
        <f>VLOOKUP(A47,#REF!,9,FALSE)</f>
        <v>#REF!</v>
      </c>
      <c r="I47" s="746" t="e">
        <f>VLOOKUP(A47,#REF!,10,FALSE)</f>
        <v>#REF!</v>
      </c>
      <c r="J47" s="746" t="e">
        <f>VLOOKUP(A47,#REF!,11,FALSE)</f>
        <v>#REF!</v>
      </c>
      <c r="K47" s="746" t="e">
        <f t="shared" si="2"/>
        <v>#REF!</v>
      </c>
      <c r="L47" s="746" t="e">
        <f>VLOOKUP($A47,#REF!,13,FALSE)</f>
        <v>#REF!</v>
      </c>
      <c r="M47" s="746" t="e">
        <f>VLOOKUP($A47,#REF!,14,FALSE)</f>
        <v>#REF!</v>
      </c>
      <c r="N47" s="746" t="e">
        <f>VLOOKUP($A47,#REF!,15,FALSE)</f>
        <v>#REF!</v>
      </c>
      <c r="O47" s="746" t="e">
        <f>VLOOKUP($A47,#REF!,16,FALSE)</f>
        <v>#REF!</v>
      </c>
      <c r="P47" s="746" t="e">
        <f>VLOOKUP($A47,#REF!,17,FALSE)</f>
        <v>#REF!</v>
      </c>
      <c r="Q47" s="746" t="e">
        <f>VLOOKUP($A47,#REF!,18,FALSE)</f>
        <v>#REF!</v>
      </c>
      <c r="R47" s="746" t="e">
        <f>VLOOKUP($A47,#REF!,19,FALSE)</f>
        <v>#REF!</v>
      </c>
      <c r="S47" s="746" t="e">
        <f>VLOOKUP($A47,#REF!,20,FALSE)</f>
        <v>#REF!</v>
      </c>
      <c r="T47" s="746" t="e">
        <f>VLOOKUP($A47,#REF!,19,FALSE)</f>
        <v>#REF!</v>
      </c>
      <c r="U47" s="746" t="e">
        <f>VLOOKUP($A47,#REF!,20,FALSE)</f>
        <v>#REF!</v>
      </c>
      <c r="V47" s="7"/>
      <c r="W47" s="7"/>
      <c r="X47" s="7"/>
    </row>
    <row r="48" spans="1:24" x14ac:dyDescent="0.35">
      <c r="A48" s="623" t="s">
        <v>31</v>
      </c>
      <c r="B48" s="744" t="e">
        <f>VLOOKUP('Figure 4'!$A48,#REF!,4,FALSE)</f>
        <v>#REF!</v>
      </c>
      <c r="C48" s="745" t="e">
        <f>VLOOKUP('Figure 4'!$A48,#REF!,5,FALSE)</f>
        <v>#REF!</v>
      </c>
      <c r="D48" s="745" t="e">
        <f>VLOOKUP('Figure 4'!$A48,#REF!,6,FALSE)</f>
        <v>#REF!</v>
      </c>
      <c r="E48" s="746" t="e">
        <f t="shared" si="0"/>
        <v>#REF!</v>
      </c>
      <c r="F48" s="746" t="e">
        <f t="shared" si="1"/>
        <v>#REF!</v>
      </c>
      <c r="G48" s="746" t="e">
        <f>VLOOKUP(A48,#REF!,8,FALSE)</f>
        <v>#REF!</v>
      </c>
      <c r="H48" s="746" t="e">
        <f>VLOOKUP(A48,#REF!,9,FALSE)</f>
        <v>#REF!</v>
      </c>
      <c r="I48" s="746" t="e">
        <f>VLOOKUP(A48,#REF!,10,FALSE)</f>
        <v>#REF!</v>
      </c>
      <c r="J48" s="746" t="e">
        <f>VLOOKUP(A48,#REF!,11,FALSE)</f>
        <v>#REF!</v>
      </c>
      <c r="K48" s="746" t="e">
        <f t="shared" si="2"/>
        <v>#REF!</v>
      </c>
      <c r="L48" s="746" t="e">
        <f>VLOOKUP($A48,#REF!,13,FALSE)</f>
        <v>#REF!</v>
      </c>
      <c r="M48" s="746" t="e">
        <f>VLOOKUP($A48,#REF!,14,FALSE)</f>
        <v>#REF!</v>
      </c>
      <c r="N48" s="746" t="e">
        <f>VLOOKUP($A48,#REF!,15,FALSE)</f>
        <v>#REF!</v>
      </c>
      <c r="O48" s="746" t="e">
        <f>VLOOKUP($A48,#REF!,16,FALSE)</f>
        <v>#REF!</v>
      </c>
      <c r="P48" s="746" t="e">
        <f>VLOOKUP($A48,#REF!,17,FALSE)</f>
        <v>#REF!</v>
      </c>
      <c r="Q48" s="746" t="e">
        <f>VLOOKUP($A48,#REF!,18,FALSE)</f>
        <v>#REF!</v>
      </c>
      <c r="R48" s="746" t="e">
        <f>VLOOKUP($A48,#REF!,19,FALSE)</f>
        <v>#REF!</v>
      </c>
      <c r="S48" s="746" t="e">
        <f>VLOOKUP($A48,#REF!,20,FALSE)</f>
        <v>#REF!</v>
      </c>
      <c r="T48" s="746" t="e">
        <f>VLOOKUP($A48,#REF!,19,FALSE)</f>
        <v>#REF!</v>
      </c>
      <c r="U48" s="746" t="e">
        <f>VLOOKUP($A48,#REF!,20,FALSE)</f>
        <v>#REF!</v>
      </c>
      <c r="V48" s="7"/>
      <c r="W48" s="7"/>
      <c r="X48" s="7"/>
    </row>
    <row r="49" spans="1:37" x14ac:dyDescent="0.35">
      <c r="A49" s="623" t="s">
        <v>14</v>
      </c>
      <c r="B49" s="744" t="e">
        <f>VLOOKUP('Figure 4'!$A49,#REF!,4,FALSE)</f>
        <v>#REF!</v>
      </c>
      <c r="C49" s="745" t="e">
        <f>VLOOKUP('Figure 4'!$A49,#REF!,5,FALSE)</f>
        <v>#REF!</v>
      </c>
      <c r="D49" s="745" t="e">
        <f>VLOOKUP('Figure 4'!$A49,#REF!,6,FALSE)</f>
        <v>#REF!</v>
      </c>
      <c r="E49" s="746" t="e">
        <f t="shared" si="0"/>
        <v>#REF!</v>
      </c>
      <c r="F49" s="746" t="e">
        <f t="shared" si="1"/>
        <v>#REF!</v>
      </c>
      <c r="G49" s="746" t="e">
        <f>VLOOKUP(A49,#REF!,8,FALSE)</f>
        <v>#REF!</v>
      </c>
      <c r="H49" s="746" t="e">
        <f>VLOOKUP(A49,#REF!,9,FALSE)</f>
        <v>#REF!</v>
      </c>
      <c r="I49" s="746" t="e">
        <f>VLOOKUP(A49,#REF!,10,FALSE)</f>
        <v>#REF!</v>
      </c>
      <c r="J49" s="746" t="e">
        <f>VLOOKUP(A49,#REF!,11,FALSE)</f>
        <v>#REF!</v>
      </c>
      <c r="K49" s="746" t="e">
        <f t="shared" si="2"/>
        <v>#REF!</v>
      </c>
      <c r="L49" s="746" t="e">
        <f>VLOOKUP($A49,#REF!,13,FALSE)</f>
        <v>#REF!</v>
      </c>
      <c r="M49" s="746" t="e">
        <f>VLOOKUP($A49,#REF!,14,FALSE)</f>
        <v>#REF!</v>
      </c>
      <c r="N49" s="746" t="e">
        <f>VLOOKUP($A49,#REF!,15,FALSE)</f>
        <v>#REF!</v>
      </c>
      <c r="O49" s="746" t="e">
        <f>VLOOKUP($A49,#REF!,16,FALSE)</f>
        <v>#REF!</v>
      </c>
      <c r="P49" s="746" t="e">
        <f>VLOOKUP($A49,#REF!,17,FALSE)</f>
        <v>#REF!</v>
      </c>
      <c r="Q49" s="746" t="e">
        <f>VLOOKUP($A49,#REF!,18,FALSE)</f>
        <v>#REF!</v>
      </c>
      <c r="R49" s="746" t="e">
        <f>VLOOKUP($A49,#REF!,19,FALSE)</f>
        <v>#REF!</v>
      </c>
      <c r="S49" s="746" t="e">
        <f>VLOOKUP($A49,#REF!,20,FALSE)</f>
        <v>#REF!</v>
      </c>
      <c r="T49" s="746" t="e">
        <f>VLOOKUP($A49,#REF!,19,FALSE)</f>
        <v>#REF!</v>
      </c>
      <c r="U49" s="746" t="e">
        <f>VLOOKUP($A49,#REF!,20,FALSE)</f>
        <v>#REF!</v>
      </c>
      <c r="V49" s="7"/>
      <c r="W49" s="7"/>
      <c r="X49" s="7"/>
    </row>
    <row r="50" spans="1:37" x14ac:dyDescent="0.35">
      <c r="A50" s="623" t="s">
        <v>22</v>
      </c>
      <c r="B50" s="744" t="e">
        <f>VLOOKUP('Figure 4'!$A50,#REF!,4,FALSE)</f>
        <v>#REF!</v>
      </c>
      <c r="C50" s="745" t="e">
        <f>VLOOKUP('Figure 4'!$A50,#REF!,5,FALSE)</f>
        <v>#REF!</v>
      </c>
      <c r="D50" s="745" t="e">
        <f>VLOOKUP('Figure 4'!$A50,#REF!,6,FALSE)</f>
        <v>#REF!</v>
      </c>
      <c r="E50" s="746" t="e">
        <f t="shared" si="0"/>
        <v>#REF!</v>
      </c>
      <c r="F50" s="746" t="e">
        <f t="shared" si="1"/>
        <v>#REF!</v>
      </c>
      <c r="G50" s="746" t="e">
        <f>VLOOKUP(A50,#REF!,8,FALSE)</f>
        <v>#REF!</v>
      </c>
      <c r="H50" s="746" t="e">
        <f>VLOOKUP(A50,#REF!,9,FALSE)</f>
        <v>#REF!</v>
      </c>
      <c r="I50" s="746" t="e">
        <f>VLOOKUP(A50,#REF!,10,FALSE)</f>
        <v>#REF!</v>
      </c>
      <c r="J50" s="746" t="e">
        <f>VLOOKUP(A50,#REF!,11,FALSE)</f>
        <v>#REF!</v>
      </c>
      <c r="K50" s="746" t="e">
        <f t="shared" si="2"/>
        <v>#REF!</v>
      </c>
      <c r="L50" s="746" t="e">
        <f>VLOOKUP($A50,#REF!,13,FALSE)</f>
        <v>#REF!</v>
      </c>
      <c r="M50" s="746" t="e">
        <f>VLOOKUP($A50,#REF!,14,FALSE)</f>
        <v>#REF!</v>
      </c>
      <c r="N50" s="746" t="e">
        <f>VLOOKUP($A50,#REF!,15,FALSE)</f>
        <v>#REF!</v>
      </c>
      <c r="O50" s="746" t="e">
        <f>VLOOKUP($A50,#REF!,16,FALSE)</f>
        <v>#REF!</v>
      </c>
      <c r="P50" s="746" t="e">
        <f>VLOOKUP($A50,#REF!,17,FALSE)</f>
        <v>#REF!</v>
      </c>
      <c r="Q50" s="746" t="e">
        <f>VLOOKUP($A50,#REF!,18,FALSE)</f>
        <v>#REF!</v>
      </c>
      <c r="R50" s="746" t="e">
        <f>VLOOKUP($A50,#REF!,19,FALSE)</f>
        <v>#REF!</v>
      </c>
      <c r="S50" s="746" t="e">
        <f>VLOOKUP($A50,#REF!,20,FALSE)</f>
        <v>#REF!</v>
      </c>
      <c r="T50" s="746" t="e">
        <f>VLOOKUP($A50,#REF!,19,FALSE)</f>
        <v>#REF!</v>
      </c>
      <c r="U50" s="746" t="e">
        <f>VLOOKUP($A50,#REF!,20,FALSE)</f>
        <v>#REF!</v>
      </c>
      <c r="V50" s="7"/>
      <c r="W50" s="7"/>
      <c r="X50" s="7"/>
    </row>
    <row r="51" spans="1:37" hidden="1" x14ac:dyDescent="0.35">
      <c r="A51">
        <v>1</v>
      </c>
      <c r="B51">
        <f>+A51+1</f>
        <v>2</v>
      </c>
      <c r="C51">
        <f t="shared" ref="C51:U51" si="3">+B51+1</f>
        <v>3</v>
      </c>
      <c r="D51">
        <f t="shared" si="3"/>
        <v>4</v>
      </c>
      <c r="E51">
        <f t="shared" si="3"/>
        <v>5</v>
      </c>
      <c r="F51">
        <f t="shared" si="3"/>
        <v>6</v>
      </c>
      <c r="G51">
        <f t="shared" si="3"/>
        <v>7</v>
      </c>
      <c r="H51">
        <f t="shared" si="3"/>
        <v>8</v>
      </c>
      <c r="I51">
        <f t="shared" si="3"/>
        <v>9</v>
      </c>
      <c r="J51">
        <f t="shared" si="3"/>
        <v>10</v>
      </c>
      <c r="K51">
        <f t="shared" si="3"/>
        <v>11</v>
      </c>
      <c r="L51">
        <f t="shared" si="3"/>
        <v>12</v>
      </c>
      <c r="M51">
        <f t="shared" si="3"/>
        <v>13</v>
      </c>
      <c r="N51">
        <f t="shared" si="3"/>
        <v>14</v>
      </c>
      <c r="O51">
        <f t="shared" si="3"/>
        <v>15</v>
      </c>
      <c r="P51">
        <f t="shared" si="3"/>
        <v>16</v>
      </c>
      <c r="Q51">
        <f t="shared" si="3"/>
        <v>17</v>
      </c>
      <c r="R51">
        <f t="shared" si="3"/>
        <v>18</v>
      </c>
      <c r="S51">
        <f t="shared" si="3"/>
        <v>19</v>
      </c>
      <c r="T51">
        <f t="shared" si="3"/>
        <v>20</v>
      </c>
      <c r="U51">
        <f t="shared" si="3"/>
        <v>21</v>
      </c>
      <c r="V51" s="7"/>
      <c r="W51" s="7"/>
      <c r="X51" s="7"/>
    </row>
    <row r="52" spans="1:37" x14ac:dyDescent="0.35">
      <c r="V52" s="7"/>
      <c r="W52" s="7"/>
      <c r="X52" s="7"/>
    </row>
    <row r="53" spans="1:37" x14ac:dyDescent="0.35">
      <c r="D53" s="177"/>
      <c r="K53" s="56"/>
      <c r="L53" s="56"/>
      <c r="M53" s="56"/>
      <c r="N53" s="56"/>
      <c r="O53" s="56"/>
    </row>
    <row r="54" spans="1:37" ht="15" customHeight="1" x14ac:dyDescent="0.35">
      <c r="A54" s="623"/>
      <c r="B54" s="623"/>
      <c r="C54" s="623"/>
      <c r="D54" s="953" t="s">
        <v>69</v>
      </c>
      <c r="E54" s="953"/>
      <c r="F54" s="953" t="s">
        <v>70</v>
      </c>
      <c r="G54" s="953"/>
      <c r="H54" s="623"/>
      <c r="I54" s="623"/>
      <c r="J54" s="623"/>
      <c r="K54" s="623"/>
    </row>
    <row r="55" spans="1:37" ht="28.5" customHeight="1" x14ac:dyDescent="0.35">
      <c r="A55" s="748" t="s">
        <v>169</v>
      </c>
      <c r="B55" s="184" t="s">
        <v>60</v>
      </c>
      <c r="C55" s="184" t="s">
        <v>68</v>
      </c>
      <c r="D55" s="184" t="s">
        <v>82</v>
      </c>
      <c r="E55" s="184" t="s">
        <v>83</v>
      </c>
      <c r="F55" s="184" t="s">
        <v>84</v>
      </c>
      <c r="G55" s="184" t="s">
        <v>85</v>
      </c>
      <c r="H55" s="184" t="s">
        <v>86</v>
      </c>
      <c r="I55" s="184" t="s">
        <v>491</v>
      </c>
      <c r="J55" s="184" t="s">
        <v>492</v>
      </c>
      <c r="K55" s="184" t="s">
        <v>493</v>
      </c>
      <c r="O55" s="426"/>
      <c r="P55" s="426"/>
      <c r="Q55" s="25"/>
      <c r="R55" s="426"/>
      <c r="T55" s="426"/>
      <c r="AA55" s="7"/>
      <c r="AB55" s="7"/>
      <c r="AC55" s="25"/>
      <c r="AD55" s="25"/>
      <c r="AE55" s="25"/>
      <c r="AF55" s="25"/>
      <c r="AG55" s="25"/>
    </row>
    <row r="56" spans="1:37" ht="15" customHeight="1" x14ac:dyDescent="0.35">
      <c r="A56" s="708" t="s">
        <v>27</v>
      </c>
      <c r="B56" s="746" t="e">
        <f>+D39/B39</f>
        <v>#REF!</v>
      </c>
      <c r="C56" s="746" t="e">
        <f>(VLOOKUP('Figure 4'!$A56,$A$28:$O$50,6,FALSE)+(VLOOKUP('Figure 4'!$A56,$A$28:$O$51,11,FALSE)))</f>
        <v>#REF!</v>
      </c>
      <c r="D56" s="746" t="e">
        <f>VLOOKUP('Figure 4'!$A56,$A$28:$Q$50,16,FALSE)</f>
        <v>#REF!</v>
      </c>
      <c r="E56" s="746" t="e">
        <f>VLOOKUP('Figure 4'!$A56,$A$28:$Q$50,17,FALSE)</f>
        <v>#REF!</v>
      </c>
      <c r="F56" s="746" t="e">
        <f>VLOOKUP('Figure 4'!$A56,$A$28:$U$50,20,FALSE)</f>
        <v>#REF!</v>
      </c>
      <c r="G56" s="746" t="e">
        <f>VLOOKUP('Figure 4'!$A56,$A$28:$U$50,21,FALSE)</f>
        <v>#REF!</v>
      </c>
      <c r="H56" s="746" t="e">
        <f>+G56+F56+E56+D56+C56+B56</f>
        <v>#REF!</v>
      </c>
      <c r="I56" s="708" t="e">
        <f>+B56/H56</f>
        <v>#REF!</v>
      </c>
      <c r="J56" s="746" t="e">
        <f t="shared" ref="J56:J63" si="4">1-I56</f>
        <v>#REF!</v>
      </c>
      <c r="K56" s="749" t="e">
        <f>+I56+J56</f>
        <v>#REF!</v>
      </c>
      <c r="P56" s="428"/>
      <c r="Q56" s="25"/>
      <c r="R56" s="428"/>
      <c r="AD56" s="25"/>
      <c r="AE56" s="25"/>
      <c r="AF56" s="25"/>
      <c r="AG56" s="25"/>
    </row>
    <row r="57" spans="1:37" x14ac:dyDescent="0.35">
      <c r="A57" s="708" t="s">
        <v>20</v>
      </c>
      <c r="B57" s="746" t="e">
        <f>+D45/B45</f>
        <v>#REF!</v>
      </c>
      <c r="C57" s="746" t="e">
        <f>(VLOOKUP('Figure 4'!$A57,$A$28:$O$50,6,FALSE)+(VLOOKUP('Figure 4'!$A57,$A$28:$O$51,11,FALSE)))</f>
        <v>#REF!</v>
      </c>
      <c r="D57" s="746" t="e">
        <f>VLOOKUP('Figure 4'!$A57,$A$28:$Q$50,16,FALSE)</f>
        <v>#REF!</v>
      </c>
      <c r="E57" s="746" t="e">
        <f>VLOOKUP('Figure 4'!$A57,$A$28:$Q$50,17,FALSE)</f>
        <v>#REF!</v>
      </c>
      <c r="F57" s="746" t="e">
        <f>VLOOKUP('Figure 4'!$A57,$A$28:$U$50,20,FALSE)</f>
        <v>#REF!</v>
      </c>
      <c r="G57" s="746" t="e">
        <f>VLOOKUP('Figure 4'!$A57,$A$28:$U$50,21,FALSE)</f>
        <v>#REF!</v>
      </c>
      <c r="H57" s="746" t="e">
        <f t="shared" ref="H57:H74" si="5">+G57+F57+E57+D57+C57+B57</f>
        <v>#REF!</v>
      </c>
      <c r="I57" s="708" t="e">
        <f>+B57/H57</f>
        <v>#REF!</v>
      </c>
      <c r="J57" s="746" t="e">
        <f t="shared" si="4"/>
        <v>#REF!</v>
      </c>
      <c r="K57" s="749" t="e">
        <f t="shared" ref="K57:K63" si="6">+I57+J57</f>
        <v>#REF!</v>
      </c>
      <c r="L57" s="7"/>
      <c r="Q57" s="22"/>
      <c r="R57" s="5"/>
      <c r="AE57" s="424"/>
      <c r="AF57" s="424"/>
      <c r="AG57" s="424"/>
    </row>
    <row r="58" spans="1:37" x14ac:dyDescent="0.35">
      <c r="A58" s="708" t="s">
        <v>23</v>
      </c>
      <c r="B58" s="746" t="e">
        <f>+D42/B42</f>
        <v>#REF!</v>
      </c>
      <c r="C58" s="746" t="e">
        <f>(VLOOKUP('Figure 4'!$A58,$A$28:$O$50,6,FALSE)+(VLOOKUP('Figure 4'!$A58,$A$28:$O$51,11,FALSE)))</f>
        <v>#REF!</v>
      </c>
      <c r="D58" s="746" t="e">
        <f>VLOOKUP('Figure 4'!$A58,$A$28:$Q$50,16,FALSE)</f>
        <v>#REF!</v>
      </c>
      <c r="E58" s="746" t="e">
        <f>VLOOKUP('Figure 4'!$A58,$A$28:$Q$50,17,FALSE)</f>
        <v>#REF!</v>
      </c>
      <c r="F58" s="746" t="e">
        <f>VLOOKUP('Figure 4'!$A58,$A$28:$U$50,20,FALSE)</f>
        <v>#REF!</v>
      </c>
      <c r="G58" s="746" t="e">
        <f>VLOOKUP('Figure 4'!$A58,$A$28:$U$50,21,FALSE)</f>
        <v>#REF!</v>
      </c>
      <c r="H58" s="746" t="e">
        <f t="shared" si="5"/>
        <v>#REF!</v>
      </c>
      <c r="I58" s="708" t="e">
        <f t="shared" ref="I58:I63" si="7">+B58/H58</f>
        <v>#REF!</v>
      </c>
      <c r="J58" s="746" t="e">
        <f t="shared" si="4"/>
        <v>#REF!</v>
      </c>
      <c r="K58" s="749" t="e">
        <f t="shared" si="6"/>
        <v>#REF!</v>
      </c>
      <c r="Q58" s="22"/>
      <c r="R58" s="680"/>
      <c r="AD58" s="440"/>
      <c r="AE58" s="424"/>
      <c r="AF58" s="424"/>
      <c r="AG58" s="424"/>
    </row>
    <row r="59" spans="1:37" x14ac:dyDescent="0.35">
      <c r="A59" s="708" t="s">
        <v>21</v>
      </c>
      <c r="B59" s="746" t="e">
        <f>+D38/B38</f>
        <v>#REF!</v>
      </c>
      <c r="C59" s="746" t="e">
        <f>(VLOOKUP('Figure 4'!$A59,$A$28:$O$50,6,FALSE)+(VLOOKUP('Figure 4'!$A59,$A$28:$O$51,11,FALSE)))</f>
        <v>#REF!</v>
      </c>
      <c r="D59" s="746" t="e">
        <f>VLOOKUP('Figure 4'!$A59,$A$28:$Q$50,16,FALSE)</f>
        <v>#REF!</v>
      </c>
      <c r="E59" s="746" t="e">
        <f>VLOOKUP('Figure 4'!$A59,$A$28:$Q$50,17,FALSE)</f>
        <v>#REF!</v>
      </c>
      <c r="F59" s="746" t="e">
        <f>VLOOKUP('Figure 4'!$A59,$A$28:$U$50,20,FALSE)</f>
        <v>#REF!</v>
      </c>
      <c r="G59" s="746" t="e">
        <f>VLOOKUP('Figure 4'!$A59,$A$28:$U$50,21,FALSE)</f>
        <v>#REF!</v>
      </c>
      <c r="H59" s="746" t="e">
        <f t="shared" si="5"/>
        <v>#REF!</v>
      </c>
      <c r="I59" s="708" t="e">
        <f>+B59/H59</f>
        <v>#REF!</v>
      </c>
      <c r="J59" s="746" t="e">
        <f t="shared" si="4"/>
        <v>#REF!</v>
      </c>
      <c r="K59" s="749" t="e">
        <f t="shared" si="6"/>
        <v>#REF!</v>
      </c>
      <c r="Q59" s="22"/>
      <c r="R59" s="680"/>
      <c r="AE59" s="944"/>
      <c r="AF59" s="944"/>
      <c r="AG59" s="944"/>
      <c r="AH59" s="944"/>
      <c r="AI59" s="944"/>
      <c r="AJ59" s="944"/>
      <c r="AK59" s="944"/>
    </row>
    <row r="60" spans="1:37" x14ac:dyDescent="0.35">
      <c r="A60" s="708" t="s">
        <v>13</v>
      </c>
      <c r="B60" s="746" t="e">
        <f>+D32/B32</f>
        <v>#REF!</v>
      </c>
      <c r="C60" s="746" t="e">
        <f>(VLOOKUP('Figure 4'!$A60,$A$28:$O$50,6,FALSE)+(VLOOKUP('Figure 4'!$A60,$A$28:$O$51,11,FALSE)))</f>
        <v>#REF!</v>
      </c>
      <c r="D60" s="746" t="e">
        <f>VLOOKUP('Figure 4'!$A60,$A$28:$Q$50,16,FALSE)</f>
        <v>#REF!</v>
      </c>
      <c r="E60" s="746" t="e">
        <f>VLOOKUP('Figure 4'!$A60,$A$28:$Q$50,17,FALSE)</f>
        <v>#REF!</v>
      </c>
      <c r="F60" s="746" t="e">
        <f>VLOOKUP('Figure 4'!$A60,$A$28:$U$50,20,FALSE)</f>
        <v>#REF!</v>
      </c>
      <c r="G60" s="746" t="e">
        <f>VLOOKUP('Figure 4'!$A60,$A$28:$U$50,21,FALSE)</f>
        <v>#REF!</v>
      </c>
      <c r="H60" s="746" t="e">
        <f t="shared" si="5"/>
        <v>#REF!</v>
      </c>
      <c r="I60" s="708" t="e">
        <f t="shared" si="7"/>
        <v>#REF!</v>
      </c>
      <c r="J60" s="746" t="e">
        <f t="shared" si="4"/>
        <v>#REF!</v>
      </c>
      <c r="K60" s="749" t="e">
        <f t="shared" si="6"/>
        <v>#REF!</v>
      </c>
      <c r="Q60" s="22"/>
      <c r="R60" s="680"/>
      <c r="AE60" s="424"/>
      <c r="AF60" s="424"/>
      <c r="AG60" s="424"/>
      <c r="AH60" s="453"/>
      <c r="AI60" s="453"/>
      <c r="AJ60" s="453"/>
      <c r="AK60" s="453"/>
    </row>
    <row r="61" spans="1:37" x14ac:dyDescent="0.35">
      <c r="A61" s="708" t="s">
        <v>18</v>
      </c>
      <c r="B61" s="746" t="e">
        <f>+D36/B36</f>
        <v>#REF!</v>
      </c>
      <c r="C61" s="746" t="e">
        <f>(VLOOKUP('Figure 4'!$A61,$A$28:$O$50,6,FALSE)+(VLOOKUP('Figure 4'!$A61,$A$28:$O$51,11,FALSE)))</f>
        <v>#REF!</v>
      </c>
      <c r="D61" s="746" t="e">
        <f>VLOOKUP('Figure 4'!$A61,$A$28:$Q$50,16,FALSE)</f>
        <v>#REF!</v>
      </c>
      <c r="E61" s="746" t="e">
        <f>VLOOKUP('Figure 4'!$A61,$A$28:$Q$50,17,FALSE)</f>
        <v>#REF!</v>
      </c>
      <c r="F61" s="746" t="e">
        <f>VLOOKUP('Figure 4'!$A61,$A$28:$U$50,20,FALSE)</f>
        <v>#REF!</v>
      </c>
      <c r="G61" s="746" t="e">
        <f>VLOOKUP('Figure 4'!$A61,$A$28:$U$50,21,FALSE)</f>
        <v>#REF!</v>
      </c>
      <c r="H61" s="746" t="e">
        <f t="shared" si="5"/>
        <v>#REF!</v>
      </c>
      <c r="I61" s="708" t="e">
        <f t="shared" si="7"/>
        <v>#REF!</v>
      </c>
      <c r="J61" s="746" t="e">
        <f t="shared" si="4"/>
        <v>#REF!</v>
      </c>
      <c r="K61" s="749" t="e">
        <f t="shared" si="6"/>
        <v>#REF!</v>
      </c>
      <c r="Q61" s="22"/>
      <c r="R61" s="680"/>
      <c r="AE61" s="424"/>
      <c r="AF61" s="424"/>
      <c r="AG61" s="424"/>
    </row>
    <row r="62" spans="1:37" x14ac:dyDescent="0.35">
      <c r="A62" s="708" t="s">
        <v>17</v>
      </c>
      <c r="B62" s="746" t="e">
        <f>+D37/B37</f>
        <v>#REF!</v>
      </c>
      <c r="C62" s="746" t="e">
        <f>(VLOOKUP('Figure 4'!$A62,$A$28:$O$50,6,FALSE)+(VLOOKUP('Figure 4'!$A62,$A$28:$O$51,11,FALSE)))</f>
        <v>#REF!</v>
      </c>
      <c r="D62" s="746" t="e">
        <f>VLOOKUP('Figure 4'!$A62,$A$28:$Q$50,16,FALSE)</f>
        <v>#REF!</v>
      </c>
      <c r="E62" s="746" t="e">
        <f>VLOOKUP('Figure 4'!$A62,$A$28:$Q$50,17,FALSE)</f>
        <v>#REF!</v>
      </c>
      <c r="F62" s="746" t="e">
        <f>VLOOKUP('Figure 4'!$A62,$A$28:$U$50,20,FALSE)</f>
        <v>#REF!</v>
      </c>
      <c r="G62" s="746" t="e">
        <f>VLOOKUP('Figure 4'!$A62,$A$28:$U$50,21,FALSE)</f>
        <v>#REF!</v>
      </c>
      <c r="H62" s="746" t="e">
        <f t="shared" si="5"/>
        <v>#REF!</v>
      </c>
      <c r="I62" s="708" t="e">
        <f t="shared" si="7"/>
        <v>#REF!</v>
      </c>
      <c r="J62" s="746" t="e">
        <f t="shared" si="4"/>
        <v>#REF!</v>
      </c>
      <c r="K62" s="749" t="e">
        <f t="shared" si="6"/>
        <v>#REF!</v>
      </c>
      <c r="Q62" s="22"/>
      <c r="R62" s="680"/>
      <c r="AE62" s="424"/>
      <c r="AF62" s="424"/>
      <c r="AG62" s="424"/>
    </row>
    <row r="63" spans="1:37" x14ac:dyDescent="0.35">
      <c r="A63" s="708" t="s">
        <v>16</v>
      </c>
      <c r="B63" s="746" t="e">
        <f>+D44/B44</f>
        <v>#REF!</v>
      </c>
      <c r="C63" s="746" t="e">
        <f>(VLOOKUP('Figure 4'!$A63,$A$28:$O$50,6,FALSE)+(VLOOKUP('Figure 4'!$A63,$A$28:$O$51,11,FALSE)))</f>
        <v>#REF!</v>
      </c>
      <c r="D63" s="746" t="e">
        <f>VLOOKUP('Figure 4'!$A63,$A$28:$Q$50,16,FALSE)</f>
        <v>#REF!</v>
      </c>
      <c r="E63" s="746" t="e">
        <f>VLOOKUP('Figure 4'!$A63,$A$28:$Q$50,17,FALSE)</f>
        <v>#REF!</v>
      </c>
      <c r="F63" s="746" t="e">
        <f>VLOOKUP('Figure 4'!$A63,$A$28:$U$50,20,FALSE)</f>
        <v>#REF!</v>
      </c>
      <c r="G63" s="746" t="e">
        <f>VLOOKUP('Figure 4'!$A63,$A$28:$U$50,21,FALSE)</f>
        <v>#REF!</v>
      </c>
      <c r="H63" s="746" t="e">
        <f t="shared" si="5"/>
        <v>#REF!</v>
      </c>
      <c r="I63" s="708" t="e">
        <f t="shared" si="7"/>
        <v>#REF!</v>
      </c>
      <c r="J63" s="746" t="e">
        <f t="shared" si="4"/>
        <v>#REF!</v>
      </c>
      <c r="K63" s="749" t="e">
        <f t="shared" si="6"/>
        <v>#REF!</v>
      </c>
      <c r="Q63" s="22"/>
      <c r="R63" s="680"/>
      <c r="AE63" s="424"/>
      <c r="AF63" s="424"/>
      <c r="AG63" s="424"/>
    </row>
    <row r="64" spans="1:37" x14ac:dyDescent="0.35">
      <c r="A64" s="708" t="s">
        <v>11</v>
      </c>
      <c r="B64" s="746" t="e">
        <f>+D31/B31</f>
        <v>#REF!</v>
      </c>
      <c r="C64" s="746" t="e">
        <f>(VLOOKUP('Figure 4'!$A64,$A$28:$O$50,6,FALSE)+(VLOOKUP('Figure 4'!$A64,$A$28:$O$51,11,FALSE)))</f>
        <v>#REF!</v>
      </c>
      <c r="D64" s="746" t="e">
        <f>VLOOKUP('Figure 4'!$A64,$A$28:$Q$50,16,FALSE)</f>
        <v>#REF!</v>
      </c>
      <c r="E64" s="746" t="e">
        <f>VLOOKUP('Figure 4'!$A64,$A$28:$Q$50,17,FALSE)</f>
        <v>#REF!</v>
      </c>
      <c r="F64" s="746" t="e">
        <f>VLOOKUP('Figure 4'!$A64,$A$28:$U$50,20,FALSE)</f>
        <v>#REF!</v>
      </c>
      <c r="G64" s="746" t="e">
        <f>VLOOKUP('Figure 4'!$A64,$A$28:$U$50,21,FALSE)</f>
        <v>#REF!</v>
      </c>
      <c r="H64" s="746" t="e">
        <f t="shared" si="5"/>
        <v>#REF!</v>
      </c>
      <c r="I64" s="708" t="e">
        <f t="shared" ref="I64:I75" si="8">+B64/H64</f>
        <v>#REF!</v>
      </c>
      <c r="J64" s="746" t="e">
        <f t="shared" ref="J64:J75" si="9">1-I64</f>
        <v>#REF!</v>
      </c>
      <c r="K64" s="749" t="e">
        <f t="shared" ref="K64:K75" si="10">+I64+J64</f>
        <v>#REF!</v>
      </c>
      <c r="Q64" s="22"/>
      <c r="R64" s="680"/>
      <c r="AE64" s="429"/>
      <c r="AF64" s="429"/>
      <c r="AG64" s="429"/>
    </row>
    <row r="65" spans="1:33" x14ac:dyDescent="0.35">
      <c r="A65" s="708" t="s">
        <v>25</v>
      </c>
      <c r="B65" s="746" t="e">
        <f>+D47/B47</f>
        <v>#REF!</v>
      </c>
      <c r="C65" s="746" t="e">
        <f>(VLOOKUP('Figure 4'!$A65,$A$28:$O$50,6,FALSE)+(VLOOKUP('Figure 4'!$A65,$A$28:$O$51,11,FALSE)))</f>
        <v>#REF!</v>
      </c>
      <c r="D65" s="746" t="e">
        <f>VLOOKUP('Figure 4'!$A65,$A$28:$Q$50,16,FALSE)</f>
        <v>#REF!</v>
      </c>
      <c r="E65" s="746" t="e">
        <f>VLOOKUP('Figure 4'!$A65,$A$28:$Q$50,17,FALSE)</f>
        <v>#REF!</v>
      </c>
      <c r="F65" s="746" t="e">
        <f>VLOOKUP('Figure 4'!$A65,$A$28:$U$50,20,FALSE)</f>
        <v>#REF!</v>
      </c>
      <c r="G65" s="746" t="e">
        <f>VLOOKUP('Figure 4'!$A65,$A$28:$U$50,21,FALSE)</f>
        <v>#REF!</v>
      </c>
      <c r="H65" s="746" t="e">
        <f t="shared" si="5"/>
        <v>#REF!</v>
      </c>
      <c r="I65" s="708" t="e">
        <f t="shared" si="8"/>
        <v>#REF!</v>
      </c>
      <c r="J65" s="746" t="e">
        <f t="shared" si="9"/>
        <v>#REF!</v>
      </c>
      <c r="K65" s="749" t="e">
        <f t="shared" si="10"/>
        <v>#REF!</v>
      </c>
      <c r="Q65" s="22"/>
      <c r="R65" s="680"/>
      <c r="AE65" s="424"/>
      <c r="AF65" s="424"/>
      <c r="AG65" s="424"/>
    </row>
    <row r="66" spans="1:33" x14ac:dyDescent="0.35">
      <c r="A66" s="708" t="s">
        <v>19</v>
      </c>
      <c r="B66" s="746" t="e">
        <f>+D43/B43</f>
        <v>#REF!</v>
      </c>
      <c r="C66" s="746" t="e">
        <f>(VLOOKUP('Figure 4'!$A66,$A$28:$O$50,6,FALSE)+(VLOOKUP('Figure 4'!$A66,$A$28:$O$51,11,FALSE)))</f>
        <v>#REF!</v>
      </c>
      <c r="D66" s="746" t="e">
        <f>VLOOKUP('Figure 4'!$A66,$A$28:$Q$50,16,FALSE)</f>
        <v>#REF!</v>
      </c>
      <c r="E66" s="746" t="e">
        <f>VLOOKUP('Figure 4'!$A66,$A$28:$Q$50,17,FALSE)</f>
        <v>#REF!</v>
      </c>
      <c r="F66" s="746" t="e">
        <f>VLOOKUP('Figure 4'!$A66,$A$28:$U$50,20,FALSE)</f>
        <v>#REF!</v>
      </c>
      <c r="G66" s="746" t="e">
        <f>VLOOKUP('Figure 4'!$A66,$A$28:$U$50,21,FALSE)</f>
        <v>#REF!</v>
      </c>
      <c r="H66" s="746" t="e">
        <f t="shared" si="5"/>
        <v>#REF!</v>
      </c>
      <c r="I66" s="708" t="e">
        <f t="shared" si="8"/>
        <v>#REF!</v>
      </c>
      <c r="J66" s="746" t="e">
        <f t="shared" si="9"/>
        <v>#REF!</v>
      </c>
      <c r="K66" s="749" t="e">
        <f t="shared" si="10"/>
        <v>#REF!</v>
      </c>
      <c r="Q66" s="22"/>
      <c r="R66" s="680"/>
      <c r="AE66" s="424"/>
      <c r="AF66" s="424"/>
      <c r="AG66" s="424"/>
    </row>
    <row r="67" spans="1:33" x14ac:dyDescent="0.35">
      <c r="A67" s="708" t="s">
        <v>15</v>
      </c>
      <c r="B67" s="746" t="e">
        <f>+D35/B35</f>
        <v>#REF!</v>
      </c>
      <c r="C67" s="746" t="e">
        <f>(VLOOKUP('Figure 4'!$A67,$A$28:$O$50,6,FALSE)+(VLOOKUP('Figure 4'!$A67,$A$28:$O$51,11,FALSE)))</f>
        <v>#REF!</v>
      </c>
      <c r="D67" s="746" t="e">
        <f>VLOOKUP('Figure 4'!$A67,$A$28:$Q$50,16,FALSE)</f>
        <v>#REF!</v>
      </c>
      <c r="E67" s="746" t="e">
        <f>VLOOKUP('Figure 4'!$A67,$A$28:$Q$50,17,FALSE)</f>
        <v>#REF!</v>
      </c>
      <c r="F67" s="746" t="e">
        <f>VLOOKUP('Figure 4'!$A67,$A$28:$U$50,20,FALSE)</f>
        <v>#REF!</v>
      </c>
      <c r="G67" s="746" t="e">
        <f>VLOOKUP('Figure 4'!$A67,$A$28:$U$50,21,FALSE)</f>
        <v>#REF!</v>
      </c>
      <c r="H67" s="746" t="e">
        <f t="shared" si="5"/>
        <v>#REF!</v>
      </c>
      <c r="I67" s="708" t="e">
        <f t="shared" ref="I67:I69" si="11">+B67/H67</f>
        <v>#REF!</v>
      </c>
      <c r="J67" s="746" t="e">
        <f t="shared" ref="J67:J69" si="12">1-I67</f>
        <v>#REF!</v>
      </c>
      <c r="K67" s="749" t="e">
        <f t="shared" ref="K67:K69" si="13">+I67+J67</f>
        <v>#REF!</v>
      </c>
      <c r="Q67" s="22"/>
      <c r="R67" s="680"/>
      <c r="AE67" s="424"/>
      <c r="AF67" s="424"/>
      <c r="AG67" s="424"/>
    </row>
    <row r="68" spans="1:33" x14ac:dyDescent="0.35">
      <c r="A68" s="708" t="s">
        <v>14</v>
      </c>
      <c r="B68" s="746" t="e">
        <f>D49/B49</f>
        <v>#REF!</v>
      </c>
      <c r="C68" s="746" t="e">
        <f>(VLOOKUP('Figure 4'!$A68,$A$28:$O$50,6,FALSE)+(VLOOKUP('Figure 4'!$A68,$A$28:$O$51,11,FALSE)))</f>
        <v>#REF!</v>
      </c>
      <c r="D68" s="746" t="e">
        <f>VLOOKUP('Figure 4'!$A68,$A$28:$Q$50,16,FALSE)</f>
        <v>#REF!</v>
      </c>
      <c r="E68" s="746" t="e">
        <f>VLOOKUP('Figure 4'!$A68,$A$28:$Q$50,17,FALSE)</f>
        <v>#REF!</v>
      </c>
      <c r="F68" s="746" t="e">
        <f>VLOOKUP('Figure 4'!$A68,$A$28:$U$50,20,FALSE)</f>
        <v>#REF!</v>
      </c>
      <c r="G68" s="746" t="e">
        <f>VLOOKUP('Figure 4'!$A68,$A$28:$U$50,21,FALSE)</f>
        <v>#REF!</v>
      </c>
      <c r="H68" s="746" t="e">
        <f t="shared" si="5"/>
        <v>#REF!</v>
      </c>
      <c r="I68" s="708" t="e">
        <f t="shared" si="11"/>
        <v>#REF!</v>
      </c>
      <c r="J68" s="746" t="e">
        <f t="shared" si="12"/>
        <v>#REF!</v>
      </c>
      <c r="K68" s="749" t="e">
        <f t="shared" si="13"/>
        <v>#REF!</v>
      </c>
      <c r="Q68" s="22"/>
      <c r="R68" s="680"/>
      <c r="AE68" s="424"/>
      <c r="AF68" s="424"/>
      <c r="AG68" s="424"/>
    </row>
    <row r="69" spans="1:33" x14ac:dyDescent="0.35">
      <c r="A69" s="708" t="s">
        <v>29</v>
      </c>
      <c r="B69" s="746" t="e">
        <f>+D41/B41</f>
        <v>#REF!</v>
      </c>
      <c r="C69" s="746" t="e">
        <f>(VLOOKUP('Figure 4'!$A69,$A$28:$O$50,6,FALSE)+(VLOOKUP('Figure 4'!$A69,$A$28:$O$51,11,FALSE)))</f>
        <v>#REF!</v>
      </c>
      <c r="D69" s="746" t="e">
        <f>VLOOKUP('Figure 4'!$A69,$A$28:$Q$50,16,FALSE)</f>
        <v>#REF!</v>
      </c>
      <c r="E69" s="746" t="e">
        <f>VLOOKUP('Figure 4'!$A69,$A$28:$Q$50,17,FALSE)</f>
        <v>#REF!</v>
      </c>
      <c r="F69" s="746" t="e">
        <f>VLOOKUP('Figure 4'!$A69,$A$28:$U$50,20,FALSE)</f>
        <v>#REF!</v>
      </c>
      <c r="G69" s="746" t="e">
        <f>VLOOKUP('Figure 4'!$A69,$A$28:$U$50,21,FALSE)</f>
        <v>#REF!</v>
      </c>
      <c r="H69" s="746" t="e">
        <f t="shared" si="5"/>
        <v>#REF!</v>
      </c>
      <c r="I69" s="708" t="e">
        <f t="shared" si="11"/>
        <v>#REF!</v>
      </c>
      <c r="J69" s="746" t="e">
        <f t="shared" si="12"/>
        <v>#REF!</v>
      </c>
      <c r="K69" s="749" t="e">
        <f t="shared" si="13"/>
        <v>#REF!</v>
      </c>
      <c r="Q69" s="22"/>
      <c r="R69" s="680"/>
      <c r="AE69" s="424"/>
      <c r="AF69" s="424"/>
      <c r="AG69" s="425"/>
    </row>
    <row r="70" spans="1:33" x14ac:dyDescent="0.35">
      <c r="A70" s="708" t="s">
        <v>22</v>
      </c>
      <c r="B70" s="746" t="e">
        <f>+D50/B50</f>
        <v>#REF!</v>
      </c>
      <c r="C70" s="746" t="e">
        <f>(VLOOKUP('Figure 4'!$A70,$A$28:$O$50,6,FALSE)+(VLOOKUP('Figure 4'!$A70,$A$28:$O$51,11,FALSE)))</f>
        <v>#REF!</v>
      </c>
      <c r="D70" s="746" t="e">
        <f>VLOOKUP('Figure 4'!$A70,$A$28:$Q$50,16,FALSE)</f>
        <v>#REF!</v>
      </c>
      <c r="E70" s="746" t="e">
        <f>VLOOKUP('Figure 4'!$A70,$A$28:$Q$50,17,FALSE)</f>
        <v>#REF!</v>
      </c>
      <c r="F70" s="746" t="e">
        <f>VLOOKUP('Figure 4'!$A70,$A$28:$U$50,20,FALSE)</f>
        <v>#REF!</v>
      </c>
      <c r="G70" s="746" t="e">
        <f>VLOOKUP('Figure 4'!$A70,$A$28:$U$50,21,FALSE)</f>
        <v>#REF!</v>
      </c>
      <c r="H70" s="746" t="e">
        <f t="shared" si="5"/>
        <v>#REF!</v>
      </c>
      <c r="I70" s="708" t="e">
        <f t="shared" si="8"/>
        <v>#REF!</v>
      </c>
      <c r="J70" s="746" t="e">
        <f t="shared" si="9"/>
        <v>#REF!</v>
      </c>
      <c r="K70" s="749" t="e">
        <f t="shared" si="10"/>
        <v>#REF!</v>
      </c>
      <c r="Q70" s="22"/>
      <c r="R70" s="680"/>
      <c r="AE70" s="424"/>
      <c r="AF70" s="424"/>
      <c r="AG70" s="424"/>
    </row>
    <row r="71" spans="1:33" x14ac:dyDescent="0.35">
      <c r="A71" s="708" t="s">
        <v>28</v>
      </c>
      <c r="B71" s="746" t="e">
        <f>+D34/B34</f>
        <v>#REF!</v>
      </c>
      <c r="C71" s="746" t="e">
        <f>(VLOOKUP('Figure 4'!$A71,$A$28:$O$50,6,FALSE)+(VLOOKUP('Figure 4'!$A71,$A$28:$O$51,11,FALSE)))</f>
        <v>#REF!</v>
      </c>
      <c r="D71" s="746" t="e">
        <f>VLOOKUP('Figure 4'!$A71,$A$28:$Q$50,16,FALSE)</f>
        <v>#REF!</v>
      </c>
      <c r="E71" s="746" t="e">
        <f>VLOOKUP('Figure 4'!$A71,$A$28:$Q$50,17,FALSE)</f>
        <v>#REF!</v>
      </c>
      <c r="F71" s="746" t="e">
        <f>VLOOKUP('Figure 4'!$A71,$A$28:$U$50,20,FALSE)</f>
        <v>#REF!</v>
      </c>
      <c r="G71" s="746" t="e">
        <f>VLOOKUP('Figure 4'!$A71,$A$28:$U$50,21,FALSE)</f>
        <v>#REF!</v>
      </c>
      <c r="H71" s="746" t="e">
        <f t="shared" si="5"/>
        <v>#REF!</v>
      </c>
      <c r="I71" s="708" t="e">
        <f t="shared" si="8"/>
        <v>#REF!</v>
      </c>
      <c r="J71" s="746" t="e">
        <f t="shared" si="9"/>
        <v>#REF!</v>
      </c>
      <c r="K71" s="749" t="e">
        <f t="shared" si="10"/>
        <v>#REF!</v>
      </c>
      <c r="Q71" s="22"/>
      <c r="R71" s="680"/>
      <c r="AE71" s="424"/>
      <c r="AF71" s="424"/>
      <c r="AG71" s="424"/>
    </row>
    <row r="72" spans="1:33" x14ac:dyDescent="0.35">
      <c r="A72" s="708" t="s">
        <v>26</v>
      </c>
      <c r="B72" s="746" t="e">
        <f>+D46/B46</f>
        <v>#REF!</v>
      </c>
      <c r="C72" s="746" t="e">
        <f>(VLOOKUP('Figure 4'!$A72,$A$28:$O$50,6,FALSE)+(VLOOKUP('Figure 4'!$A72,$A$28:$O$51,11,FALSE)))</f>
        <v>#REF!</v>
      </c>
      <c r="D72" s="746" t="e">
        <f>VLOOKUP('Figure 4'!$A72,$A$28:$Q$50,16,FALSE)</f>
        <v>#REF!</v>
      </c>
      <c r="E72" s="746" t="e">
        <f>VLOOKUP('Figure 4'!$A72,$A$28:$Q$50,17,FALSE)</f>
        <v>#REF!</v>
      </c>
      <c r="F72" s="746" t="e">
        <f>VLOOKUP('Figure 4'!$A72,$A$28:$U$50,20,FALSE)</f>
        <v>#REF!</v>
      </c>
      <c r="G72" s="746" t="e">
        <f>VLOOKUP('Figure 4'!$A72,$A$28:$U$50,21,FALSE)</f>
        <v>#REF!</v>
      </c>
      <c r="H72" s="746" t="e">
        <f t="shared" si="5"/>
        <v>#REF!</v>
      </c>
      <c r="I72" s="708" t="e">
        <f t="shared" si="8"/>
        <v>#REF!</v>
      </c>
      <c r="J72" s="746" t="e">
        <f t="shared" si="9"/>
        <v>#REF!</v>
      </c>
      <c r="K72" s="749" t="e">
        <f t="shared" si="10"/>
        <v>#REF!</v>
      </c>
      <c r="Q72" s="22"/>
      <c r="R72" s="680"/>
      <c r="AE72" s="424"/>
      <c r="AF72" s="424"/>
      <c r="AG72" s="424"/>
    </row>
    <row r="73" spans="1:33" hidden="1" x14ac:dyDescent="0.35">
      <c r="A73" s="708" t="s">
        <v>12</v>
      </c>
      <c r="B73" s="746" t="e">
        <f>+D33/B33</f>
        <v>#REF!</v>
      </c>
      <c r="C73" s="746" t="e">
        <f>(VLOOKUP('Figure 4'!$A73,$A$28:$O$50,6,FALSE)+(VLOOKUP('Figure 4'!$A73,$A$28:$O$51,11,FALSE)))</f>
        <v>#REF!</v>
      </c>
      <c r="D73" s="746" t="e">
        <f>VLOOKUP('Figure 4'!$A73,$A$28:$Q$50,16,FALSE)</f>
        <v>#REF!</v>
      </c>
      <c r="E73" s="746" t="e">
        <f>VLOOKUP('Figure 4'!$A73,$A$28:$Q$50,17,FALSE)</f>
        <v>#REF!</v>
      </c>
      <c r="F73" s="746" t="e">
        <f>VLOOKUP('Figure 4'!$A73,$A$28:$U$50,20,FALSE)</f>
        <v>#REF!</v>
      </c>
      <c r="G73" s="746" t="e">
        <f>VLOOKUP('Figure 4'!$A73,$A$28:$U$50,21,FALSE)</f>
        <v>#REF!</v>
      </c>
      <c r="H73" s="746" t="e">
        <f t="shared" ref="H73" si="14">+G73+F73+E73+D73+C73+B73</f>
        <v>#REF!</v>
      </c>
      <c r="I73" s="708" t="e">
        <f t="shared" ref="I73" si="15">+B73/H73</f>
        <v>#REF!</v>
      </c>
      <c r="J73" s="746" t="e">
        <f t="shared" ref="J73" si="16">1-I73</f>
        <v>#REF!</v>
      </c>
      <c r="K73" s="749" t="e">
        <f t="shared" ref="K73" si="17">+I73+J73</f>
        <v>#REF!</v>
      </c>
      <c r="Q73" s="22"/>
      <c r="R73" s="680"/>
      <c r="AE73" s="424"/>
      <c r="AF73" s="424"/>
      <c r="AG73" s="424"/>
    </row>
    <row r="74" spans="1:33" x14ac:dyDescent="0.35">
      <c r="A74" s="708" t="s">
        <v>24</v>
      </c>
      <c r="B74" s="746" t="e">
        <f>+D40/B40</f>
        <v>#REF!</v>
      </c>
      <c r="C74" s="746" t="e">
        <f>(VLOOKUP('Figure 4'!$A74,$A$28:$O$50,6,FALSE)+(VLOOKUP('Figure 4'!$A74,$A$28:$O$51,11,FALSE)))</f>
        <v>#REF!</v>
      </c>
      <c r="D74" s="746" t="e">
        <f>VLOOKUP('Figure 4'!$A74,$A$28:$Q$50,16,FALSE)</f>
        <v>#REF!</v>
      </c>
      <c r="E74" s="746" t="e">
        <f>VLOOKUP('Figure 4'!$A74,$A$28:$Q$50,17,FALSE)</f>
        <v>#REF!</v>
      </c>
      <c r="F74" s="746" t="e">
        <f>VLOOKUP('Figure 4'!$A74,$A$28:$U$50,20,FALSE)</f>
        <v>#REF!</v>
      </c>
      <c r="G74" s="746" t="e">
        <f>VLOOKUP('Figure 4'!$A74,$A$28:$U$50,21,FALSE)</f>
        <v>#REF!</v>
      </c>
      <c r="H74" s="746" t="e">
        <f t="shared" si="5"/>
        <v>#REF!</v>
      </c>
      <c r="I74" s="708" t="e">
        <f t="shared" si="8"/>
        <v>#REF!</v>
      </c>
      <c r="J74" s="746" t="e">
        <f t="shared" si="9"/>
        <v>#REF!</v>
      </c>
      <c r="K74" s="749" t="e">
        <f t="shared" si="10"/>
        <v>#REF!</v>
      </c>
      <c r="Q74" s="22"/>
      <c r="R74" s="680"/>
      <c r="AE74" s="424"/>
      <c r="AF74" s="424"/>
      <c r="AG74" s="424"/>
    </row>
    <row r="75" spans="1:33" x14ac:dyDescent="0.35">
      <c r="A75" s="708" t="s">
        <v>31</v>
      </c>
      <c r="B75" s="746" t="e">
        <f>+D48/B48</f>
        <v>#REF!</v>
      </c>
      <c r="C75" s="746" t="e">
        <f>(VLOOKUP('Figure 4'!$A75,$A$28:$O$50,6,FALSE)+(VLOOKUP('Figure 4'!$A75,$A$28:$O$51,11,FALSE)))</f>
        <v>#REF!</v>
      </c>
      <c r="D75" s="746" t="e">
        <f>VLOOKUP('Figure 4'!$A75,$A$28:$Q$50,16,FALSE)</f>
        <v>#REF!</v>
      </c>
      <c r="E75" s="746" t="e">
        <f>VLOOKUP('Figure 4'!$A75,$A$28:$Q$50,17,FALSE)</f>
        <v>#REF!</v>
      </c>
      <c r="F75" s="746" t="e">
        <f>VLOOKUP('Figure 4'!$A75,$A$28:$U$50,20,FALSE)</f>
        <v>#REF!</v>
      </c>
      <c r="G75" s="746" t="e">
        <f>VLOOKUP('Figure 4'!$A75,$A$28:$U$50,21,FALSE)</f>
        <v>#REF!</v>
      </c>
      <c r="H75" s="746" t="e">
        <f>+G75+F75+E75+D75+C75+B75</f>
        <v>#REF!</v>
      </c>
      <c r="I75" s="708" t="e">
        <f t="shared" si="8"/>
        <v>#REF!</v>
      </c>
      <c r="J75" s="746" t="e">
        <f t="shared" si="9"/>
        <v>#REF!</v>
      </c>
      <c r="K75" s="749" t="e">
        <f t="shared" si="10"/>
        <v>#REF!</v>
      </c>
      <c r="Q75" s="22"/>
      <c r="R75" s="680"/>
      <c r="AE75" s="424"/>
      <c r="AF75" s="424"/>
      <c r="AG75" s="424"/>
    </row>
    <row r="76" spans="1:33" x14ac:dyDescent="0.35">
      <c r="A76" s="708" t="s">
        <v>125</v>
      </c>
      <c r="B76" s="749" t="e">
        <f t="shared" ref="B76:H76" si="18">+AVERAGE(B59:B69,B56:B57,B71:B75)</f>
        <v>#REF!</v>
      </c>
      <c r="C76" s="749" t="e">
        <f t="shared" si="18"/>
        <v>#REF!</v>
      </c>
      <c r="D76" s="749" t="e">
        <f t="shared" si="18"/>
        <v>#REF!</v>
      </c>
      <c r="E76" s="749" t="e">
        <f t="shared" si="18"/>
        <v>#REF!</v>
      </c>
      <c r="F76" s="750" t="e">
        <f t="shared" si="18"/>
        <v>#REF!</v>
      </c>
      <c r="G76" s="749" t="e">
        <f t="shared" si="18"/>
        <v>#REF!</v>
      </c>
      <c r="H76" s="749" t="e">
        <f t="shared" si="18"/>
        <v>#REF!</v>
      </c>
      <c r="I76" s="623"/>
      <c r="J76" s="623"/>
      <c r="K76" s="623"/>
      <c r="Q76" s="22"/>
      <c r="R76" s="680"/>
    </row>
    <row r="77" spans="1:33" x14ac:dyDescent="0.35">
      <c r="A77" s="708"/>
      <c r="B77" s="750" t="e">
        <f>+VAR(B56:B75)</f>
        <v>#REF!</v>
      </c>
      <c r="C77" s="430"/>
      <c r="D77" s="430"/>
      <c r="E77" s="430"/>
      <c r="F77" s="430"/>
      <c r="G77" s="430"/>
      <c r="H77" s="750"/>
      <c r="I77" s="750"/>
      <c r="J77" s="430"/>
      <c r="K77" s="623"/>
      <c r="O77" s="427"/>
      <c r="P77" s="427"/>
      <c r="Q77" s="22"/>
      <c r="R77" s="680"/>
      <c r="AD77" s="22"/>
    </row>
    <row r="78" spans="1:33" ht="18.5" x14ac:dyDescent="0.45">
      <c r="A78" s="21"/>
      <c r="B78" s="31"/>
      <c r="C78" s="31"/>
      <c r="D78" s="31"/>
      <c r="E78" s="31"/>
      <c r="F78" s="31"/>
      <c r="G78" s="31"/>
      <c r="H78" s="31"/>
      <c r="O78" s="427"/>
      <c r="P78" s="427"/>
      <c r="Q78" s="22"/>
      <c r="R78" s="680"/>
      <c r="AD78" s="22"/>
    </row>
    <row r="79" spans="1:33" x14ac:dyDescent="0.35">
      <c r="O79" s="427"/>
      <c r="P79" s="427"/>
      <c r="Q79" s="428"/>
      <c r="R79" s="680"/>
      <c r="AD79" s="424"/>
    </row>
    <row r="80" spans="1:33" x14ac:dyDescent="0.35">
      <c r="O80" s="427"/>
      <c r="P80" s="427"/>
      <c r="Q80" s="428"/>
      <c r="R80" s="680"/>
      <c r="AD80" s="424"/>
    </row>
    <row r="81" spans="1:30" x14ac:dyDescent="0.35">
      <c r="C81" s="751"/>
      <c r="D81" s="751"/>
      <c r="E81" s="751"/>
      <c r="F81" s="751"/>
      <c r="G81" s="751"/>
      <c r="H81" s="751"/>
      <c r="I81" s="751"/>
      <c r="J81" s="751"/>
      <c r="O81" s="427"/>
      <c r="P81" s="427"/>
      <c r="Q81" s="428"/>
      <c r="R81" s="680"/>
      <c r="AD81" s="424"/>
    </row>
    <row r="82" spans="1:30" x14ac:dyDescent="0.35">
      <c r="B82" s="428"/>
      <c r="D82" s="2"/>
      <c r="K82" s="25"/>
      <c r="O82" s="427"/>
      <c r="P82" s="427"/>
      <c r="Q82" s="428"/>
      <c r="R82" s="680"/>
      <c r="AD82" s="424"/>
    </row>
    <row r="83" spans="1:30" ht="16" x14ac:dyDescent="0.4">
      <c r="A83" s="623" t="s">
        <v>178</v>
      </c>
      <c r="B83" s="623"/>
      <c r="C83" s="752" t="s">
        <v>60</v>
      </c>
      <c r="D83" s="752" t="s">
        <v>68</v>
      </c>
      <c r="E83" s="752" t="s">
        <v>82</v>
      </c>
      <c r="F83" s="752" t="s">
        <v>83</v>
      </c>
      <c r="G83" s="752" t="s">
        <v>84</v>
      </c>
      <c r="H83" s="752" t="s">
        <v>85</v>
      </c>
      <c r="I83" s="752" t="s">
        <v>483</v>
      </c>
      <c r="J83" s="752" t="s">
        <v>484</v>
      </c>
      <c r="N83" s="427"/>
      <c r="O83" s="427"/>
      <c r="P83" s="428"/>
      <c r="Q83" s="680"/>
      <c r="AC83" s="424"/>
    </row>
    <row r="84" spans="1:30" x14ac:dyDescent="0.35">
      <c r="A84" s="954" t="s">
        <v>27</v>
      </c>
      <c r="B84" s="448">
        <v>2013</v>
      </c>
      <c r="C84" s="516">
        <v>0.60360037170655934</v>
      </c>
      <c r="D84" s="516">
        <v>4.6477228621405076E-2</v>
      </c>
      <c r="E84" s="516">
        <v>9.9276376925420948E-2</v>
      </c>
      <c r="F84" s="516">
        <v>3.309212564180699E-2</v>
      </c>
      <c r="G84" s="516">
        <v>4.9638188462710481E-2</v>
      </c>
      <c r="H84" s="516">
        <v>9.9276376925420944E-3</v>
      </c>
      <c r="I84" s="516">
        <f>+SUM(C84:H84)</f>
        <v>0.84201192905044497</v>
      </c>
      <c r="J84" s="516"/>
      <c r="N84" s="427"/>
      <c r="O84" s="427"/>
      <c r="P84" s="428"/>
      <c r="Q84" s="680"/>
      <c r="AC84" s="424"/>
    </row>
    <row r="85" spans="1:30" x14ac:dyDescent="0.35">
      <c r="A85" s="954"/>
      <c r="B85" s="448">
        <v>2023</v>
      </c>
      <c r="C85" s="516" t="e">
        <f t="shared" ref="C85:H85" si="19">+B56</f>
        <v>#REF!</v>
      </c>
      <c r="D85" s="516" t="e">
        <f t="shared" si="19"/>
        <v>#REF!</v>
      </c>
      <c r="E85" s="516" t="e">
        <f t="shared" si="19"/>
        <v>#REF!</v>
      </c>
      <c r="F85" s="516" t="e">
        <f t="shared" si="19"/>
        <v>#REF!</v>
      </c>
      <c r="G85" s="516" t="e">
        <f t="shared" si="19"/>
        <v>#REF!</v>
      </c>
      <c r="H85" s="516" t="e">
        <f t="shared" si="19"/>
        <v>#REF!</v>
      </c>
      <c r="I85" s="516" t="e">
        <f t="shared" ref="I85:I99" si="20">+SUM(C85:H85)</f>
        <v>#REF!</v>
      </c>
      <c r="J85" s="516">
        <v>1.1015193963183956</v>
      </c>
      <c r="N85" s="427"/>
      <c r="O85" s="427"/>
      <c r="P85" s="428"/>
      <c r="Q85" s="680"/>
      <c r="AC85" s="424"/>
    </row>
    <row r="86" spans="1:30" x14ac:dyDescent="0.35">
      <c r="A86" s="954" t="s">
        <v>20</v>
      </c>
      <c r="B86" s="448">
        <v>2013</v>
      </c>
      <c r="C86" s="516">
        <v>0.47318120928341578</v>
      </c>
      <c r="D86" s="516">
        <v>0.13313450140133914</v>
      </c>
      <c r="E86" s="516">
        <v>3.8874565337119277E-2</v>
      </c>
      <c r="F86" s="516">
        <v>1.5549826134847712E-2</v>
      </c>
      <c r="G86" s="516">
        <v>1.9437282668559638E-2</v>
      </c>
      <c r="H86" s="516">
        <v>1.1662369601135782E-2</v>
      </c>
      <c r="I86" s="516">
        <f t="shared" si="20"/>
        <v>0.69183975442641732</v>
      </c>
      <c r="J86" s="516"/>
      <c r="N86" s="427"/>
      <c r="O86" s="427"/>
      <c r="P86" s="428"/>
      <c r="Q86" s="680"/>
      <c r="AC86" s="424"/>
    </row>
    <row r="87" spans="1:30" x14ac:dyDescent="0.35">
      <c r="A87" s="954"/>
      <c r="B87" s="448">
        <v>2023</v>
      </c>
      <c r="C87" s="516" t="e">
        <f t="shared" ref="C87:H87" si="21">+B57</f>
        <v>#REF!</v>
      </c>
      <c r="D87" s="516" t="e">
        <f t="shared" si="21"/>
        <v>#REF!</v>
      </c>
      <c r="E87" s="516" t="e">
        <f t="shared" si="21"/>
        <v>#REF!</v>
      </c>
      <c r="F87" s="516" t="e">
        <f t="shared" si="21"/>
        <v>#REF!</v>
      </c>
      <c r="G87" s="516" t="e">
        <f t="shared" si="21"/>
        <v>#REF!</v>
      </c>
      <c r="H87" s="516" t="e">
        <f t="shared" si="21"/>
        <v>#REF!</v>
      </c>
      <c r="I87" s="516" t="e">
        <f t="shared" si="20"/>
        <v>#REF!</v>
      </c>
      <c r="J87" s="516">
        <v>0.54489268049719997</v>
      </c>
      <c r="N87" s="427"/>
      <c r="O87" s="427"/>
      <c r="P87" s="428"/>
      <c r="Q87" s="680"/>
      <c r="AC87" s="424"/>
    </row>
    <row r="88" spans="1:30" x14ac:dyDescent="0.35">
      <c r="A88" s="954" t="s">
        <v>23</v>
      </c>
      <c r="B88" s="448">
        <v>2013</v>
      </c>
      <c r="C88" s="516">
        <v>0.43611853942482925</v>
      </c>
      <c r="D88" s="516">
        <v>0.10647565299861668</v>
      </c>
      <c r="E88" s="516">
        <v>3.584535940478048E-2</v>
      </c>
      <c r="F88" s="516">
        <v>3.584535940478048E-2</v>
      </c>
      <c r="G88" s="516">
        <v>3.1065978150809755E-2</v>
      </c>
      <c r="H88" s="516">
        <v>0</v>
      </c>
      <c r="I88" s="516">
        <f t="shared" si="20"/>
        <v>0.64535088938381679</v>
      </c>
      <c r="J88" s="516"/>
      <c r="N88" s="427"/>
      <c r="O88" s="427"/>
      <c r="P88" s="428"/>
      <c r="Q88" s="680"/>
      <c r="AC88" s="424"/>
    </row>
    <row r="89" spans="1:30" x14ac:dyDescent="0.35">
      <c r="A89" s="954"/>
      <c r="B89" s="448">
        <v>2023</v>
      </c>
      <c r="C89" s="516" t="e">
        <f t="shared" ref="C89:H89" si="22">+B58</f>
        <v>#REF!</v>
      </c>
      <c r="D89" s="516" t="e">
        <f t="shared" si="22"/>
        <v>#REF!</v>
      </c>
      <c r="E89" s="516" t="e">
        <f t="shared" si="22"/>
        <v>#REF!</v>
      </c>
      <c r="F89" s="516" t="e">
        <f t="shared" si="22"/>
        <v>#REF!</v>
      </c>
      <c r="G89" s="516" t="e">
        <f t="shared" si="22"/>
        <v>#REF!</v>
      </c>
      <c r="H89" s="516" t="e">
        <f t="shared" si="22"/>
        <v>#REF!</v>
      </c>
      <c r="I89" s="516" t="e">
        <f t="shared" si="20"/>
        <v>#REF!</v>
      </c>
      <c r="J89" s="516">
        <v>0.76950897276837948</v>
      </c>
      <c r="N89" s="427"/>
      <c r="O89" s="427"/>
      <c r="P89" s="428"/>
      <c r="Q89" s="680"/>
      <c r="AC89" s="424"/>
    </row>
    <row r="90" spans="1:30" x14ac:dyDescent="0.35">
      <c r="A90" s="954" t="s">
        <v>21</v>
      </c>
      <c r="B90" s="448">
        <v>2013</v>
      </c>
      <c r="C90" s="516">
        <v>0.43111527077335021</v>
      </c>
      <c r="D90" s="516">
        <v>7.5445172385336295E-2</v>
      </c>
      <c r="E90" s="516">
        <v>7.0868263688769903E-2</v>
      </c>
      <c r="F90" s="516">
        <v>1.7717065922192476E-2</v>
      </c>
      <c r="G90" s="516">
        <v>3.5434131844384952E-2</v>
      </c>
      <c r="H90" s="516">
        <v>0</v>
      </c>
      <c r="I90" s="516">
        <f t="shared" si="20"/>
        <v>0.63057990461403379</v>
      </c>
      <c r="J90" s="516"/>
      <c r="N90" s="427"/>
      <c r="O90" s="427"/>
      <c r="P90" s="428"/>
      <c r="Q90" s="680"/>
      <c r="AC90" s="424"/>
    </row>
    <row r="91" spans="1:30" x14ac:dyDescent="0.35">
      <c r="A91" s="954"/>
      <c r="B91" s="448">
        <v>2023</v>
      </c>
      <c r="C91" s="516" t="e">
        <f t="shared" ref="C91:H91" si="23">+B59</f>
        <v>#REF!</v>
      </c>
      <c r="D91" s="516" t="e">
        <f t="shared" si="23"/>
        <v>#REF!</v>
      </c>
      <c r="E91" s="516" t="e">
        <f t="shared" si="23"/>
        <v>#REF!</v>
      </c>
      <c r="F91" s="516" t="e">
        <f t="shared" si="23"/>
        <v>#REF!</v>
      </c>
      <c r="G91" s="516" t="e">
        <f t="shared" si="23"/>
        <v>#REF!</v>
      </c>
      <c r="H91" s="516" t="e">
        <f t="shared" si="23"/>
        <v>#REF!</v>
      </c>
      <c r="I91" s="516" t="e">
        <f t="shared" si="20"/>
        <v>#REF!</v>
      </c>
      <c r="J91" s="516">
        <v>0.49630713547474398</v>
      </c>
      <c r="N91" s="427"/>
      <c r="O91" s="427"/>
      <c r="P91" s="428"/>
      <c r="Q91" s="680"/>
      <c r="AC91" s="424"/>
    </row>
    <row r="92" spans="1:30" x14ac:dyDescent="0.35">
      <c r="A92" s="954" t="s">
        <v>13</v>
      </c>
      <c r="B92" s="448">
        <v>2013</v>
      </c>
      <c r="C92" s="516">
        <v>0.33260979240199495</v>
      </c>
      <c r="D92" s="516">
        <v>8.122331130456717E-2</v>
      </c>
      <c r="E92" s="516">
        <v>5.4675582312656706E-2</v>
      </c>
      <c r="F92" s="516">
        <v>1.8225194104218904E-2</v>
      </c>
      <c r="G92" s="516">
        <v>2.733779115632835E-2</v>
      </c>
      <c r="H92" s="516">
        <v>1.6402674693797008E-2</v>
      </c>
      <c r="I92" s="516">
        <f t="shared" si="20"/>
        <v>0.53047434597356302</v>
      </c>
      <c r="J92" s="516"/>
      <c r="N92" s="427"/>
      <c r="O92" s="427"/>
      <c r="P92" s="428"/>
      <c r="Q92" s="680"/>
      <c r="AC92" s="424"/>
    </row>
    <row r="93" spans="1:30" x14ac:dyDescent="0.35">
      <c r="A93" s="954"/>
      <c r="B93" s="448">
        <v>2023</v>
      </c>
      <c r="C93" s="516" t="e">
        <f t="shared" ref="C93:H93" si="24">+B60</f>
        <v>#REF!</v>
      </c>
      <c r="D93" s="516" t="e">
        <f t="shared" si="24"/>
        <v>#REF!</v>
      </c>
      <c r="E93" s="516" t="e">
        <f t="shared" si="24"/>
        <v>#REF!</v>
      </c>
      <c r="F93" s="516" t="e">
        <f t="shared" si="24"/>
        <v>#REF!</v>
      </c>
      <c r="G93" s="516" t="e">
        <f t="shared" si="24"/>
        <v>#REF!</v>
      </c>
      <c r="H93" s="516" t="e">
        <f t="shared" si="24"/>
        <v>#REF!</v>
      </c>
      <c r="I93" s="516" t="e">
        <f t="shared" si="20"/>
        <v>#REF!</v>
      </c>
      <c r="J93" s="516">
        <v>1.0517713542044675</v>
      </c>
      <c r="N93" s="427"/>
      <c r="O93" s="427"/>
      <c r="P93" s="428"/>
      <c r="Q93" s="680"/>
      <c r="AC93" s="424"/>
    </row>
    <row r="94" spans="1:30" x14ac:dyDescent="0.35">
      <c r="A94" s="954" t="s">
        <v>17</v>
      </c>
      <c r="B94" s="448">
        <v>2013</v>
      </c>
      <c r="C94" s="516">
        <v>0.2913081494928525</v>
      </c>
      <c r="D94" s="516">
        <v>9.8321355027826282E-2</v>
      </c>
      <c r="E94" s="516">
        <v>4.8551356306754417E-2</v>
      </c>
      <c r="F94" s="516">
        <v>1.2137839562202187E-2</v>
      </c>
      <c r="G94" s="516">
        <v>2.4275679124404377E-2</v>
      </c>
      <c r="H94" s="516">
        <v>0</v>
      </c>
      <c r="I94" s="516"/>
      <c r="J94" s="516"/>
      <c r="N94" s="427"/>
      <c r="O94" s="427"/>
      <c r="P94" s="428"/>
      <c r="Q94" s="680"/>
      <c r="AC94" s="424"/>
    </row>
    <row r="95" spans="1:30" x14ac:dyDescent="0.35">
      <c r="A95" s="954"/>
      <c r="B95" s="448">
        <v>2023</v>
      </c>
      <c r="C95" s="516" t="e">
        <f t="shared" ref="C95:H95" si="25">+B62</f>
        <v>#REF!</v>
      </c>
      <c r="D95" s="516" t="e">
        <f t="shared" si="25"/>
        <v>#REF!</v>
      </c>
      <c r="E95" s="516" t="e">
        <f t="shared" si="25"/>
        <v>#REF!</v>
      </c>
      <c r="F95" s="516" t="e">
        <f t="shared" si="25"/>
        <v>#REF!</v>
      </c>
      <c r="G95" s="516" t="e">
        <f t="shared" si="25"/>
        <v>#REF!</v>
      </c>
      <c r="H95" s="516" t="e">
        <f t="shared" si="25"/>
        <v>#REF!</v>
      </c>
      <c r="I95" s="516" t="e">
        <f>+SUM(C95:H95)</f>
        <v>#REF!</v>
      </c>
      <c r="J95" s="516">
        <v>0.65007022784511448</v>
      </c>
      <c r="N95" s="427"/>
      <c r="O95" s="427"/>
      <c r="P95" s="428"/>
      <c r="Q95" s="680"/>
      <c r="AC95" s="424"/>
    </row>
    <row r="96" spans="1:30" x14ac:dyDescent="0.35">
      <c r="A96" s="954" t="s">
        <v>18</v>
      </c>
      <c r="B96" s="448">
        <v>2013</v>
      </c>
      <c r="C96" s="516">
        <v>0.28651801085937356</v>
      </c>
      <c r="D96" s="516">
        <v>0.11052334146293877</v>
      </c>
      <c r="E96" s="516">
        <v>2.3549425550085497E-2</v>
      </c>
      <c r="F96" s="516">
        <v>1.0989731923373233E-2</v>
      </c>
      <c r="G96" s="516">
        <v>1.6641594055393751E-2</v>
      </c>
      <c r="H96" s="516">
        <v>4.7098851100170992E-3</v>
      </c>
      <c r="I96" s="516">
        <f t="shared" si="20"/>
        <v>0.45293198896118181</v>
      </c>
      <c r="J96" s="516"/>
      <c r="N96" s="427"/>
      <c r="O96" s="427"/>
      <c r="P96" s="428"/>
      <c r="Q96" s="680"/>
      <c r="AC96" s="424"/>
    </row>
    <row r="97" spans="1:28" x14ac:dyDescent="0.35">
      <c r="A97" s="954"/>
      <c r="B97" s="448">
        <v>2023</v>
      </c>
      <c r="C97" s="516" t="e">
        <f t="shared" ref="C97:H97" si="26">+B61</f>
        <v>#REF!</v>
      </c>
      <c r="D97" s="516" t="e">
        <f t="shared" si="26"/>
        <v>#REF!</v>
      </c>
      <c r="E97" s="516" t="e">
        <f t="shared" si="26"/>
        <v>#REF!</v>
      </c>
      <c r="F97" s="516" t="e">
        <f t="shared" si="26"/>
        <v>#REF!</v>
      </c>
      <c r="G97" s="516" t="e">
        <f t="shared" si="26"/>
        <v>#REF!</v>
      </c>
      <c r="H97" s="516" t="e">
        <f t="shared" si="26"/>
        <v>#REF!</v>
      </c>
      <c r="I97" s="516" t="e">
        <f t="shared" si="20"/>
        <v>#REF!</v>
      </c>
      <c r="J97" s="516">
        <v>0.38411060243614781</v>
      </c>
      <c r="N97" s="427"/>
      <c r="O97" s="427"/>
      <c r="P97" s="428"/>
      <c r="Q97" s="680"/>
    </row>
    <row r="98" spans="1:28" x14ac:dyDescent="0.35">
      <c r="A98" s="954" t="s">
        <v>16</v>
      </c>
      <c r="B98" s="448">
        <v>2013</v>
      </c>
      <c r="C98" s="516">
        <v>0.26411503866993924</v>
      </c>
      <c r="D98" s="516">
        <v>9.1238153873919231E-2</v>
      </c>
      <c r="E98" s="516">
        <v>4.3397147333213801E-2</v>
      </c>
      <c r="F98" s="516">
        <v>2.16985736666069E-2</v>
      </c>
      <c r="G98" s="516">
        <v>3.2547860499910347E-2</v>
      </c>
      <c r="H98" s="516">
        <v>0</v>
      </c>
      <c r="I98" s="516">
        <f t="shared" si="20"/>
        <v>0.45299677404358951</v>
      </c>
      <c r="J98" s="516"/>
      <c r="P98" s="428"/>
      <c r="Q98" s="680"/>
    </row>
    <row r="99" spans="1:28" x14ac:dyDescent="0.35">
      <c r="A99" s="954"/>
      <c r="B99" s="448">
        <v>2023</v>
      </c>
      <c r="C99" s="516" t="e">
        <f t="shared" ref="C99:H99" si="27">+B63</f>
        <v>#REF!</v>
      </c>
      <c r="D99" s="516" t="e">
        <f t="shared" si="27"/>
        <v>#REF!</v>
      </c>
      <c r="E99" s="516" t="e">
        <f t="shared" si="27"/>
        <v>#REF!</v>
      </c>
      <c r="F99" s="516" t="e">
        <f t="shared" si="27"/>
        <v>#REF!</v>
      </c>
      <c r="G99" s="516" t="e">
        <f t="shared" si="27"/>
        <v>#REF!</v>
      </c>
      <c r="H99" s="516" t="e">
        <f t="shared" si="27"/>
        <v>#REF!</v>
      </c>
      <c r="I99" s="516" t="e">
        <f t="shared" si="20"/>
        <v>#REF!</v>
      </c>
      <c r="J99" s="516">
        <v>0.40925806039776336</v>
      </c>
      <c r="P99" s="428"/>
      <c r="Q99" s="680"/>
    </row>
    <row r="100" spans="1:28" ht="18.5" x14ac:dyDescent="0.45">
      <c r="A100" s="966" t="s">
        <v>125</v>
      </c>
      <c r="B100" s="757">
        <v>2013</v>
      </c>
      <c r="C100" s="739">
        <f t="shared" ref="C100:H100" si="28">AVERAGE(C84,C86,C90,C92,C96,C98,C124,C122,C120,C118,C116,C114,C110,C108,C106,C104,C102,C94)</f>
        <v>0.25373341501477159</v>
      </c>
      <c r="D100" s="739">
        <f t="shared" si="28"/>
        <v>6.6760485099831957E-2</v>
      </c>
      <c r="E100" s="739">
        <f t="shared" si="28"/>
        <v>2.8576493211027038E-2</v>
      </c>
      <c r="F100" s="739">
        <f t="shared" si="28"/>
        <v>1.2861392295970589E-2</v>
      </c>
      <c r="G100" s="739">
        <f t="shared" si="28"/>
        <v>1.8439526466369802E-2</v>
      </c>
      <c r="H100" s="739">
        <f t="shared" si="28"/>
        <v>3.4481290793055043E-3</v>
      </c>
      <c r="I100" s="758">
        <f>+SUM(C100:H100)</f>
        <v>0.38381944116727656</v>
      </c>
      <c r="J100" s="758"/>
      <c r="Q100" s="515"/>
      <c r="R100" s="9"/>
      <c r="S100" s="540"/>
      <c r="T100" s="9"/>
      <c r="U100" s="9"/>
      <c r="V100" s="9"/>
      <c r="W100" s="9"/>
      <c r="X100" s="9"/>
      <c r="Y100" s="9"/>
      <c r="AB100" s="2"/>
    </row>
    <row r="101" spans="1:28" x14ac:dyDescent="0.35">
      <c r="A101" s="966"/>
      <c r="B101" s="757">
        <v>2023</v>
      </c>
      <c r="C101" s="739" t="e">
        <f t="shared" ref="C101:H101" si="29">AVERAGE(C85,C87,C91,C93,C97,C95,C99,C125,C123,C121,C119,C117,C115,C111,C109,C107,C105,C103)</f>
        <v>#REF!</v>
      </c>
      <c r="D101" s="739" t="e">
        <f t="shared" si="29"/>
        <v>#REF!</v>
      </c>
      <c r="E101" s="739" t="e">
        <f t="shared" si="29"/>
        <v>#REF!</v>
      </c>
      <c r="F101" s="739" t="e">
        <f t="shared" si="29"/>
        <v>#REF!</v>
      </c>
      <c r="G101" s="739" t="e">
        <f t="shared" si="29"/>
        <v>#REF!</v>
      </c>
      <c r="H101" s="739" t="e">
        <f t="shared" si="29"/>
        <v>#REF!</v>
      </c>
      <c r="I101" s="758" t="e">
        <f>+SUM(C101:H101)</f>
        <v>#REF!</v>
      </c>
      <c r="J101" s="758">
        <v>0.45620811375746301</v>
      </c>
      <c r="R101" s="9"/>
      <c r="S101" s="540"/>
      <c r="T101" s="9"/>
      <c r="U101" s="9"/>
      <c r="V101" s="9"/>
      <c r="W101" s="9"/>
      <c r="X101" s="9"/>
      <c r="Y101" s="9"/>
    </row>
    <row r="102" spans="1:28" ht="18.5" x14ac:dyDescent="0.45">
      <c r="A102" s="954" t="s">
        <v>11</v>
      </c>
      <c r="B102" s="448">
        <v>2013</v>
      </c>
      <c r="C102" s="516">
        <v>0.20378784204525005</v>
      </c>
      <c r="D102" s="516">
        <v>9.0596816376204231E-2</v>
      </c>
      <c r="E102" s="516">
        <v>1.6749685647554798E-2</v>
      </c>
      <c r="F102" s="516">
        <v>7.8130950504806135E-3</v>
      </c>
      <c r="G102" s="516">
        <v>1.6742346536744172E-2</v>
      </c>
      <c r="H102" s="516">
        <v>6.696938614697669E-3</v>
      </c>
      <c r="I102" s="516">
        <f t="shared" ref="I102:I125" si="30">+SUM(C102:H102)</f>
        <v>0.34238672427093153</v>
      </c>
      <c r="J102" s="516"/>
      <c r="Q102" s="515"/>
      <c r="R102" s="9"/>
      <c r="S102" s="540"/>
      <c r="T102" s="9"/>
      <c r="U102" s="9"/>
      <c r="V102" s="9"/>
      <c r="W102" s="9"/>
      <c r="X102" s="9"/>
      <c r="Y102" s="9"/>
    </row>
    <row r="103" spans="1:28" ht="18.5" x14ac:dyDescent="0.45">
      <c r="A103" s="954"/>
      <c r="B103" s="448">
        <v>2023</v>
      </c>
      <c r="C103" s="516" t="e">
        <f t="shared" ref="C103:H103" si="31">+B64</f>
        <v>#REF!</v>
      </c>
      <c r="D103" s="516" t="e">
        <f t="shared" si="31"/>
        <v>#REF!</v>
      </c>
      <c r="E103" s="516" t="e">
        <f t="shared" si="31"/>
        <v>#REF!</v>
      </c>
      <c r="F103" s="516" t="e">
        <f t="shared" si="31"/>
        <v>#REF!</v>
      </c>
      <c r="G103" s="516" t="e">
        <f t="shared" si="31"/>
        <v>#REF!</v>
      </c>
      <c r="H103" s="516" t="e">
        <f t="shared" si="31"/>
        <v>#REF!</v>
      </c>
      <c r="I103" s="516" t="e">
        <f t="shared" si="30"/>
        <v>#REF!</v>
      </c>
      <c r="J103" s="516">
        <v>0.25091854006033099</v>
      </c>
      <c r="Q103" s="515"/>
      <c r="S103" s="9"/>
      <c r="T103" s="31"/>
      <c r="U103" s="31"/>
      <c r="V103" s="31"/>
      <c r="W103" s="31"/>
      <c r="X103" s="31"/>
      <c r="Y103" s="31"/>
      <c r="Z103" s="31"/>
      <c r="AA103" s="31"/>
    </row>
    <row r="104" spans="1:28" ht="18.5" x14ac:dyDescent="0.45">
      <c r="A104" s="955" t="s">
        <v>25</v>
      </c>
      <c r="B104" s="448">
        <v>2013</v>
      </c>
      <c r="C104" s="516">
        <v>0.23729517918828463</v>
      </c>
      <c r="D104" s="516">
        <v>5.8137318901129727E-2</v>
      </c>
      <c r="E104" s="516">
        <v>1.2346939436349569E-2</v>
      </c>
      <c r="F104" s="516">
        <v>1.2346939436349569E-2</v>
      </c>
      <c r="G104" s="516">
        <v>1.9695499872627625E-2</v>
      </c>
      <c r="H104" s="516">
        <v>0</v>
      </c>
      <c r="I104" s="516">
        <f t="shared" si="30"/>
        <v>0.33982187683474113</v>
      </c>
      <c r="J104" s="516"/>
      <c r="Q104" s="515"/>
      <c r="R104" s="944"/>
      <c r="T104" s="9"/>
      <c r="U104" s="9"/>
      <c r="V104" s="9"/>
      <c r="W104" s="9"/>
      <c r="X104" s="9"/>
      <c r="Y104" s="9"/>
    </row>
    <row r="105" spans="1:28" ht="18.5" x14ac:dyDescent="0.45">
      <c r="A105" s="956"/>
      <c r="B105" s="448">
        <v>2023</v>
      </c>
      <c r="C105" s="516" t="e">
        <f t="shared" ref="C105:H105" si="32">+B65</f>
        <v>#REF!</v>
      </c>
      <c r="D105" s="516" t="e">
        <f t="shared" si="32"/>
        <v>#REF!</v>
      </c>
      <c r="E105" s="516" t="e">
        <f t="shared" si="32"/>
        <v>#REF!</v>
      </c>
      <c r="F105" s="516" t="e">
        <f t="shared" si="32"/>
        <v>#REF!</v>
      </c>
      <c r="G105" s="516" t="e">
        <f t="shared" si="32"/>
        <v>#REF!</v>
      </c>
      <c r="H105" s="516" t="e">
        <f t="shared" si="32"/>
        <v>#REF!</v>
      </c>
      <c r="I105" s="516" t="e">
        <f t="shared" si="30"/>
        <v>#REF!</v>
      </c>
      <c r="J105" s="516">
        <v>0.53443481152100958</v>
      </c>
      <c r="Q105" s="515"/>
      <c r="R105" s="944"/>
      <c r="T105" s="9"/>
      <c r="U105" s="9"/>
      <c r="V105" s="9"/>
      <c r="W105" s="9"/>
      <c r="X105" s="9"/>
      <c r="Y105" s="9"/>
    </row>
    <row r="106" spans="1:28" ht="18.5" x14ac:dyDescent="0.45">
      <c r="A106" s="955" t="s">
        <v>19</v>
      </c>
      <c r="B106" s="448">
        <v>2013</v>
      </c>
      <c r="C106" s="516">
        <v>0.22496508801246287</v>
      </c>
      <c r="D106" s="516">
        <v>6.7397288702945285E-2</v>
      </c>
      <c r="E106" s="516">
        <v>1.8482179429219758E-2</v>
      </c>
      <c r="F106" s="516">
        <v>1.8482179429219758E-2</v>
      </c>
      <c r="G106" s="516">
        <v>1.4662529013847674E-2</v>
      </c>
      <c r="H106" s="516">
        <v>0</v>
      </c>
      <c r="I106" s="516">
        <f t="shared" si="30"/>
        <v>0.34398926458769535</v>
      </c>
      <c r="J106" s="516"/>
      <c r="Q106" s="515"/>
      <c r="R106" s="944"/>
    </row>
    <row r="107" spans="1:28" ht="18.5" x14ac:dyDescent="0.45">
      <c r="A107" s="956"/>
      <c r="B107" s="448">
        <v>2023</v>
      </c>
      <c r="C107" s="516" t="e">
        <f t="shared" ref="C107:H107" si="33">+B66</f>
        <v>#REF!</v>
      </c>
      <c r="D107" s="516" t="e">
        <f t="shared" si="33"/>
        <v>#REF!</v>
      </c>
      <c r="E107" s="516" t="e">
        <f t="shared" si="33"/>
        <v>#REF!</v>
      </c>
      <c r="F107" s="516" t="e">
        <f t="shared" si="33"/>
        <v>#REF!</v>
      </c>
      <c r="G107" s="516" t="e">
        <f t="shared" si="33"/>
        <v>#REF!</v>
      </c>
      <c r="H107" s="516" t="e">
        <f t="shared" si="33"/>
        <v>#REF!</v>
      </c>
      <c r="I107" s="516" t="e">
        <f t="shared" si="30"/>
        <v>#REF!</v>
      </c>
      <c r="J107" s="516">
        <v>0.2939396829790849</v>
      </c>
      <c r="Q107" s="515"/>
      <c r="R107" s="944"/>
      <c r="T107" s="9"/>
      <c r="U107" s="9"/>
      <c r="V107" s="9"/>
      <c r="W107" s="9"/>
      <c r="X107" s="9"/>
      <c r="Y107" s="9"/>
    </row>
    <row r="108" spans="1:28" ht="18.5" x14ac:dyDescent="0.45">
      <c r="A108" s="954" t="s">
        <v>15</v>
      </c>
      <c r="B108" s="448">
        <v>2013</v>
      </c>
      <c r="C108" s="516">
        <v>0.21508332584110071</v>
      </c>
      <c r="D108" s="516">
        <v>7.376768806963889E-2</v>
      </c>
      <c r="E108" s="516">
        <v>1.7678081575980883E-2</v>
      </c>
      <c r="F108" s="516">
        <v>8.8390407879904414E-3</v>
      </c>
      <c r="G108" s="516">
        <v>1.2963926489052643E-2</v>
      </c>
      <c r="H108" s="516">
        <v>8.8390407879904414E-4</v>
      </c>
      <c r="I108" s="516">
        <f t="shared" si="30"/>
        <v>0.3292159668425626</v>
      </c>
      <c r="J108" s="516"/>
      <c r="Q108" s="515"/>
      <c r="R108" s="944"/>
      <c r="T108" s="9"/>
      <c r="U108" s="9"/>
      <c r="V108" s="9"/>
      <c r="W108" s="9"/>
      <c r="X108" s="9"/>
      <c r="Y108" s="9"/>
    </row>
    <row r="109" spans="1:28" ht="18.5" x14ac:dyDescent="0.45">
      <c r="A109" s="954"/>
      <c r="B109" s="448">
        <v>2023</v>
      </c>
      <c r="C109" s="516" t="e">
        <f t="shared" ref="C109:H109" si="34">+B67</f>
        <v>#REF!</v>
      </c>
      <c r="D109" s="516" t="e">
        <f t="shared" si="34"/>
        <v>#REF!</v>
      </c>
      <c r="E109" s="516" t="e">
        <f t="shared" si="34"/>
        <v>#REF!</v>
      </c>
      <c r="F109" s="516" t="e">
        <f t="shared" si="34"/>
        <v>#REF!</v>
      </c>
      <c r="G109" s="516" t="e">
        <f t="shared" si="34"/>
        <v>#REF!</v>
      </c>
      <c r="H109" s="516" t="e">
        <f t="shared" si="34"/>
        <v>#REF!</v>
      </c>
      <c r="I109" s="516" t="e">
        <f t="shared" si="30"/>
        <v>#REF!</v>
      </c>
      <c r="J109" s="516">
        <v>0.40866498271408563</v>
      </c>
      <c r="Q109" s="515"/>
      <c r="R109" s="944"/>
    </row>
    <row r="110" spans="1:28" ht="18.5" x14ac:dyDescent="0.45">
      <c r="A110" s="954" t="s">
        <v>29</v>
      </c>
      <c r="B110" s="448">
        <v>2013</v>
      </c>
      <c r="C110" s="516">
        <v>0.21637842937200005</v>
      </c>
      <c r="D110" s="516">
        <v>4.0286958818699252E-2</v>
      </c>
      <c r="E110" s="516">
        <v>0</v>
      </c>
      <c r="F110" s="516">
        <v>8.2994466060493152E-3</v>
      </c>
      <c r="G110" s="516">
        <v>8.2994466060493169E-3</v>
      </c>
      <c r="H110" s="516">
        <v>3.3197786424197261E-3</v>
      </c>
      <c r="I110" s="516">
        <f>+SUM(C110:H110)</f>
        <v>0.27658406004521763</v>
      </c>
      <c r="J110" s="516"/>
      <c r="Q110" s="515"/>
      <c r="R110" s="944"/>
      <c r="T110" s="9"/>
      <c r="U110" s="9"/>
      <c r="V110" s="9"/>
      <c r="W110" s="9"/>
      <c r="X110" s="9"/>
      <c r="Y110" s="9"/>
    </row>
    <row r="111" spans="1:28" ht="18.5" x14ac:dyDescent="0.45">
      <c r="A111" s="954"/>
      <c r="B111" s="448">
        <v>2023</v>
      </c>
      <c r="C111" s="516" t="e">
        <f t="shared" ref="C111:H111" si="35">+B69</f>
        <v>#REF!</v>
      </c>
      <c r="D111" s="516" t="e">
        <f t="shared" si="35"/>
        <v>#REF!</v>
      </c>
      <c r="E111" s="516" t="e">
        <f t="shared" si="35"/>
        <v>#REF!</v>
      </c>
      <c r="F111" s="516" t="e">
        <f t="shared" si="35"/>
        <v>#REF!</v>
      </c>
      <c r="G111" s="516" t="e">
        <f t="shared" si="35"/>
        <v>#REF!</v>
      </c>
      <c r="H111" s="516" t="e">
        <f t="shared" si="35"/>
        <v>#REF!</v>
      </c>
      <c r="I111" s="516" t="e">
        <f>+SUM(C111:H111)</f>
        <v>#REF!</v>
      </c>
      <c r="J111" s="516">
        <v>0.53885286645565866</v>
      </c>
      <c r="Q111" s="515"/>
      <c r="R111" s="944"/>
      <c r="T111" s="9"/>
      <c r="U111" s="9"/>
      <c r="V111" s="9"/>
      <c r="W111" s="9"/>
      <c r="X111" s="9"/>
      <c r="Y111" s="9"/>
    </row>
    <row r="112" spans="1:28" ht="18.5" x14ac:dyDescent="0.45">
      <c r="A112" s="955" t="s">
        <v>22</v>
      </c>
      <c r="B112" s="448">
        <v>2013</v>
      </c>
      <c r="C112" s="516">
        <v>0.18819818749349776</v>
      </c>
      <c r="D112" s="516">
        <v>4.0937810734523107E-2</v>
      </c>
      <c r="E112" s="516">
        <v>1.5468344177547761E-2</v>
      </c>
      <c r="F112" s="516">
        <v>9.7966179791135824E-3</v>
      </c>
      <c r="G112" s="516">
        <v>1.546834417754776E-2</v>
      </c>
      <c r="H112" s="516">
        <v>0</v>
      </c>
      <c r="I112" s="516">
        <f t="shared" si="30"/>
        <v>0.26986930456222996</v>
      </c>
      <c r="J112" s="516"/>
      <c r="Q112" s="515"/>
      <c r="R112" s="944"/>
    </row>
    <row r="113" spans="1:28" ht="18.5" x14ac:dyDescent="0.45">
      <c r="A113" s="956"/>
      <c r="B113" s="448">
        <v>2023</v>
      </c>
      <c r="C113" s="516" t="e">
        <f t="shared" ref="C113:H113" si="36">+B70</f>
        <v>#REF!</v>
      </c>
      <c r="D113" s="516" t="e">
        <f t="shared" si="36"/>
        <v>#REF!</v>
      </c>
      <c r="E113" s="516" t="e">
        <f t="shared" si="36"/>
        <v>#REF!</v>
      </c>
      <c r="F113" s="516" t="e">
        <f t="shared" si="36"/>
        <v>#REF!</v>
      </c>
      <c r="G113" s="516" t="e">
        <f t="shared" si="36"/>
        <v>#REF!</v>
      </c>
      <c r="H113" s="516" t="e">
        <f t="shared" si="36"/>
        <v>#REF!</v>
      </c>
      <c r="I113" s="516" t="e">
        <f t="shared" si="30"/>
        <v>#REF!</v>
      </c>
      <c r="J113" s="516">
        <v>9.4458179924744017E-3</v>
      </c>
      <c r="Q113" s="515"/>
      <c r="S113" s="540"/>
    </row>
    <row r="114" spans="1:28" ht="18.5" x14ac:dyDescent="0.45">
      <c r="A114" s="955" t="s">
        <v>12</v>
      </c>
      <c r="B114" s="448">
        <v>2013</v>
      </c>
      <c r="C114" s="516">
        <v>0.15517232954099469</v>
      </c>
      <c r="D114" s="516">
        <v>7.0864864688187423E-2</v>
      </c>
      <c r="E114" s="516">
        <v>1.275389009925984E-2</v>
      </c>
      <c r="F114" s="516">
        <v>1.7005186799013122E-2</v>
      </c>
      <c r="G114" s="516">
        <v>4.8974937981157785E-3</v>
      </c>
      <c r="H114" s="516">
        <v>3.5710892277927555E-3</v>
      </c>
      <c r="I114" s="516">
        <f t="shared" si="30"/>
        <v>0.26426485415336359</v>
      </c>
      <c r="J114" s="516"/>
      <c r="Q114" s="515"/>
      <c r="S114" s="540"/>
    </row>
    <row r="115" spans="1:28" ht="18.5" x14ac:dyDescent="0.45">
      <c r="A115" s="956"/>
      <c r="B115" s="448">
        <v>2023</v>
      </c>
      <c r="C115" s="516" t="e">
        <f t="shared" ref="C115:H115" si="37">B73</f>
        <v>#REF!</v>
      </c>
      <c r="D115" s="516" t="e">
        <f t="shared" si="37"/>
        <v>#REF!</v>
      </c>
      <c r="E115" s="516" t="e">
        <f t="shared" si="37"/>
        <v>#REF!</v>
      </c>
      <c r="F115" s="516" t="e">
        <f t="shared" si="37"/>
        <v>#REF!</v>
      </c>
      <c r="G115" s="516" t="e">
        <f t="shared" si="37"/>
        <v>#REF!</v>
      </c>
      <c r="H115" s="516" t="e">
        <f t="shared" si="37"/>
        <v>#REF!</v>
      </c>
      <c r="I115" s="516" t="e">
        <f t="shared" si="30"/>
        <v>#REF!</v>
      </c>
      <c r="J115" s="516">
        <v>0.28376292518362417</v>
      </c>
      <c r="Q115" s="515"/>
      <c r="S115" s="540"/>
    </row>
    <row r="116" spans="1:28" ht="18.5" x14ac:dyDescent="0.45">
      <c r="A116" s="955" t="s">
        <v>14</v>
      </c>
      <c r="B116" s="448">
        <v>2013</v>
      </c>
      <c r="C116" s="516">
        <v>0.14994018775599496</v>
      </c>
      <c r="D116" s="516">
        <v>5.9518715647008197E-2</v>
      </c>
      <c r="E116" s="516">
        <v>1.2318451179427783E-2</v>
      </c>
      <c r="F116" s="516">
        <v>8.6229158255994483E-3</v>
      </c>
      <c r="G116" s="516">
        <v>1.4700018407450489E-2</v>
      </c>
      <c r="H116" s="516">
        <v>0</v>
      </c>
      <c r="I116" s="516">
        <f t="shared" si="30"/>
        <v>0.2451002888154809</v>
      </c>
      <c r="J116" s="516"/>
      <c r="Q116" s="515"/>
      <c r="S116" s="540"/>
    </row>
    <row r="117" spans="1:28" ht="18.5" x14ac:dyDescent="0.45">
      <c r="A117" s="956"/>
      <c r="B117" s="448">
        <v>2023</v>
      </c>
      <c r="C117" s="516" t="e">
        <f t="shared" ref="C117:H117" si="38">B68</f>
        <v>#REF!</v>
      </c>
      <c r="D117" s="516" t="e">
        <f t="shared" si="38"/>
        <v>#REF!</v>
      </c>
      <c r="E117" s="516" t="e">
        <f t="shared" si="38"/>
        <v>#REF!</v>
      </c>
      <c r="F117" s="516" t="e">
        <f t="shared" si="38"/>
        <v>#REF!</v>
      </c>
      <c r="G117" s="516" t="e">
        <f t="shared" si="38"/>
        <v>#REF!</v>
      </c>
      <c r="H117" s="516" t="e">
        <f t="shared" si="38"/>
        <v>#REF!</v>
      </c>
      <c r="I117" s="516" t="e">
        <f t="shared" si="30"/>
        <v>#REF!</v>
      </c>
      <c r="J117" s="516">
        <v>0.25266364926694684</v>
      </c>
      <c r="Q117" s="515"/>
      <c r="S117" s="540"/>
    </row>
    <row r="118" spans="1:28" ht="18.5" x14ac:dyDescent="0.45">
      <c r="A118" s="955" t="s">
        <v>28</v>
      </c>
      <c r="B118" s="448">
        <v>2013</v>
      </c>
      <c r="C118" s="516">
        <v>0.14874173741316807</v>
      </c>
      <c r="D118" s="516">
        <v>3.5236917593179512E-2</v>
      </c>
      <c r="E118" s="516">
        <v>0</v>
      </c>
      <c r="F118" s="516">
        <v>6.1126741402671809E-3</v>
      </c>
      <c r="G118" s="516">
        <v>1.2225348280534362E-2</v>
      </c>
      <c r="H118" s="516">
        <v>2.4450696561068722E-3</v>
      </c>
      <c r="I118" s="516">
        <f t="shared" si="30"/>
        <v>0.20476174708325601</v>
      </c>
      <c r="J118" s="516"/>
      <c r="Q118" s="515"/>
      <c r="S118" s="540"/>
    </row>
    <row r="119" spans="1:28" ht="18.5" x14ac:dyDescent="0.45">
      <c r="A119" s="956"/>
      <c r="B119" s="448">
        <v>2023</v>
      </c>
      <c r="C119" s="516" t="e">
        <f t="shared" ref="C119:H119" si="39">+B71</f>
        <v>#REF!</v>
      </c>
      <c r="D119" s="516" t="e">
        <f t="shared" si="39"/>
        <v>#REF!</v>
      </c>
      <c r="E119" s="516" t="e">
        <f t="shared" si="39"/>
        <v>#REF!</v>
      </c>
      <c r="F119" s="516" t="e">
        <f t="shared" si="39"/>
        <v>#REF!</v>
      </c>
      <c r="G119" s="516" t="e">
        <f t="shared" si="39"/>
        <v>#REF!</v>
      </c>
      <c r="H119" s="516" t="e">
        <f t="shared" si="39"/>
        <v>#REF!</v>
      </c>
      <c r="I119" s="516" t="e">
        <f t="shared" si="30"/>
        <v>#REF!</v>
      </c>
      <c r="J119" s="516">
        <v>0.28595183681808745</v>
      </c>
      <c r="Q119" s="515"/>
      <c r="R119" s="482"/>
      <c r="S119" s="482"/>
      <c r="T119" s="482"/>
      <c r="U119" s="482"/>
      <c r="V119" s="482"/>
      <c r="W119" s="482"/>
      <c r="X119" s="482"/>
      <c r="Y119" s="482"/>
      <c r="Z119" s="482"/>
      <c r="AA119" s="482"/>
      <c r="AB119" s="482"/>
    </row>
    <row r="120" spans="1:28" ht="18.5" x14ac:dyDescent="0.45">
      <c r="A120" s="955" t="s">
        <v>26</v>
      </c>
      <c r="B120" s="448">
        <v>2013</v>
      </c>
      <c r="C120" s="516">
        <v>0.15956032078524277</v>
      </c>
      <c r="D120" s="516">
        <v>3.904048834301229E-2</v>
      </c>
      <c r="E120" s="516">
        <v>1.3108800590309133E-2</v>
      </c>
      <c r="F120" s="516">
        <v>7.8652803541854784E-3</v>
      </c>
      <c r="G120" s="516">
        <v>1.0050080452570335E-2</v>
      </c>
      <c r="H120" s="516">
        <v>2.4469761101910386E-3</v>
      </c>
      <c r="I120" s="516">
        <f t="shared" si="30"/>
        <v>0.23207194663551106</v>
      </c>
      <c r="J120" s="516"/>
      <c r="Q120" s="515"/>
      <c r="S120" s="540"/>
    </row>
    <row r="121" spans="1:28" ht="18.5" x14ac:dyDescent="0.45">
      <c r="A121" s="956"/>
      <c r="B121" s="448">
        <v>2023</v>
      </c>
      <c r="C121" s="753" t="e">
        <f t="shared" ref="C121:H121" si="40">+B72</f>
        <v>#REF!</v>
      </c>
      <c r="D121" s="753" t="e">
        <f t="shared" si="40"/>
        <v>#REF!</v>
      </c>
      <c r="E121" s="753" t="e">
        <f t="shared" si="40"/>
        <v>#REF!</v>
      </c>
      <c r="F121" s="753" t="e">
        <f t="shared" si="40"/>
        <v>#REF!</v>
      </c>
      <c r="G121" s="753" t="e">
        <f t="shared" si="40"/>
        <v>#REF!</v>
      </c>
      <c r="H121" s="753" t="e">
        <f t="shared" si="40"/>
        <v>#REF!</v>
      </c>
      <c r="I121" s="516" t="e">
        <f t="shared" si="30"/>
        <v>#REF!</v>
      </c>
      <c r="J121" s="516">
        <v>0.27662807917631532</v>
      </c>
      <c r="Q121" s="515"/>
      <c r="S121" s="540"/>
    </row>
    <row r="122" spans="1:28" ht="18.5" x14ac:dyDescent="0.45">
      <c r="A122" s="955" t="s">
        <v>24</v>
      </c>
      <c r="B122" s="448">
        <v>2013</v>
      </c>
      <c r="C122" s="516">
        <v>7.6071340208097735E-2</v>
      </c>
      <c r="D122" s="516">
        <v>1.7310648858482013E-2</v>
      </c>
      <c r="E122" s="516">
        <v>3.1696391753374058E-3</v>
      </c>
      <c r="F122" s="516">
        <v>2.9583298969815788E-3</v>
      </c>
      <c r="G122" s="516">
        <v>7.9162858141847807E-3</v>
      </c>
      <c r="H122" s="516">
        <v>0</v>
      </c>
      <c r="I122" s="516">
        <f t="shared" si="30"/>
        <v>0.10742624395308351</v>
      </c>
      <c r="J122" s="516"/>
      <c r="Q122" s="515"/>
      <c r="S122" s="540"/>
    </row>
    <row r="123" spans="1:28" ht="18.5" x14ac:dyDescent="0.45">
      <c r="A123" s="956"/>
      <c r="B123" s="448">
        <v>2023</v>
      </c>
      <c r="C123" s="753" t="e">
        <f t="shared" ref="C123:H123" si="41">+B74</f>
        <v>#REF!</v>
      </c>
      <c r="D123" s="753" t="e">
        <f t="shared" si="41"/>
        <v>#REF!</v>
      </c>
      <c r="E123" s="753" t="e">
        <f t="shared" si="41"/>
        <v>#REF!</v>
      </c>
      <c r="F123" s="753" t="e">
        <f t="shared" si="41"/>
        <v>#REF!</v>
      </c>
      <c r="G123" s="753" t="e">
        <f t="shared" si="41"/>
        <v>#REF!</v>
      </c>
      <c r="H123" s="753" t="e">
        <f t="shared" si="41"/>
        <v>#REF!</v>
      </c>
      <c r="I123" s="516" t="e">
        <f t="shared" si="30"/>
        <v>#REF!</v>
      </c>
      <c r="J123" s="516">
        <v>0.26997286560594452</v>
      </c>
      <c r="Q123" s="515"/>
      <c r="S123" s="540"/>
    </row>
    <row r="124" spans="1:28" ht="18.5" x14ac:dyDescent="0.45">
      <c r="A124" s="955" t="s">
        <v>31</v>
      </c>
      <c r="B124" s="448">
        <v>2013</v>
      </c>
      <c r="C124" s="516">
        <v>9.7757846915806731E-2</v>
      </c>
      <c r="D124" s="516">
        <v>1.3167961721156521E-2</v>
      </c>
      <c r="E124" s="516"/>
      <c r="F124" s="516">
        <v>3.749616046085738E-3</v>
      </c>
      <c r="G124" s="516">
        <v>4.4459733117873743E-3</v>
      </c>
      <c r="H124" s="516">
        <v>0</v>
      </c>
      <c r="I124" s="516">
        <f t="shared" si="30"/>
        <v>0.11912139799483637</v>
      </c>
      <c r="J124" s="516"/>
      <c r="Q124" s="515"/>
      <c r="S124" s="540"/>
    </row>
    <row r="125" spans="1:28" ht="18.5" x14ac:dyDescent="0.45">
      <c r="A125" s="956"/>
      <c r="B125" s="448">
        <v>2023</v>
      </c>
      <c r="C125" s="753" t="e">
        <f t="shared" ref="C125:H125" si="42">+B75</f>
        <v>#REF!</v>
      </c>
      <c r="D125" s="753" t="e">
        <f t="shared" si="42"/>
        <v>#REF!</v>
      </c>
      <c r="E125" s="753" t="e">
        <f t="shared" si="42"/>
        <v>#REF!</v>
      </c>
      <c r="F125" s="753" t="e">
        <f t="shared" si="42"/>
        <v>#REF!</v>
      </c>
      <c r="G125" s="753" t="e">
        <f t="shared" si="42"/>
        <v>#REF!</v>
      </c>
      <c r="H125" s="753" t="e">
        <f t="shared" si="42"/>
        <v>#REF!</v>
      </c>
      <c r="I125" s="516" t="e">
        <f t="shared" si="30"/>
        <v>#REF!</v>
      </c>
      <c r="J125" s="516">
        <v>0.18675482403440144</v>
      </c>
      <c r="Q125" s="515"/>
      <c r="S125" s="540"/>
    </row>
    <row r="126" spans="1:28" x14ac:dyDescent="0.35">
      <c r="G126" s="754"/>
      <c r="S126" s="579"/>
    </row>
    <row r="127" spans="1:28" x14ac:dyDescent="0.35">
      <c r="G127" s="755"/>
      <c r="R127" s="482"/>
      <c r="S127" s="482"/>
      <c r="T127" s="482"/>
      <c r="U127" s="482"/>
      <c r="V127" s="482"/>
      <c r="W127" s="482"/>
      <c r="X127" s="482"/>
      <c r="Y127" s="482"/>
      <c r="Z127" s="482"/>
      <c r="AA127" s="482"/>
      <c r="AB127" s="482"/>
    </row>
    <row r="128" spans="1:28" s="482" customFormat="1" x14ac:dyDescent="0.35">
      <c r="A128" s="12"/>
      <c r="B128" s="756"/>
      <c r="C128" s="756"/>
      <c r="D128" s="12"/>
      <c r="E128" s="12"/>
      <c r="F128"/>
      <c r="G128"/>
      <c r="H128"/>
      <c r="I128"/>
      <c r="J128"/>
    </row>
    <row r="129" spans="1:29" s="482" customFormat="1" x14ac:dyDescent="0.35">
      <c r="A129" s="12"/>
      <c r="B129" s="756"/>
      <c r="C129" s="756"/>
      <c r="D129" s="12"/>
      <c r="E129" s="12"/>
      <c r="F129"/>
      <c r="G129"/>
      <c r="H129"/>
      <c r="I129"/>
      <c r="J129"/>
      <c r="R129"/>
      <c r="S129" s="540"/>
      <c r="T129"/>
      <c r="U129"/>
      <c r="V129"/>
      <c r="W129"/>
      <c r="X129"/>
      <c r="Y129"/>
      <c r="Z129"/>
      <c r="AA129"/>
      <c r="AB129"/>
    </row>
    <row r="130" spans="1:29" s="482" customFormat="1" x14ac:dyDescent="0.35">
      <c r="A130" s="12"/>
      <c r="B130" s="756"/>
      <c r="C130" s="756"/>
      <c r="D130" s="12"/>
      <c r="E130" s="12"/>
      <c r="F130"/>
      <c r="G130"/>
      <c r="H130"/>
      <c r="I130"/>
      <c r="J130"/>
    </row>
    <row r="131" spans="1:29" s="482" customFormat="1" x14ac:dyDescent="0.35">
      <c r="A131" s="12"/>
      <c r="B131" s="756"/>
      <c r="C131" s="756"/>
      <c r="D131" s="12"/>
      <c r="E131" s="12"/>
      <c r="F131"/>
      <c r="G131"/>
      <c r="H131"/>
      <c r="I131"/>
      <c r="J131"/>
    </row>
    <row r="132" spans="1:29" s="482" customFormat="1" x14ac:dyDescent="0.35">
      <c r="A132" s="12"/>
      <c r="B132" s="756"/>
      <c r="C132" s="756"/>
      <c r="D132" s="12"/>
      <c r="E132" s="12"/>
      <c r="F132"/>
      <c r="G132"/>
      <c r="H132"/>
      <c r="I132"/>
      <c r="J132"/>
      <c r="K132"/>
    </row>
    <row r="133" spans="1:29" s="482" customFormat="1" x14ac:dyDescent="0.35">
      <c r="A133" s="12"/>
      <c r="B133" s="756"/>
      <c r="C133" s="756"/>
      <c r="D133" s="12"/>
      <c r="E133" s="12"/>
      <c r="F133"/>
      <c r="G133"/>
      <c r="H133"/>
      <c r="I133"/>
      <c r="J133"/>
      <c r="K133"/>
      <c r="S133"/>
      <c r="T133" s="579"/>
      <c r="U133"/>
      <c r="V133"/>
      <c r="W133"/>
      <c r="X133"/>
      <c r="Y133"/>
      <c r="Z133"/>
      <c r="AA133"/>
      <c r="AB133"/>
      <c r="AC133"/>
    </row>
    <row r="134" spans="1:29" s="482" customFormat="1" x14ac:dyDescent="0.35">
      <c r="A134" s="12"/>
      <c r="B134" s="756"/>
      <c r="C134" s="756"/>
      <c r="D134" s="12"/>
      <c r="E134" s="12"/>
      <c r="F134"/>
      <c r="G134"/>
      <c r="H134"/>
      <c r="I134"/>
      <c r="J134"/>
      <c r="K134"/>
    </row>
    <row r="135" spans="1:29" s="482" customFormat="1" x14ac:dyDescent="0.35">
      <c r="A135" s="356"/>
      <c r="B135" s="488"/>
      <c r="C135" s="488"/>
      <c r="D135" s="356"/>
      <c r="E135" s="356"/>
    </row>
    <row r="136" spans="1:29" s="482" customFormat="1" x14ac:dyDescent="0.35">
      <c r="A136" s="486"/>
      <c r="B136" s="487"/>
      <c r="C136" s="487"/>
      <c r="D136" s="486"/>
      <c r="E136" s="486"/>
    </row>
    <row r="137" spans="1:29" s="482" customFormat="1" x14ac:dyDescent="0.35">
      <c r="A137" s="356"/>
      <c r="B137" s="488"/>
      <c r="C137" s="488"/>
      <c r="D137" s="356"/>
      <c r="E137" s="356"/>
    </row>
    <row r="138" spans="1:29" s="482" customFormat="1" x14ac:dyDescent="0.35">
      <c r="D138" s="489"/>
      <c r="E138" s="489"/>
    </row>
    <row r="139" spans="1:29" s="482" customFormat="1" x14ac:dyDescent="0.35">
      <c r="D139" s="489"/>
      <c r="E139" s="489"/>
    </row>
    <row r="140" spans="1:29" s="482" customFormat="1" x14ac:dyDescent="0.35"/>
    <row r="141" spans="1:29" s="482" customFormat="1" x14ac:dyDescent="0.35"/>
    <row r="142" spans="1:29" s="482" customFormat="1" x14ac:dyDescent="0.35"/>
    <row r="143" spans="1:29" s="482" customFormat="1" x14ac:dyDescent="0.35"/>
    <row r="144" spans="1:29" s="482" customFormat="1" x14ac:dyDescent="0.35"/>
    <row r="145" s="482" customFormat="1" x14ac:dyDescent="0.35"/>
    <row r="146" s="482" customFormat="1" x14ac:dyDescent="0.35"/>
    <row r="147" s="482" customFormat="1" x14ac:dyDescent="0.35"/>
    <row r="148" s="482" customFormat="1" x14ac:dyDescent="0.35"/>
    <row r="149" s="482" customFormat="1" x14ac:dyDescent="0.35"/>
    <row r="150" s="482" customFormat="1" x14ac:dyDescent="0.35"/>
    <row r="151" s="482" customFormat="1" x14ac:dyDescent="0.35"/>
    <row r="152" s="482" customFormat="1" x14ac:dyDescent="0.35"/>
    <row r="153" s="482" customFormat="1" x14ac:dyDescent="0.35"/>
    <row r="154" s="482" customFormat="1" x14ac:dyDescent="0.35"/>
    <row r="155" s="482" customFormat="1" x14ac:dyDescent="0.35"/>
    <row r="156" s="482" customFormat="1" x14ac:dyDescent="0.35"/>
    <row r="157" s="482" customFormat="1" x14ac:dyDescent="0.35"/>
    <row r="158" s="482" customFormat="1" x14ac:dyDescent="0.35"/>
    <row r="159" s="482" customFormat="1" x14ac:dyDescent="0.35"/>
    <row r="160" s="482" customFormat="1" x14ac:dyDescent="0.35"/>
    <row r="161" s="482" customFormat="1" x14ac:dyDescent="0.35"/>
    <row r="162" s="482" customFormat="1" x14ac:dyDescent="0.35"/>
    <row r="163" s="482" customFormat="1" x14ac:dyDescent="0.35"/>
    <row r="164" s="482" customFormat="1" x14ac:dyDescent="0.35"/>
    <row r="165" s="482" customFormat="1" x14ac:dyDescent="0.35"/>
    <row r="166" s="482" customFormat="1" x14ac:dyDescent="0.35"/>
    <row r="167" s="482" customFormat="1" x14ac:dyDescent="0.35"/>
    <row r="168" s="482" customFormat="1" x14ac:dyDescent="0.35"/>
    <row r="169" s="482" customFormat="1" x14ac:dyDescent="0.35"/>
    <row r="170" s="482" customFormat="1" x14ac:dyDescent="0.35"/>
    <row r="171" s="482" customFormat="1" x14ac:dyDescent="0.35"/>
    <row r="172" s="482" customFormat="1" x14ac:dyDescent="0.35"/>
    <row r="173" s="482" customFormat="1" x14ac:dyDescent="0.35"/>
    <row r="174" s="482" customFormat="1" x14ac:dyDescent="0.35"/>
    <row r="175" s="482" customFormat="1" x14ac:dyDescent="0.35"/>
    <row r="176" s="482" customFormat="1" x14ac:dyDescent="0.35"/>
    <row r="177" s="482" customFormat="1" x14ac:dyDescent="0.35"/>
    <row r="178" s="482" customFormat="1" x14ac:dyDescent="0.35"/>
    <row r="179" s="482" customFormat="1" x14ac:dyDescent="0.35"/>
    <row r="180" s="482" customFormat="1" x14ac:dyDescent="0.35"/>
    <row r="181" s="482" customFormat="1" x14ac:dyDescent="0.35"/>
    <row r="182" s="482" customFormat="1" x14ac:dyDescent="0.35"/>
    <row r="183" s="482" customFormat="1" x14ac:dyDescent="0.35"/>
    <row r="184" s="482" customFormat="1" x14ac:dyDescent="0.35"/>
    <row r="185" s="482" customFormat="1" x14ac:dyDescent="0.35"/>
    <row r="186" s="482" customFormat="1" x14ac:dyDescent="0.35"/>
    <row r="187" s="482" customFormat="1" x14ac:dyDescent="0.35"/>
    <row r="188" s="482" customFormat="1" x14ac:dyDescent="0.35"/>
    <row r="189" s="482" customFormat="1" x14ac:dyDescent="0.35"/>
    <row r="190" s="482" customFormat="1" x14ac:dyDescent="0.35"/>
    <row r="191" s="482" customFormat="1" x14ac:dyDescent="0.35"/>
    <row r="192" s="482" customFormat="1" x14ac:dyDescent="0.35"/>
    <row r="193" s="482" customFormat="1" x14ac:dyDescent="0.35"/>
    <row r="194" s="482" customFormat="1" x14ac:dyDescent="0.35"/>
    <row r="195" s="482" customFormat="1" x14ac:dyDescent="0.35"/>
    <row r="196" s="482" customFormat="1" x14ac:dyDescent="0.35"/>
    <row r="197" s="482" customFormat="1" x14ac:dyDescent="0.35"/>
    <row r="198" s="482" customFormat="1" x14ac:dyDescent="0.35"/>
    <row r="199" s="482" customFormat="1" x14ac:dyDescent="0.35"/>
    <row r="200" s="482" customFormat="1" x14ac:dyDescent="0.35"/>
    <row r="201" s="482" customFormat="1" x14ac:dyDescent="0.35"/>
    <row r="202" s="482" customFormat="1" x14ac:dyDescent="0.35"/>
    <row r="203" s="482" customFormat="1" x14ac:dyDescent="0.35"/>
    <row r="204" s="482" customFormat="1" x14ac:dyDescent="0.35"/>
    <row r="205" s="482" customFormat="1" x14ac:dyDescent="0.35"/>
    <row r="206" s="482" customFormat="1" x14ac:dyDescent="0.35"/>
    <row r="207" s="482" customFormat="1" x14ac:dyDescent="0.35"/>
    <row r="208" s="482" customFormat="1" x14ac:dyDescent="0.35"/>
    <row r="209" s="482" customFormat="1" x14ac:dyDescent="0.35"/>
    <row r="210" s="482" customFormat="1" x14ac:dyDescent="0.35"/>
    <row r="211" s="482" customFormat="1" x14ac:dyDescent="0.35"/>
    <row r="212" s="482" customFormat="1" x14ac:dyDescent="0.35"/>
    <row r="213" s="482" customFormat="1" x14ac:dyDescent="0.35"/>
    <row r="214" s="482" customFormat="1" x14ac:dyDescent="0.35"/>
    <row r="215" s="482" customFormat="1" x14ac:dyDescent="0.35"/>
    <row r="216" s="482" customFormat="1" x14ac:dyDescent="0.35"/>
    <row r="217" s="482" customFormat="1" x14ac:dyDescent="0.35"/>
    <row r="218" s="482" customFormat="1" x14ac:dyDescent="0.35"/>
    <row r="219" s="482" customFormat="1" x14ac:dyDescent="0.35"/>
    <row r="220" s="482" customFormat="1" x14ac:dyDescent="0.35"/>
    <row r="221" s="482" customFormat="1" x14ac:dyDescent="0.35"/>
    <row r="222" s="482" customFormat="1" x14ac:dyDescent="0.35"/>
    <row r="223" s="482" customFormat="1" x14ac:dyDescent="0.35"/>
    <row r="224" s="482" customFormat="1" x14ac:dyDescent="0.35"/>
    <row r="225" s="482" customFormat="1" x14ac:dyDescent="0.35"/>
    <row r="226" s="482" customFormat="1" x14ac:dyDescent="0.35"/>
    <row r="227" s="482" customFormat="1" x14ac:dyDescent="0.35"/>
    <row r="228" s="482" customFormat="1" x14ac:dyDescent="0.35"/>
    <row r="229" s="482" customFormat="1" x14ac:dyDescent="0.35"/>
    <row r="230" s="482" customFormat="1" x14ac:dyDescent="0.35"/>
    <row r="231" s="482" customFormat="1" x14ac:dyDescent="0.35"/>
    <row r="232" s="482" customFormat="1" x14ac:dyDescent="0.35"/>
    <row r="233" s="482" customFormat="1" x14ac:dyDescent="0.35"/>
    <row r="234" s="482" customFormat="1" x14ac:dyDescent="0.35"/>
    <row r="235" s="482" customFormat="1" x14ac:dyDescent="0.35"/>
    <row r="236" s="482" customFormat="1" x14ac:dyDescent="0.35"/>
    <row r="237" s="482" customFormat="1" x14ac:dyDescent="0.35"/>
    <row r="238" s="482" customFormat="1" x14ac:dyDescent="0.35"/>
    <row r="239" s="482" customFormat="1" x14ac:dyDescent="0.35"/>
    <row r="240" s="482" customFormat="1" x14ac:dyDescent="0.35"/>
    <row r="241" s="482" customFormat="1" x14ac:dyDescent="0.35"/>
    <row r="242" s="482" customFormat="1" x14ac:dyDescent="0.35"/>
    <row r="243" s="482" customFormat="1" x14ac:dyDescent="0.35"/>
    <row r="244" s="482" customFormat="1" x14ac:dyDescent="0.35"/>
    <row r="245" s="482" customFormat="1" x14ac:dyDescent="0.35"/>
    <row r="246" s="482" customFormat="1" x14ac:dyDescent="0.35"/>
    <row r="247" s="482" customFormat="1" x14ac:dyDescent="0.35"/>
    <row r="248" s="482" customFormat="1" x14ac:dyDescent="0.35"/>
    <row r="249" s="482" customFormat="1" x14ac:dyDescent="0.35"/>
    <row r="250" s="482" customFormat="1" x14ac:dyDescent="0.35"/>
    <row r="251" s="482" customFormat="1" x14ac:dyDescent="0.35"/>
    <row r="252" s="482" customFormat="1" x14ac:dyDescent="0.35"/>
    <row r="253" s="482" customFormat="1" x14ac:dyDescent="0.35"/>
    <row r="254" s="482" customFormat="1" x14ac:dyDescent="0.35"/>
    <row r="255" s="482" customFormat="1" x14ac:dyDescent="0.35"/>
    <row r="256" s="482" customFormat="1" x14ac:dyDescent="0.35"/>
    <row r="257" s="482" customFormat="1" x14ac:dyDescent="0.35"/>
    <row r="258" s="482" customFormat="1" x14ac:dyDescent="0.35"/>
    <row r="259" s="482" customFormat="1" x14ac:dyDescent="0.35"/>
    <row r="260" s="482" customFormat="1" x14ac:dyDescent="0.35"/>
    <row r="261" s="482" customFormat="1" x14ac:dyDescent="0.35"/>
    <row r="262" s="482" customFormat="1" x14ac:dyDescent="0.35"/>
    <row r="263" s="482" customFormat="1" x14ac:dyDescent="0.35"/>
    <row r="264" s="482" customFormat="1" x14ac:dyDescent="0.35"/>
    <row r="265" s="482" customFormat="1" x14ac:dyDescent="0.35"/>
    <row r="266" s="482" customFormat="1" x14ac:dyDescent="0.35"/>
    <row r="267" s="482" customFormat="1" x14ac:dyDescent="0.35"/>
    <row r="268" s="482" customFormat="1" x14ac:dyDescent="0.35"/>
    <row r="269" s="482" customFormat="1" x14ac:dyDescent="0.35"/>
    <row r="270" s="482" customFormat="1" x14ac:dyDescent="0.35"/>
    <row r="271" s="482" customFormat="1" x14ac:dyDescent="0.35"/>
    <row r="272" s="482" customFormat="1" x14ac:dyDescent="0.35"/>
    <row r="273" s="482" customFormat="1" x14ac:dyDescent="0.35"/>
    <row r="274" s="482" customFormat="1" x14ac:dyDescent="0.35"/>
    <row r="275" s="482" customFormat="1" x14ac:dyDescent="0.35"/>
    <row r="276" s="482" customFormat="1" x14ac:dyDescent="0.35"/>
    <row r="277" s="482" customFormat="1" x14ac:dyDescent="0.35"/>
    <row r="278" s="482" customFormat="1" x14ac:dyDescent="0.35"/>
    <row r="279" s="482" customFormat="1" x14ac:dyDescent="0.35"/>
    <row r="280" s="482" customFormat="1" x14ac:dyDescent="0.35"/>
    <row r="281" s="482" customFormat="1" x14ac:dyDescent="0.35"/>
    <row r="282" s="482" customFormat="1" x14ac:dyDescent="0.35"/>
    <row r="283" s="482" customFormat="1" x14ac:dyDescent="0.35"/>
    <row r="284" s="482" customFormat="1" x14ac:dyDescent="0.35"/>
    <row r="285" s="482" customFormat="1" x14ac:dyDescent="0.35"/>
    <row r="286" s="482" customFormat="1" x14ac:dyDescent="0.35"/>
    <row r="287" s="482" customFormat="1" x14ac:dyDescent="0.35"/>
    <row r="288" s="482" customFormat="1" x14ac:dyDescent="0.35"/>
    <row r="289" s="482" customFormat="1" x14ac:dyDescent="0.35"/>
    <row r="290" s="482" customFormat="1" x14ac:dyDescent="0.35"/>
    <row r="291" s="482" customFormat="1" x14ac:dyDescent="0.35"/>
    <row r="292" s="482" customFormat="1" x14ac:dyDescent="0.35"/>
    <row r="293" s="482" customFormat="1" x14ac:dyDescent="0.35"/>
    <row r="294" s="482" customFormat="1" x14ac:dyDescent="0.35"/>
    <row r="295" s="482" customFormat="1" x14ac:dyDescent="0.35"/>
    <row r="296" s="482" customFormat="1" x14ac:dyDescent="0.35"/>
    <row r="297" s="482" customFormat="1" x14ac:dyDescent="0.35"/>
    <row r="298" s="482" customFormat="1" x14ac:dyDescent="0.35"/>
    <row r="299" s="482" customFormat="1" x14ac:dyDescent="0.35"/>
    <row r="300" s="482" customFormat="1" x14ac:dyDescent="0.35"/>
    <row r="301" s="482" customFormat="1" x14ac:dyDescent="0.35"/>
    <row r="302" s="482" customFormat="1" x14ac:dyDescent="0.35"/>
    <row r="303" s="482" customFormat="1" x14ac:dyDescent="0.35"/>
    <row r="304" s="482" customFormat="1" x14ac:dyDescent="0.35"/>
    <row r="305" s="482" customFormat="1" x14ac:dyDescent="0.35"/>
    <row r="306" s="482" customFormat="1" x14ac:dyDescent="0.35"/>
    <row r="307" s="482" customFormat="1" x14ac:dyDescent="0.35"/>
    <row r="308" s="482" customFormat="1" x14ac:dyDescent="0.35"/>
    <row r="309" s="482" customFormat="1" x14ac:dyDescent="0.35"/>
    <row r="310" s="482" customFormat="1" x14ac:dyDescent="0.35"/>
    <row r="311" s="482" customFormat="1" x14ac:dyDescent="0.35"/>
    <row r="312" s="482" customFormat="1" x14ac:dyDescent="0.35"/>
    <row r="313" s="482" customFormat="1" x14ac:dyDescent="0.35"/>
    <row r="314" s="482" customFormat="1" x14ac:dyDescent="0.35"/>
    <row r="315" s="482" customFormat="1" x14ac:dyDescent="0.35"/>
    <row r="316" s="482" customFormat="1" x14ac:dyDescent="0.35"/>
    <row r="317" s="482" customFormat="1" x14ac:dyDescent="0.35"/>
    <row r="318" s="482" customFormat="1" x14ac:dyDescent="0.35"/>
    <row r="319" s="482" customFormat="1" x14ac:dyDescent="0.35"/>
    <row r="320" s="482" customFormat="1" x14ac:dyDescent="0.35"/>
    <row r="321" s="482" customFormat="1" x14ac:dyDescent="0.35"/>
    <row r="322" s="482" customFormat="1" x14ac:dyDescent="0.35"/>
    <row r="323" s="482" customFormat="1" x14ac:dyDescent="0.35"/>
    <row r="324" s="482" customFormat="1" x14ac:dyDescent="0.35"/>
    <row r="325" s="482" customFormat="1" x14ac:dyDescent="0.35"/>
    <row r="326" s="482" customFormat="1" x14ac:dyDescent="0.35"/>
    <row r="327" s="482" customFormat="1" x14ac:dyDescent="0.35"/>
    <row r="328" s="482" customFormat="1" x14ac:dyDescent="0.35"/>
    <row r="329" s="482" customFormat="1" x14ac:dyDescent="0.35"/>
    <row r="330" s="482" customFormat="1" x14ac:dyDescent="0.35"/>
    <row r="331" s="482" customFormat="1" x14ac:dyDescent="0.35"/>
    <row r="332" s="482" customFormat="1" x14ac:dyDescent="0.35"/>
    <row r="333" s="482" customFormat="1" x14ac:dyDescent="0.35"/>
    <row r="334" s="482" customFormat="1" x14ac:dyDescent="0.35"/>
    <row r="335" s="482" customFormat="1" x14ac:dyDescent="0.35"/>
    <row r="336" s="482" customFormat="1" x14ac:dyDescent="0.35"/>
    <row r="337" s="482" customFormat="1" x14ac:dyDescent="0.35"/>
    <row r="338" s="482" customFormat="1" x14ac:dyDescent="0.35"/>
    <row r="339" s="482" customFormat="1" x14ac:dyDescent="0.35"/>
    <row r="340" s="482" customFormat="1" x14ac:dyDescent="0.35"/>
    <row r="341" s="482" customFormat="1" x14ac:dyDescent="0.35"/>
    <row r="342" s="482" customFormat="1" x14ac:dyDescent="0.35"/>
    <row r="343" s="482" customFormat="1" x14ac:dyDescent="0.35"/>
    <row r="344" s="482" customFormat="1" x14ac:dyDescent="0.35"/>
    <row r="345" s="482" customFormat="1" x14ac:dyDescent="0.35"/>
    <row r="346" s="482" customFormat="1" x14ac:dyDescent="0.35"/>
    <row r="347" s="482" customFormat="1" x14ac:dyDescent="0.35"/>
    <row r="348" s="482" customFormat="1" x14ac:dyDescent="0.35"/>
    <row r="349" s="482" customFormat="1" x14ac:dyDescent="0.35"/>
    <row r="350" s="482" customFormat="1" x14ac:dyDescent="0.35"/>
    <row r="351" s="482" customFormat="1" x14ac:dyDescent="0.35"/>
    <row r="352" s="482" customFormat="1" x14ac:dyDescent="0.35"/>
    <row r="353" s="482" customFormat="1" x14ac:dyDescent="0.35"/>
    <row r="354" s="482" customFormat="1" x14ac:dyDescent="0.35"/>
    <row r="355" s="482" customFormat="1" x14ac:dyDescent="0.35"/>
    <row r="356" s="482" customFormat="1" x14ac:dyDescent="0.35"/>
    <row r="357" s="482" customFormat="1" x14ac:dyDescent="0.35"/>
    <row r="358" s="482" customFormat="1" x14ac:dyDescent="0.35"/>
    <row r="359" s="482" customFormat="1" x14ac:dyDescent="0.35"/>
    <row r="360" s="482" customFormat="1" x14ac:dyDescent="0.35"/>
    <row r="361" s="482" customFormat="1" x14ac:dyDescent="0.35"/>
    <row r="362" s="482" customFormat="1" x14ac:dyDescent="0.35"/>
    <row r="363" s="482" customFormat="1" x14ac:dyDescent="0.35"/>
    <row r="364" s="482" customFormat="1" x14ac:dyDescent="0.35"/>
    <row r="365" s="482" customFormat="1" x14ac:dyDescent="0.35"/>
    <row r="366" s="482" customFormat="1" x14ac:dyDescent="0.35"/>
    <row r="367" s="482" customFormat="1" x14ac:dyDescent="0.35"/>
    <row r="368" s="482" customFormat="1" x14ac:dyDescent="0.35"/>
    <row r="369" s="482" customFormat="1" x14ac:dyDescent="0.35"/>
    <row r="370" s="482" customFormat="1" x14ac:dyDescent="0.35"/>
    <row r="371" s="482" customFormat="1" x14ac:dyDescent="0.35"/>
    <row r="372" s="482" customFormat="1" x14ac:dyDescent="0.35"/>
    <row r="373" s="482" customFormat="1" x14ac:dyDescent="0.35"/>
    <row r="374" s="482" customFormat="1" x14ac:dyDescent="0.35"/>
    <row r="375" s="482" customFormat="1" x14ac:dyDescent="0.35"/>
    <row r="376" s="482" customFormat="1" x14ac:dyDescent="0.35"/>
    <row r="377" s="482" customFormat="1" x14ac:dyDescent="0.35"/>
    <row r="378" s="482" customFormat="1" x14ac:dyDescent="0.35"/>
    <row r="379" s="482" customFormat="1" x14ac:dyDescent="0.35"/>
    <row r="380" s="482" customFormat="1" x14ac:dyDescent="0.35"/>
    <row r="381" s="482" customFormat="1" x14ac:dyDescent="0.35"/>
    <row r="382" s="482" customFormat="1" x14ac:dyDescent="0.35"/>
    <row r="383" s="482" customFormat="1" x14ac:dyDescent="0.35"/>
    <row r="384" s="482" customFormat="1" x14ac:dyDescent="0.35"/>
    <row r="385" s="482" customFormat="1" x14ac:dyDescent="0.35"/>
    <row r="386" s="482" customFormat="1" x14ac:dyDescent="0.35"/>
    <row r="387" s="482" customFormat="1" x14ac:dyDescent="0.35"/>
  </sheetData>
  <sortState xmlns:xlrd2="http://schemas.microsoft.com/office/spreadsheetml/2017/richdata2" ref="A56:J76">
    <sortCondition descending="1" ref="H56:H76"/>
  </sortState>
  <mergeCells count="36">
    <mergeCell ref="A118:A119"/>
    <mergeCell ref="A120:A121"/>
    <mergeCell ref="A122:A123"/>
    <mergeCell ref="A124:A125"/>
    <mergeCell ref="A104:A105"/>
    <mergeCell ref="A106:A107"/>
    <mergeCell ref="A112:A113"/>
    <mergeCell ref="A114:A115"/>
    <mergeCell ref="A116:A117"/>
    <mergeCell ref="R104:R106"/>
    <mergeCell ref="R107:R109"/>
    <mergeCell ref="R110:R112"/>
    <mergeCell ref="AE59:AK59"/>
    <mergeCell ref="A86:A87"/>
    <mergeCell ref="A98:A99"/>
    <mergeCell ref="A102:A103"/>
    <mergeCell ref="A94:A95"/>
    <mergeCell ref="A92:A93"/>
    <mergeCell ref="A96:A97"/>
    <mergeCell ref="A90:A91"/>
    <mergeCell ref="A100:A101"/>
    <mergeCell ref="A110:A111"/>
    <mergeCell ref="A88:A89"/>
    <mergeCell ref="A108:A109"/>
    <mergeCell ref="P28:Q29"/>
    <mergeCell ref="R28:U28"/>
    <mergeCell ref="R29:S29"/>
    <mergeCell ref="T29:U29"/>
    <mergeCell ref="A84:A85"/>
    <mergeCell ref="B28:D29"/>
    <mergeCell ref="A28:A29"/>
    <mergeCell ref="D54:E54"/>
    <mergeCell ref="F54:G54"/>
    <mergeCell ref="F28:O28"/>
    <mergeCell ref="F29:J29"/>
    <mergeCell ref="K29:O29"/>
  </mergeCells>
  <pageMargins left="0.7" right="0.7" top="0.75" bottom="0.75" header="0.3" footer="0.3"/>
  <pageSetup paperSize="9"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B1:AG70"/>
  <sheetViews>
    <sheetView showGridLines="0" zoomScale="40" zoomScaleNormal="85" workbookViewId="0">
      <selection activeCell="H3" sqref="H3"/>
    </sheetView>
  </sheetViews>
  <sheetFormatPr defaultColWidth="9.1796875" defaultRowHeight="14.5" x14ac:dyDescent="0.35"/>
  <cols>
    <col min="1" max="1" width="14.54296875" customWidth="1"/>
    <col min="2" max="2" width="13.54296875" customWidth="1"/>
    <col min="3" max="3" width="17.81640625" customWidth="1"/>
    <col min="4" max="4" width="9.90625" customWidth="1"/>
    <col min="6" max="6" width="23.54296875" customWidth="1"/>
    <col min="7" max="7" width="12.36328125" customWidth="1"/>
    <col min="8" max="8" width="9.6328125" customWidth="1"/>
    <col min="9" max="9" width="18.81640625" customWidth="1"/>
    <col min="10" max="10" width="10.90625" customWidth="1"/>
    <col min="11" max="11" width="9.26953125" customWidth="1"/>
    <col min="12" max="12" width="24.54296875" customWidth="1"/>
    <col min="13" max="13" width="9.54296875" customWidth="1"/>
    <col min="14" max="14" width="11.90625" style="63" customWidth="1"/>
    <col min="15" max="15" width="21.90625" style="63" customWidth="1"/>
    <col min="16" max="16" width="13.6328125" style="63" customWidth="1"/>
    <col min="17" max="17" width="12.90625" style="63" customWidth="1"/>
    <col min="18" max="18" width="17.54296875" style="63" customWidth="1"/>
    <col min="19" max="19" width="11.81640625" style="63" customWidth="1"/>
    <col min="20" max="20" width="16.6328125" style="63" customWidth="1"/>
    <col min="21" max="21" width="17.81640625" style="63" customWidth="1"/>
    <col min="22" max="22" width="16.1796875" style="63" customWidth="1"/>
    <col min="23" max="26" width="9.1796875" style="63"/>
    <col min="27" max="27" width="16.54296875" customWidth="1"/>
  </cols>
  <sheetData>
    <row r="1" spans="2:20" ht="17.5" x14ac:dyDescent="0.35">
      <c r="B1" s="967" t="s">
        <v>194</v>
      </c>
      <c r="C1" s="967"/>
      <c r="D1" s="967"/>
      <c r="E1" s="967"/>
      <c r="F1" s="967"/>
      <c r="G1" s="967"/>
      <c r="H1" s="967"/>
      <c r="I1" s="967"/>
      <c r="J1" s="967"/>
      <c r="K1" s="967"/>
      <c r="L1" s="967"/>
    </row>
    <row r="2" spans="2:20" x14ac:dyDescent="0.35">
      <c r="B2" t="s">
        <v>146</v>
      </c>
      <c r="K2" s="2"/>
    </row>
    <row r="5" spans="2:20" x14ac:dyDescent="0.35">
      <c r="B5" s="898"/>
      <c r="C5" s="972" t="s">
        <v>68</v>
      </c>
      <c r="D5" s="972"/>
      <c r="E5" s="972"/>
      <c r="F5" s="972"/>
      <c r="G5" s="972"/>
      <c r="H5" s="972"/>
      <c r="I5" s="972"/>
      <c r="J5" s="972"/>
      <c r="K5" s="972"/>
      <c r="L5" s="972"/>
      <c r="M5" s="972"/>
      <c r="N5" s="972"/>
      <c r="O5" s="973" t="s">
        <v>69</v>
      </c>
      <c r="P5" s="973"/>
      <c r="Q5" s="973" t="s">
        <v>70</v>
      </c>
      <c r="R5" s="973"/>
      <c r="S5" s="973"/>
      <c r="T5" s="973"/>
    </row>
    <row r="6" spans="2:20" x14ac:dyDescent="0.35">
      <c r="B6" s="898"/>
      <c r="C6" s="898" t="s">
        <v>72</v>
      </c>
      <c r="D6" s="898"/>
      <c r="E6" s="898"/>
      <c r="F6" s="898"/>
      <c r="G6" s="898"/>
      <c r="H6" s="898"/>
      <c r="I6" s="898" t="s">
        <v>71</v>
      </c>
      <c r="J6" s="898"/>
      <c r="K6" s="898"/>
      <c r="L6" s="898"/>
      <c r="M6" s="898"/>
      <c r="N6" s="899"/>
      <c r="O6" s="899"/>
      <c r="P6" s="899"/>
      <c r="Q6" s="899" t="s">
        <v>74</v>
      </c>
      <c r="R6" s="899"/>
      <c r="S6" s="899" t="s">
        <v>73</v>
      </c>
      <c r="T6" s="899"/>
    </row>
    <row r="7" spans="2:20" x14ac:dyDescent="0.35">
      <c r="B7" s="898" t="s">
        <v>169</v>
      </c>
      <c r="C7" s="898" t="s">
        <v>75</v>
      </c>
      <c r="D7" s="898" t="s">
        <v>76</v>
      </c>
      <c r="E7" s="898" t="s">
        <v>77</v>
      </c>
      <c r="F7" s="898" t="s">
        <v>78</v>
      </c>
      <c r="G7" s="898" t="s">
        <v>79</v>
      </c>
      <c r="H7" s="898"/>
      <c r="I7" s="898" t="s">
        <v>75</v>
      </c>
      <c r="J7" s="898" t="s">
        <v>76</v>
      </c>
      <c r="K7" s="898" t="s">
        <v>77</v>
      </c>
      <c r="L7" s="898" t="s">
        <v>185</v>
      </c>
      <c r="M7" s="898" t="s">
        <v>79</v>
      </c>
      <c r="N7" s="899"/>
      <c r="O7" s="899" t="s">
        <v>5</v>
      </c>
      <c r="P7" s="899" t="s">
        <v>4</v>
      </c>
      <c r="Q7" s="899" t="s">
        <v>80</v>
      </c>
      <c r="R7" s="899" t="s">
        <v>81</v>
      </c>
      <c r="S7" s="899" t="s">
        <v>80</v>
      </c>
      <c r="T7" s="899" t="s">
        <v>81</v>
      </c>
    </row>
    <row r="8" spans="2:20" x14ac:dyDescent="0.35">
      <c r="B8" s="623" t="s">
        <v>11</v>
      </c>
      <c r="C8" s="750">
        <v>0.184</v>
      </c>
      <c r="D8" s="750">
        <v>0.11899999999999999</v>
      </c>
      <c r="E8" s="750">
        <v>6.5000000000000002E-2</v>
      </c>
      <c r="F8" s="750">
        <v>0</v>
      </c>
      <c r="G8" s="750">
        <v>0</v>
      </c>
      <c r="H8" s="623"/>
      <c r="I8" s="750">
        <v>0.27</v>
      </c>
      <c r="J8" s="750">
        <v>0.11700000000000001</v>
      </c>
      <c r="K8" s="750">
        <v>8.2000000000000003E-2</v>
      </c>
      <c r="L8" s="750">
        <v>1.0999999999999999E-2</v>
      </c>
      <c r="M8" s="750">
        <v>6.0999999999999999E-2</v>
      </c>
      <c r="N8" s="825"/>
      <c r="O8" s="900">
        <v>8.2000000000000003E-2</v>
      </c>
      <c r="P8" s="900">
        <v>3.7999999999999999E-2</v>
      </c>
      <c r="Q8" s="900">
        <v>8.2000000000000003E-2</v>
      </c>
      <c r="R8" s="900">
        <v>3.3000000000000002E-2</v>
      </c>
      <c r="S8" s="900">
        <v>0.41099999999999998</v>
      </c>
      <c r="T8" s="900">
        <v>0.16400000000000001</v>
      </c>
    </row>
    <row r="9" spans="2:20" x14ac:dyDescent="0.35">
      <c r="B9" s="623" t="s">
        <v>13</v>
      </c>
      <c r="C9" s="750">
        <v>0.127</v>
      </c>
      <c r="D9" s="750">
        <v>0.127</v>
      </c>
      <c r="E9" s="750">
        <v>0</v>
      </c>
      <c r="F9" s="750">
        <v>0</v>
      </c>
      <c r="G9" s="750">
        <v>0</v>
      </c>
      <c r="H9" s="623"/>
      <c r="I9" s="750">
        <v>0.14699999999999999</v>
      </c>
      <c r="J9" s="750">
        <v>0.03</v>
      </c>
      <c r="K9" s="750">
        <v>0.1</v>
      </c>
      <c r="L9" s="750">
        <v>1.7000000000000001E-2</v>
      </c>
      <c r="M9" s="750">
        <v>0</v>
      </c>
      <c r="N9" s="825"/>
      <c r="O9" s="900">
        <v>0.16400000000000001</v>
      </c>
      <c r="P9" s="900">
        <v>5.5E-2</v>
      </c>
      <c r="Q9" s="900">
        <v>8.2000000000000003E-2</v>
      </c>
      <c r="R9" s="900">
        <v>4.9000000000000002E-2</v>
      </c>
      <c r="S9" s="900">
        <v>0.41099999999999998</v>
      </c>
      <c r="T9" s="900">
        <v>0.246</v>
      </c>
    </row>
    <row r="10" spans="2:20" x14ac:dyDescent="0.35">
      <c r="B10" s="623" t="s">
        <v>12</v>
      </c>
      <c r="C10" s="750">
        <v>9.7000000000000003E-2</v>
      </c>
      <c r="D10" s="750">
        <v>9.7000000000000003E-2</v>
      </c>
      <c r="E10" s="750">
        <v>0</v>
      </c>
      <c r="F10" s="750">
        <v>0</v>
      </c>
      <c r="G10" s="750">
        <v>0</v>
      </c>
      <c r="H10" s="623"/>
      <c r="I10" s="750">
        <v>0.36799999999999999</v>
      </c>
      <c r="J10" s="750">
        <v>0.216</v>
      </c>
      <c r="K10" s="750">
        <v>0</v>
      </c>
      <c r="L10" s="750">
        <v>1.0999999999999999E-2</v>
      </c>
      <c r="M10" s="750">
        <v>0.14099999999999999</v>
      </c>
      <c r="N10" s="825"/>
      <c r="O10" s="900">
        <v>8.2000000000000003E-2</v>
      </c>
      <c r="P10" s="900">
        <v>0.11</v>
      </c>
      <c r="Q10" s="900">
        <v>3.2000000000000001E-2</v>
      </c>
      <c r="R10" s="900">
        <v>2.5000000000000001E-2</v>
      </c>
      <c r="S10" s="900">
        <v>0.158</v>
      </c>
      <c r="T10" s="900">
        <v>0.123</v>
      </c>
    </row>
    <row r="11" spans="2:20" x14ac:dyDescent="0.35">
      <c r="B11" s="623" t="s">
        <v>28</v>
      </c>
      <c r="C11" s="750">
        <v>0.191</v>
      </c>
      <c r="D11" s="750">
        <v>0.1</v>
      </c>
      <c r="E11" s="750">
        <v>7.0000000000000007E-2</v>
      </c>
      <c r="F11" s="750">
        <v>0</v>
      </c>
      <c r="G11" s="750">
        <v>2.1000000000000001E-2</v>
      </c>
      <c r="H11" s="623"/>
      <c r="I11" s="750">
        <v>6.0999999999999999E-2</v>
      </c>
      <c r="J11" s="750">
        <v>0.01</v>
      </c>
      <c r="K11" s="750">
        <v>0</v>
      </c>
      <c r="L11" s="750">
        <v>8.9999999999999993E-3</v>
      </c>
      <c r="M11" s="750">
        <v>4.2000000000000003E-2</v>
      </c>
      <c r="N11" s="825"/>
      <c r="O11" s="900">
        <v>0</v>
      </c>
      <c r="P11" s="900">
        <v>4.1000000000000002E-2</v>
      </c>
      <c r="Q11" s="900">
        <v>8.2000000000000003E-2</v>
      </c>
      <c r="R11" s="900">
        <v>1.6E-2</v>
      </c>
      <c r="S11" s="900">
        <v>0.41099999999999998</v>
      </c>
      <c r="T11" s="900">
        <v>8.2000000000000003E-2</v>
      </c>
    </row>
    <row r="12" spans="2:20" x14ac:dyDescent="0.35">
      <c r="B12" s="623" t="s">
        <v>15</v>
      </c>
      <c r="C12" s="750">
        <v>0.08</v>
      </c>
      <c r="D12" s="750">
        <v>0.04</v>
      </c>
      <c r="E12" s="750">
        <v>0.04</v>
      </c>
      <c r="F12" s="750">
        <v>0</v>
      </c>
      <c r="G12" s="750">
        <v>0</v>
      </c>
      <c r="H12" s="623"/>
      <c r="I12" s="750">
        <v>0.27100000000000002</v>
      </c>
      <c r="J12" s="750">
        <v>0.13</v>
      </c>
      <c r="K12" s="750">
        <v>0</v>
      </c>
      <c r="L12" s="750">
        <v>8.0000000000000002E-3</v>
      </c>
      <c r="M12" s="750">
        <v>0.13300000000000001</v>
      </c>
      <c r="N12" s="825"/>
      <c r="O12" s="900">
        <v>8.2000000000000003E-2</v>
      </c>
      <c r="P12" s="900">
        <v>4.1000000000000002E-2</v>
      </c>
      <c r="Q12" s="900">
        <v>0.06</v>
      </c>
      <c r="R12" s="900">
        <v>4.0000000000000001E-3</v>
      </c>
      <c r="S12" s="900">
        <v>0.30099999999999999</v>
      </c>
      <c r="T12" s="900">
        <v>2.1000000000000001E-2</v>
      </c>
    </row>
    <row r="13" spans="2:20" x14ac:dyDescent="0.35">
      <c r="B13" s="623" t="s">
        <v>18</v>
      </c>
      <c r="C13" s="750">
        <v>0.127</v>
      </c>
      <c r="D13" s="750">
        <v>5.6000000000000001E-2</v>
      </c>
      <c r="E13" s="750">
        <v>0.06</v>
      </c>
      <c r="F13" s="750">
        <v>0</v>
      </c>
      <c r="G13" s="750">
        <v>1.0999999999999999E-2</v>
      </c>
      <c r="H13" s="623"/>
      <c r="I13" s="750">
        <v>0.28899999999999998</v>
      </c>
      <c r="J13" s="750">
        <v>9.4E-2</v>
      </c>
      <c r="K13" s="750">
        <v>0.1</v>
      </c>
      <c r="L13" s="750">
        <v>0</v>
      </c>
      <c r="M13" s="750">
        <v>9.5000000000000001E-2</v>
      </c>
      <c r="N13" s="825"/>
      <c r="O13" s="900">
        <v>8.2000000000000003E-2</v>
      </c>
      <c r="P13" s="900">
        <v>3.7999999999999999E-2</v>
      </c>
      <c r="Q13" s="900">
        <v>5.8000000000000003E-2</v>
      </c>
      <c r="R13" s="900">
        <v>1.6E-2</v>
      </c>
      <c r="S13" s="900">
        <v>0.29099999999999998</v>
      </c>
      <c r="T13" s="900">
        <v>8.2000000000000003E-2</v>
      </c>
    </row>
    <row r="14" spans="2:20" x14ac:dyDescent="0.35">
      <c r="B14" s="623" t="s">
        <v>17</v>
      </c>
      <c r="C14" s="750">
        <v>0.10199999999999999</v>
      </c>
      <c r="D14" s="750">
        <v>7.1999999999999995E-2</v>
      </c>
      <c r="E14" s="750">
        <v>0</v>
      </c>
      <c r="F14" s="750">
        <v>0</v>
      </c>
      <c r="G14" s="750">
        <v>0.03</v>
      </c>
      <c r="H14" s="623"/>
      <c r="I14" s="750">
        <v>0.21099999999999999</v>
      </c>
      <c r="J14" s="750">
        <v>4.1000000000000002E-2</v>
      </c>
      <c r="K14" s="750">
        <v>5.6000000000000001E-2</v>
      </c>
      <c r="L14" s="750">
        <v>4.0000000000000001E-3</v>
      </c>
      <c r="M14" s="750">
        <v>0.11</v>
      </c>
      <c r="N14" s="825"/>
      <c r="O14" s="900">
        <v>0.13700000000000001</v>
      </c>
      <c r="P14" s="900">
        <v>4.2000000000000003E-2</v>
      </c>
      <c r="Q14" s="900">
        <v>8.2000000000000003E-2</v>
      </c>
      <c r="R14" s="900">
        <v>0</v>
      </c>
      <c r="S14" s="900">
        <v>0.41099999999999998</v>
      </c>
      <c r="T14" s="900">
        <v>0</v>
      </c>
    </row>
    <row r="15" spans="2:20" x14ac:dyDescent="0.35">
      <c r="B15" s="623" t="s">
        <v>21</v>
      </c>
      <c r="C15" s="750">
        <v>4.8000000000000001E-2</v>
      </c>
      <c r="D15" s="750">
        <v>1.7999999999999999E-2</v>
      </c>
      <c r="E15" s="750">
        <v>0.02</v>
      </c>
      <c r="F15" s="750">
        <v>0.01</v>
      </c>
      <c r="G15" s="750">
        <v>0</v>
      </c>
      <c r="H15" s="623"/>
      <c r="I15" s="750">
        <v>0.127</v>
      </c>
      <c r="J15" s="750">
        <v>3.6999999999999998E-2</v>
      </c>
      <c r="K15" s="750">
        <v>0.04</v>
      </c>
      <c r="L15" s="750">
        <v>0.03</v>
      </c>
      <c r="M15" s="750">
        <v>0.02</v>
      </c>
      <c r="N15" s="825"/>
      <c r="O15" s="900">
        <v>0.16400000000000001</v>
      </c>
      <c r="P15" s="900">
        <v>4.1000000000000002E-2</v>
      </c>
      <c r="Q15" s="900">
        <v>8.2000000000000003E-2</v>
      </c>
      <c r="R15" s="900">
        <v>0</v>
      </c>
      <c r="S15" s="900">
        <v>0.41099999999999998</v>
      </c>
      <c r="T15" s="900">
        <v>0</v>
      </c>
    </row>
    <row r="16" spans="2:20" x14ac:dyDescent="0.35">
      <c r="B16" s="623" t="s">
        <v>27</v>
      </c>
      <c r="C16" s="750">
        <v>0.05</v>
      </c>
      <c r="D16" s="750">
        <v>2.5000000000000001E-2</v>
      </c>
      <c r="E16" s="750">
        <v>2.5000000000000001E-2</v>
      </c>
      <c r="F16" s="750">
        <v>0</v>
      </c>
      <c r="G16" s="750">
        <v>0</v>
      </c>
      <c r="H16" s="623"/>
      <c r="I16" s="750">
        <v>9.6000000000000002E-2</v>
      </c>
      <c r="J16" s="750">
        <v>3.5000000000000003E-2</v>
      </c>
      <c r="K16" s="750">
        <v>0.05</v>
      </c>
      <c r="L16" s="750">
        <v>2E-3</v>
      </c>
      <c r="M16" s="750">
        <v>8.9999999999999993E-3</v>
      </c>
      <c r="N16" s="825"/>
      <c r="O16" s="900">
        <v>0.16400000000000001</v>
      </c>
      <c r="P16" s="900">
        <v>5.5E-2</v>
      </c>
      <c r="Q16" s="900">
        <v>8.2000000000000003E-2</v>
      </c>
      <c r="R16" s="900">
        <v>1.6E-2</v>
      </c>
      <c r="S16" s="900">
        <v>0.41099999999999998</v>
      </c>
      <c r="T16" s="900">
        <v>8.2000000000000003E-2</v>
      </c>
    </row>
    <row r="17" spans="2:33" x14ac:dyDescent="0.35">
      <c r="B17" s="623" t="s">
        <v>24</v>
      </c>
      <c r="C17" s="750">
        <v>2.1999999999999999E-2</v>
      </c>
      <c r="D17" s="750">
        <v>1.2E-2</v>
      </c>
      <c r="E17" s="750">
        <v>1.0999999999999999E-2</v>
      </c>
      <c r="F17" s="750">
        <v>0</v>
      </c>
      <c r="G17" s="750">
        <v>0</v>
      </c>
      <c r="H17" s="623"/>
      <c r="I17" s="750">
        <v>0.23400000000000001</v>
      </c>
      <c r="J17" s="750">
        <v>8.1000000000000003E-2</v>
      </c>
      <c r="K17" s="750">
        <v>7.0000000000000007E-2</v>
      </c>
      <c r="L17" s="750">
        <v>2.1000000000000001E-2</v>
      </c>
      <c r="M17" s="750">
        <v>6.3E-2</v>
      </c>
      <c r="N17" s="825"/>
      <c r="O17" s="900">
        <v>4.2000000000000003E-2</v>
      </c>
      <c r="P17" s="900">
        <v>5.5E-2</v>
      </c>
      <c r="Q17" s="900">
        <v>0.104</v>
      </c>
      <c r="R17" s="900">
        <v>0</v>
      </c>
      <c r="S17" s="900">
        <v>0.52</v>
      </c>
      <c r="T17" s="900">
        <v>0</v>
      </c>
    </row>
    <row r="18" spans="2:33" x14ac:dyDescent="0.35">
      <c r="B18" s="623" t="s">
        <v>29</v>
      </c>
      <c r="C18" s="750">
        <v>7.0000000000000007E-2</v>
      </c>
      <c r="D18" s="750">
        <v>0.03</v>
      </c>
      <c r="E18" s="750">
        <v>0</v>
      </c>
      <c r="F18" s="750">
        <v>0</v>
      </c>
      <c r="G18" s="750">
        <v>0.04</v>
      </c>
      <c r="H18" s="623"/>
      <c r="I18" s="750">
        <v>0.125</v>
      </c>
      <c r="J18" s="750">
        <v>0.03</v>
      </c>
      <c r="K18" s="750">
        <v>0</v>
      </c>
      <c r="L18" s="750">
        <v>0</v>
      </c>
      <c r="M18" s="750">
        <v>9.5000000000000001E-2</v>
      </c>
      <c r="N18" s="825"/>
      <c r="O18" s="900">
        <v>0</v>
      </c>
      <c r="P18" s="900">
        <v>3.7999999999999999E-2</v>
      </c>
      <c r="Q18" s="900">
        <v>3.7999999999999999E-2</v>
      </c>
      <c r="R18" s="900">
        <v>1.4999999999999999E-2</v>
      </c>
      <c r="S18" s="900">
        <v>0.192</v>
      </c>
      <c r="T18" s="900">
        <v>7.6999999999999999E-2</v>
      </c>
    </row>
    <row r="19" spans="2:33" x14ac:dyDescent="0.35">
      <c r="B19" s="623" t="s">
        <v>23</v>
      </c>
      <c r="C19" s="750">
        <v>7.0999999999999994E-2</v>
      </c>
      <c r="D19" s="750">
        <v>4.8000000000000001E-2</v>
      </c>
      <c r="E19" s="750">
        <v>2.3E-2</v>
      </c>
      <c r="F19" s="750">
        <v>0</v>
      </c>
      <c r="G19" s="750">
        <v>0</v>
      </c>
      <c r="H19" s="623"/>
      <c r="I19" s="750">
        <v>0.245</v>
      </c>
      <c r="J19" s="750">
        <v>0.13500000000000001</v>
      </c>
      <c r="K19" s="750">
        <v>0.06</v>
      </c>
      <c r="L19" s="750">
        <v>1.4999999999999999E-2</v>
      </c>
      <c r="M19" s="750">
        <v>3.5000000000000003E-2</v>
      </c>
      <c r="N19" s="825"/>
      <c r="O19" s="900">
        <v>8.2000000000000003E-2</v>
      </c>
      <c r="P19" s="900">
        <v>8.2000000000000003E-2</v>
      </c>
      <c r="Q19" s="900">
        <v>7.1999999999999995E-2</v>
      </c>
      <c r="R19" s="900">
        <v>0</v>
      </c>
      <c r="S19" s="900">
        <v>0.36099999999999999</v>
      </c>
      <c r="T19" s="900">
        <v>0</v>
      </c>
    </row>
    <row r="20" spans="2:33" x14ac:dyDescent="0.35">
      <c r="B20" s="623" t="s">
        <v>19</v>
      </c>
      <c r="C20" s="750">
        <v>0.11700000000000001</v>
      </c>
      <c r="D20" s="750">
        <v>9.9000000000000005E-2</v>
      </c>
      <c r="E20" s="750">
        <v>5.0000000000000001E-3</v>
      </c>
      <c r="F20" s="750">
        <v>0</v>
      </c>
      <c r="G20" s="750">
        <v>1.4E-2</v>
      </c>
      <c r="H20" s="623"/>
      <c r="I20" s="750">
        <v>0.183</v>
      </c>
      <c r="J20" s="750">
        <v>6.0999999999999999E-2</v>
      </c>
      <c r="K20" s="750">
        <v>0.08</v>
      </c>
      <c r="L20" s="750">
        <v>4.0000000000000001E-3</v>
      </c>
      <c r="M20" s="750">
        <v>3.6999999999999998E-2</v>
      </c>
      <c r="N20" s="825"/>
      <c r="O20" s="900">
        <v>8.2000000000000003E-2</v>
      </c>
      <c r="P20" s="900">
        <v>8.2000000000000003E-2</v>
      </c>
      <c r="Q20" s="900">
        <v>6.5000000000000002E-2</v>
      </c>
      <c r="R20" s="900">
        <v>0</v>
      </c>
      <c r="S20" s="900">
        <v>0.32600000000000001</v>
      </c>
      <c r="T20" s="900">
        <v>0</v>
      </c>
    </row>
    <row r="21" spans="2:33" x14ac:dyDescent="0.35">
      <c r="B21" s="623" t="s">
        <v>16</v>
      </c>
      <c r="C21" s="750">
        <v>0.151</v>
      </c>
      <c r="D21" s="750">
        <v>0.151</v>
      </c>
      <c r="E21" s="750">
        <v>0</v>
      </c>
      <c r="F21" s="750">
        <v>0</v>
      </c>
      <c r="G21" s="750">
        <v>0</v>
      </c>
      <c r="H21" s="623"/>
      <c r="I21" s="750">
        <v>0.19600000000000001</v>
      </c>
      <c r="J21" s="750">
        <v>0</v>
      </c>
      <c r="K21" s="750">
        <v>0.09</v>
      </c>
      <c r="L21" s="750">
        <v>6.0000000000000001E-3</v>
      </c>
      <c r="M21" s="750">
        <v>0.1</v>
      </c>
      <c r="N21" s="825"/>
      <c r="O21" s="900">
        <v>0.16400000000000001</v>
      </c>
      <c r="P21" s="900">
        <v>8.2000000000000003E-2</v>
      </c>
      <c r="Q21" s="900">
        <v>0.123</v>
      </c>
      <c r="R21" s="900">
        <v>0</v>
      </c>
      <c r="S21" s="900">
        <v>0.61599999999999999</v>
      </c>
      <c r="T21" s="900">
        <v>0</v>
      </c>
    </row>
    <row r="22" spans="2:33" x14ac:dyDescent="0.35">
      <c r="B22" s="623" t="s">
        <v>20</v>
      </c>
      <c r="C22" s="750">
        <v>9.7000000000000003E-2</v>
      </c>
      <c r="D22" s="750">
        <v>9.7000000000000003E-2</v>
      </c>
      <c r="E22" s="750">
        <v>0</v>
      </c>
      <c r="F22" s="750">
        <v>0</v>
      </c>
      <c r="G22" s="750">
        <v>0</v>
      </c>
      <c r="H22" s="623"/>
      <c r="I22" s="750">
        <v>0.184</v>
      </c>
      <c r="J22" s="750">
        <v>0.152</v>
      </c>
      <c r="K22" s="750">
        <v>0</v>
      </c>
      <c r="L22" s="750">
        <v>0</v>
      </c>
      <c r="M22" s="750">
        <v>3.2000000000000001E-2</v>
      </c>
      <c r="N22" s="825"/>
      <c r="O22" s="900">
        <v>8.2000000000000003E-2</v>
      </c>
      <c r="P22" s="900">
        <v>3.3000000000000002E-2</v>
      </c>
      <c r="Q22" s="900">
        <v>4.1000000000000002E-2</v>
      </c>
      <c r="R22" s="900">
        <v>2.5000000000000001E-2</v>
      </c>
      <c r="S22" s="900">
        <v>0.20499999999999999</v>
      </c>
      <c r="T22" s="900">
        <v>0.123</v>
      </c>
    </row>
    <row r="23" spans="2:33" x14ac:dyDescent="0.35">
      <c r="B23" s="623" t="s">
        <v>26</v>
      </c>
      <c r="C23" s="750">
        <v>6.9000000000000006E-2</v>
      </c>
      <c r="D23" s="750">
        <v>3.1E-2</v>
      </c>
      <c r="E23" s="750">
        <v>3.3000000000000002E-2</v>
      </c>
      <c r="F23" s="750">
        <v>0</v>
      </c>
      <c r="G23" s="750">
        <v>5.0000000000000001E-3</v>
      </c>
      <c r="H23" s="623"/>
      <c r="I23" s="750">
        <v>0.17499999999999999</v>
      </c>
      <c r="J23" s="750">
        <v>7.6999999999999999E-2</v>
      </c>
      <c r="K23" s="750">
        <v>7.6999999999999999E-2</v>
      </c>
      <c r="L23" s="750">
        <v>1.0999999999999999E-2</v>
      </c>
      <c r="M23" s="750">
        <v>1.0999999999999999E-2</v>
      </c>
      <c r="N23" s="825"/>
      <c r="O23" s="900">
        <v>8.2000000000000003E-2</v>
      </c>
      <c r="P23" s="900">
        <v>4.9000000000000002E-2</v>
      </c>
      <c r="Q23" s="900">
        <v>6.3E-2</v>
      </c>
      <c r="R23" s="900">
        <v>1.4999999999999999E-2</v>
      </c>
      <c r="S23" s="900">
        <v>0.315</v>
      </c>
      <c r="T23" s="900">
        <v>7.6999999999999999E-2</v>
      </c>
    </row>
    <row r="24" spans="2:33" x14ac:dyDescent="0.35">
      <c r="B24" s="623" t="s">
        <v>25</v>
      </c>
      <c r="C24" s="750">
        <v>0.10299999999999999</v>
      </c>
      <c r="D24" s="750">
        <v>7.2999999999999995E-2</v>
      </c>
      <c r="E24" s="750">
        <v>0.03</v>
      </c>
      <c r="F24" s="750">
        <v>0</v>
      </c>
      <c r="G24" s="750">
        <v>0</v>
      </c>
      <c r="H24" s="623"/>
      <c r="I24" s="750">
        <v>0.17299999999999999</v>
      </c>
      <c r="J24" s="750">
        <v>8.7999999999999995E-2</v>
      </c>
      <c r="K24" s="750">
        <v>7.4999999999999997E-2</v>
      </c>
      <c r="L24" s="750">
        <v>0</v>
      </c>
      <c r="M24" s="750">
        <v>0.01</v>
      </c>
      <c r="N24" s="825"/>
      <c r="O24" s="900">
        <v>5.1999999999999998E-2</v>
      </c>
      <c r="P24" s="900">
        <v>5.1999999999999998E-2</v>
      </c>
      <c r="Q24" s="900">
        <v>8.2000000000000003E-2</v>
      </c>
      <c r="R24" s="900">
        <v>0</v>
      </c>
      <c r="S24" s="900">
        <v>0.41099999999999998</v>
      </c>
      <c r="T24" s="900">
        <v>0</v>
      </c>
      <c r="U24" s="503"/>
      <c r="V24" s="503"/>
      <c r="W24" s="504"/>
      <c r="X24" s="504"/>
    </row>
    <row r="25" spans="2:33" x14ac:dyDescent="0.35">
      <c r="B25" s="623" t="s">
        <v>31</v>
      </c>
      <c r="C25" s="750">
        <v>4.3999999999999997E-2</v>
      </c>
      <c r="D25" s="750">
        <v>4.3999999999999997E-2</v>
      </c>
      <c r="E25" s="750">
        <v>0</v>
      </c>
      <c r="F25" s="750">
        <v>0</v>
      </c>
      <c r="G25" s="750">
        <v>0</v>
      </c>
      <c r="H25" s="623"/>
      <c r="I25" s="750">
        <v>8.7999999999999995E-2</v>
      </c>
      <c r="J25" s="750">
        <v>8.7999999999999995E-2</v>
      </c>
      <c r="K25" s="750">
        <v>0</v>
      </c>
      <c r="L25" s="750">
        <v>0</v>
      </c>
      <c r="M25" s="750">
        <v>0</v>
      </c>
      <c r="N25" s="825"/>
      <c r="O25" s="900">
        <v>0</v>
      </c>
      <c r="P25" s="900">
        <v>3.7999999999999999E-2</v>
      </c>
      <c r="Q25" s="900">
        <v>4.1000000000000002E-2</v>
      </c>
      <c r="R25" s="900">
        <v>0</v>
      </c>
      <c r="S25" s="900">
        <v>0.20499999999999999</v>
      </c>
      <c r="T25" s="900">
        <v>0</v>
      </c>
      <c r="U25" s="503"/>
      <c r="V25" s="503"/>
      <c r="W25" s="504"/>
      <c r="X25" s="504"/>
    </row>
    <row r="26" spans="2:33" x14ac:dyDescent="0.35">
      <c r="B26" s="623" t="s">
        <v>14</v>
      </c>
      <c r="C26" s="750">
        <v>0.20399999999999999</v>
      </c>
      <c r="D26" s="750">
        <v>0.16200000000000001</v>
      </c>
      <c r="E26" s="750">
        <v>0.04</v>
      </c>
      <c r="F26" s="750">
        <v>0</v>
      </c>
      <c r="G26" s="750">
        <v>1E-3</v>
      </c>
      <c r="H26" s="623"/>
      <c r="I26" s="750">
        <v>0.20100000000000001</v>
      </c>
      <c r="J26" s="750">
        <v>8.1000000000000003E-2</v>
      </c>
      <c r="K26" s="750">
        <v>0.05</v>
      </c>
      <c r="L26" s="750">
        <v>6.9000000000000006E-2</v>
      </c>
      <c r="M26" s="750">
        <v>1E-3</v>
      </c>
      <c r="N26" s="825"/>
      <c r="O26" s="900">
        <v>8.2000000000000003E-2</v>
      </c>
      <c r="P26" s="900">
        <v>5.8000000000000003E-2</v>
      </c>
      <c r="Q26" s="900">
        <v>9.8000000000000004E-2</v>
      </c>
      <c r="R26" s="900">
        <v>0</v>
      </c>
      <c r="S26" s="900">
        <v>0.49</v>
      </c>
      <c r="T26" s="900">
        <v>0</v>
      </c>
      <c r="U26" s="503"/>
      <c r="V26" s="503"/>
      <c r="W26" s="504"/>
      <c r="X26" s="504"/>
    </row>
    <row r="27" spans="2:33" x14ac:dyDescent="0.35">
      <c r="B27" s="623" t="s">
        <v>22</v>
      </c>
      <c r="C27" s="750">
        <v>0.06</v>
      </c>
      <c r="D27" s="750">
        <v>0.04</v>
      </c>
      <c r="E27" s="750">
        <v>0</v>
      </c>
      <c r="F27" s="750">
        <v>0</v>
      </c>
      <c r="G27" s="750">
        <v>0.02</v>
      </c>
      <c r="H27" s="623"/>
      <c r="I27" s="750">
        <v>0.248</v>
      </c>
      <c r="J27" s="750">
        <v>0.18</v>
      </c>
      <c r="K27" s="750">
        <v>0</v>
      </c>
      <c r="L27" s="750">
        <v>8.0000000000000002E-3</v>
      </c>
      <c r="M27" s="750">
        <v>0.06</v>
      </c>
      <c r="N27" s="825"/>
      <c r="O27" s="900">
        <v>8.2000000000000003E-2</v>
      </c>
      <c r="P27" s="900">
        <v>5.1999999999999998E-2</v>
      </c>
      <c r="Q27" s="900">
        <v>8.2000000000000003E-2</v>
      </c>
      <c r="R27" s="900">
        <v>0</v>
      </c>
      <c r="S27" s="900">
        <v>0.41099999999999998</v>
      </c>
      <c r="T27" s="900">
        <v>0</v>
      </c>
    </row>
    <row r="28" spans="2:33" x14ac:dyDescent="0.35">
      <c r="B28" s="623" t="s">
        <v>125</v>
      </c>
      <c r="C28" s="750">
        <v>0.10199999999999999</v>
      </c>
      <c r="D28" s="750">
        <v>7.2999999999999995E-2</v>
      </c>
      <c r="E28" s="750">
        <v>2.1000000000000001E-2</v>
      </c>
      <c r="F28" s="750">
        <v>1E-3</v>
      </c>
      <c r="G28" s="750">
        <v>7.0000000000000001E-3</v>
      </c>
      <c r="H28" s="623"/>
      <c r="I28" s="750">
        <v>0.192</v>
      </c>
      <c r="J28" s="750">
        <v>8.1000000000000003E-2</v>
      </c>
      <c r="K28" s="750">
        <v>4.5999999999999999E-2</v>
      </c>
      <c r="L28" s="750">
        <v>1.0999999999999999E-2</v>
      </c>
      <c r="M28" s="750">
        <v>5.3999999999999999E-2</v>
      </c>
      <c r="N28" s="825"/>
      <c r="O28" s="900">
        <v>8.5999999999999993E-2</v>
      </c>
      <c r="P28" s="900">
        <v>5.2999999999999999E-2</v>
      </c>
      <c r="Q28" s="900">
        <v>7.2999999999999995E-2</v>
      </c>
      <c r="R28" s="900">
        <v>1.0999999999999999E-2</v>
      </c>
      <c r="S28" s="900">
        <v>0.36299999999999999</v>
      </c>
      <c r="T28" s="900">
        <v>5.7000000000000002E-2</v>
      </c>
    </row>
    <row r="30" spans="2:33" ht="29" x14ac:dyDescent="0.35">
      <c r="N30" s="648"/>
      <c r="O30" s="782"/>
      <c r="P30" s="779" t="s">
        <v>76</v>
      </c>
      <c r="Q30" s="779" t="s">
        <v>77</v>
      </c>
      <c r="R30" s="779" t="s">
        <v>192</v>
      </c>
      <c r="S30" s="779" t="s">
        <v>82</v>
      </c>
      <c r="T30" s="779" t="s">
        <v>83</v>
      </c>
      <c r="U30" s="783" t="s">
        <v>80</v>
      </c>
      <c r="V30" s="779" t="s">
        <v>81</v>
      </c>
      <c r="W30" s="784" t="s">
        <v>187</v>
      </c>
      <c r="X30" s="574"/>
      <c r="Y30" s="574"/>
      <c r="Z30" s="574"/>
      <c r="AA30" s="773"/>
      <c r="AD30" s="63"/>
      <c r="AE30" s="774"/>
      <c r="AF30" s="774"/>
      <c r="AG30" s="774"/>
    </row>
    <row r="31" spans="2:33" x14ac:dyDescent="0.35">
      <c r="N31" s="968" t="s">
        <v>12</v>
      </c>
      <c r="O31" s="779">
        <v>2013</v>
      </c>
      <c r="P31" s="576">
        <v>0.21643835616438356</v>
      </c>
      <c r="Q31" s="576">
        <v>0</v>
      </c>
      <c r="R31" s="576">
        <v>0.1536712328767123</v>
      </c>
      <c r="S31" s="576">
        <v>8.2191780821917804E-2</v>
      </c>
      <c r="T31" s="576">
        <v>0.1095890410958904</v>
      </c>
      <c r="U31" s="576">
        <v>3.1561643835616437E-2</v>
      </c>
      <c r="V31" s="576">
        <v>2.3013698630136987E-2</v>
      </c>
      <c r="W31" s="575">
        <v>0.61646575342465748</v>
      </c>
      <c r="X31" s="529"/>
      <c r="Y31" s="572"/>
      <c r="Z31" s="572"/>
      <c r="AB31" s="426"/>
      <c r="AD31" s="969"/>
    </row>
    <row r="32" spans="2:33" x14ac:dyDescent="0.35">
      <c r="N32" s="968"/>
      <c r="O32" s="779">
        <v>2023</v>
      </c>
      <c r="P32" s="576">
        <v>0.21643115346697342</v>
      </c>
      <c r="Q32" s="576">
        <v>0</v>
      </c>
      <c r="R32" s="576">
        <v>0.15150180742688135</v>
      </c>
      <c r="S32" s="576">
        <v>8.2155767334866917E-2</v>
      </c>
      <c r="T32" s="576">
        <v>0.10954102311315589</v>
      </c>
      <c r="U32" s="576">
        <v>3.1547814656588888E-2</v>
      </c>
      <c r="V32" s="576">
        <v>2.4646730200460074E-2</v>
      </c>
      <c r="W32" s="575">
        <v>0.61582429619892642</v>
      </c>
      <c r="X32" s="529"/>
      <c r="Y32" s="572"/>
      <c r="Z32" s="572"/>
      <c r="AA32" s="776"/>
      <c r="AB32" s="426"/>
      <c r="AD32" s="969"/>
      <c r="AE32" s="2"/>
      <c r="AF32" s="2"/>
      <c r="AG32" s="2"/>
    </row>
    <row r="33" spans="14:33" x14ac:dyDescent="0.35">
      <c r="N33" s="968" t="s">
        <v>16</v>
      </c>
      <c r="O33" s="779">
        <v>2013</v>
      </c>
      <c r="P33" s="576">
        <v>0</v>
      </c>
      <c r="Q33" s="576">
        <v>0.09</v>
      </c>
      <c r="R33" s="576">
        <v>8.9300000000000004E-2</v>
      </c>
      <c r="S33" s="576">
        <v>0.16431153466973383</v>
      </c>
      <c r="T33" s="576">
        <v>8.2155767334866917E-2</v>
      </c>
      <c r="U33" s="576">
        <v>0.12323365100230035</v>
      </c>
      <c r="V33" s="576">
        <v>0</v>
      </c>
      <c r="W33" s="575">
        <v>0.5490009530069011</v>
      </c>
      <c r="X33" s="529"/>
      <c r="Y33" s="572"/>
      <c r="Z33" s="572"/>
      <c r="AB33" s="426"/>
      <c r="AD33" s="969"/>
    </row>
    <row r="34" spans="14:33" x14ac:dyDescent="0.35">
      <c r="N34" s="968"/>
      <c r="O34" s="779">
        <v>2023</v>
      </c>
      <c r="P34" s="576">
        <v>0</v>
      </c>
      <c r="Q34" s="576">
        <v>0.09</v>
      </c>
      <c r="R34" s="576">
        <v>0.10630000000000002</v>
      </c>
      <c r="S34" s="576">
        <v>0.16431153466973383</v>
      </c>
      <c r="T34" s="576">
        <v>8.2155767334866917E-2</v>
      </c>
      <c r="U34" s="576">
        <v>0.12323365100230037</v>
      </c>
      <c r="V34" s="576">
        <v>0</v>
      </c>
      <c r="W34" s="575">
        <v>0.56600095300690112</v>
      </c>
      <c r="X34" s="529"/>
      <c r="Y34" s="572"/>
      <c r="Z34" s="572"/>
      <c r="AB34" s="426"/>
      <c r="AD34" s="969"/>
      <c r="AE34" s="2"/>
      <c r="AF34" s="2"/>
      <c r="AG34" s="2"/>
    </row>
    <row r="35" spans="14:33" x14ac:dyDescent="0.35">
      <c r="N35" s="974" t="s">
        <v>13</v>
      </c>
      <c r="O35" s="779">
        <v>2013</v>
      </c>
      <c r="P35" s="576">
        <v>0.03</v>
      </c>
      <c r="Q35" s="576">
        <v>0.1</v>
      </c>
      <c r="R35" s="576">
        <v>1.7100000000000001E-2</v>
      </c>
      <c r="S35" s="576">
        <v>0.16438356164383561</v>
      </c>
      <c r="T35" s="576">
        <v>5.4794520547945202E-2</v>
      </c>
      <c r="U35" s="576">
        <v>8.2191780821917804E-2</v>
      </c>
      <c r="V35" s="576">
        <v>4.9315068493150691E-2</v>
      </c>
      <c r="W35" s="575">
        <v>0.49778493150684933</v>
      </c>
      <c r="X35" s="529"/>
      <c r="Y35" s="572"/>
      <c r="Z35" s="572"/>
      <c r="AB35" s="426"/>
      <c r="AD35" s="969"/>
    </row>
    <row r="36" spans="14:33" x14ac:dyDescent="0.35">
      <c r="N36" s="975"/>
      <c r="O36" s="779">
        <v>2023</v>
      </c>
      <c r="P36" s="576">
        <v>3.0000000000000002E-2</v>
      </c>
      <c r="Q36" s="576">
        <v>0.1</v>
      </c>
      <c r="R36" s="576">
        <v>1.7100000000000001E-2</v>
      </c>
      <c r="S36" s="576">
        <v>0.16431153466973381</v>
      </c>
      <c r="T36" s="576">
        <v>5.4770511556577944E-2</v>
      </c>
      <c r="U36" s="576">
        <v>8.2155767334866903E-2</v>
      </c>
      <c r="V36" s="576">
        <v>4.9293460400920155E-2</v>
      </c>
      <c r="W36" s="575">
        <v>0.49763127396209883</v>
      </c>
      <c r="X36" s="529"/>
      <c r="Y36" s="572"/>
      <c r="Z36" s="572"/>
      <c r="AB36" s="426"/>
      <c r="AD36" s="969"/>
      <c r="AE36" s="2"/>
      <c r="AF36" s="2"/>
      <c r="AG36" s="2"/>
    </row>
    <row r="37" spans="14:33" x14ac:dyDescent="0.35">
      <c r="N37" s="974" t="s">
        <v>11</v>
      </c>
      <c r="O37" s="779">
        <v>2013</v>
      </c>
      <c r="P37" s="576">
        <v>0.11005890410958902</v>
      </c>
      <c r="Q37" s="576">
        <v>8.1921917808219155E-2</v>
      </c>
      <c r="R37" s="576">
        <v>6.8610958904109579E-2</v>
      </c>
      <c r="S37" s="576">
        <v>8.2191780821917804E-2</v>
      </c>
      <c r="T37" s="576">
        <v>3.8339358089604557E-2</v>
      </c>
      <c r="U37" s="576">
        <v>8.2155767334866903E-2</v>
      </c>
      <c r="V37" s="576">
        <v>3.2862306933946768E-2</v>
      </c>
      <c r="W37" s="575">
        <v>0.49614099400225375</v>
      </c>
      <c r="X37" s="529"/>
      <c r="Y37" s="572"/>
      <c r="Z37" s="572"/>
      <c r="AB37" s="426"/>
      <c r="AD37" s="969"/>
      <c r="AE37" s="7"/>
    </row>
    <row r="38" spans="14:33" x14ac:dyDescent="0.35">
      <c r="N38" s="975"/>
      <c r="O38" s="779">
        <v>2023</v>
      </c>
      <c r="P38" s="576">
        <v>0.11654817614196518</v>
      </c>
      <c r="Q38" s="576">
        <v>8.2135622740716396E-2</v>
      </c>
      <c r="R38" s="576">
        <v>7.1422280644101221E-2</v>
      </c>
      <c r="S38" s="576">
        <v>8.2155767334866917E-2</v>
      </c>
      <c r="T38" s="576">
        <v>3.8339358089604557E-2</v>
      </c>
      <c r="U38" s="576">
        <v>8.2155767334866903E-2</v>
      </c>
      <c r="V38" s="576">
        <v>3.2862306933946768E-2</v>
      </c>
      <c r="W38" s="575">
        <v>0.50561927922006789</v>
      </c>
      <c r="X38" s="529"/>
      <c r="Y38" s="572"/>
      <c r="Z38" s="572"/>
      <c r="AB38" s="426"/>
      <c r="AD38" s="969"/>
      <c r="AE38" s="2"/>
      <c r="AF38" s="2"/>
      <c r="AG38" s="2"/>
    </row>
    <row r="39" spans="14:33" x14ac:dyDescent="0.35">
      <c r="N39" s="785" t="s">
        <v>18</v>
      </c>
      <c r="O39" s="779">
        <v>2013</v>
      </c>
      <c r="P39" s="576">
        <v>6.9476712328767107E-2</v>
      </c>
      <c r="Q39" s="576">
        <v>0.1001027397260274</v>
      </c>
      <c r="R39" s="576">
        <v>0.11693013698630138</v>
      </c>
      <c r="S39" s="576">
        <v>8.2191780821917804E-2</v>
      </c>
      <c r="T39" s="576">
        <v>3.8356164383561646E-2</v>
      </c>
      <c r="U39" s="576">
        <v>5.8082191780821926E-2</v>
      </c>
      <c r="V39" s="576">
        <v>1.643835616438356E-2</v>
      </c>
      <c r="W39" s="575">
        <v>0.48157808219178083</v>
      </c>
      <c r="X39" s="529"/>
      <c r="Y39" s="572"/>
      <c r="Z39" s="572"/>
      <c r="AA39" s="776"/>
      <c r="AB39" s="426"/>
      <c r="AD39" s="775"/>
    </row>
    <row r="40" spans="14:33" x14ac:dyDescent="0.35">
      <c r="N40" s="786"/>
      <c r="O40" s="779">
        <v>2023</v>
      </c>
      <c r="P40" s="576">
        <v>9.3822905027932973E-2</v>
      </c>
      <c r="Q40" s="576">
        <v>0.1000994084784752</v>
      </c>
      <c r="R40" s="576">
        <v>9.4688629641800887E-2</v>
      </c>
      <c r="S40" s="576">
        <v>8.2155767334866917E-2</v>
      </c>
      <c r="T40" s="576">
        <v>3.8339358089604557E-2</v>
      </c>
      <c r="U40" s="576">
        <v>5.8166283273085762E-2</v>
      </c>
      <c r="V40" s="576">
        <v>1.6431153466973381E-2</v>
      </c>
      <c r="W40" s="575">
        <v>0.48370350531273965</v>
      </c>
      <c r="X40" s="529"/>
      <c r="Y40" s="572"/>
      <c r="Z40" s="572"/>
      <c r="AB40" s="426"/>
      <c r="AD40" s="775"/>
      <c r="AE40" s="2"/>
      <c r="AF40" s="2"/>
      <c r="AG40" s="2"/>
    </row>
    <row r="41" spans="14:33" x14ac:dyDescent="0.35">
      <c r="N41" s="785" t="s">
        <v>17</v>
      </c>
      <c r="O41" s="779">
        <v>2013</v>
      </c>
      <c r="P41" s="576">
        <v>3.35482E-2</v>
      </c>
      <c r="Q41" s="576">
        <v>6.179362E-2</v>
      </c>
      <c r="R41" s="576">
        <v>0.11547074</v>
      </c>
      <c r="S41" s="576">
        <v>0.12215908155296826</v>
      </c>
      <c r="T41" s="576">
        <v>4.1666666666666664E-2</v>
      </c>
      <c r="U41" s="576">
        <v>8.2191780821917804E-2</v>
      </c>
      <c r="V41" s="576">
        <v>0</v>
      </c>
      <c r="W41" s="575">
        <v>0.4568300890415527</v>
      </c>
      <c r="X41" s="529"/>
      <c r="Y41" s="572"/>
      <c r="Z41" s="572"/>
      <c r="AA41" s="777"/>
      <c r="AB41" s="426"/>
      <c r="AD41" s="969"/>
    </row>
    <row r="42" spans="14:33" x14ac:dyDescent="0.35">
      <c r="N42" s="786"/>
      <c r="O42" s="779">
        <v>2023</v>
      </c>
      <c r="P42" s="576">
        <v>4.1338350312191914E-2</v>
      </c>
      <c r="Q42" s="576">
        <v>5.5839237594479132E-2</v>
      </c>
      <c r="R42" s="576">
        <v>0.11362635557016104</v>
      </c>
      <c r="S42" s="576">
        <v>0.13438287452089337</v>
      </c>
      <c r="T42" s="576">
        <v>4.1666666666666664E-2</v>
      </c>
      <c r="U42" s="576">
        <v>8.2191780821917804E-2</v>
      </c>
      <c r="V42" s="576">
        <v>0</v>
      </c>
      <c r="W42" s="575">
        <v>0.46904526548630993</v>
      </c>
      <c r="X42" s="529"/>
      <c r="Y42" s="572"/>
      <c r="Z42" s="572"/>
      <c r="AB42" s="426"/>
      <c r="AD42" s="969"/>
      <c r="AE42" s="2"/>
      <c r="AF42" s="2"/>
      <c r="AG42" s="2"/>
    </row>
    <row r="43" spans="14:33" x14ac:dyDescent="0.35">
      <c r="N43" s="785" t="s">
        <v>15</v>
      </c>
      <c r="O43" s="779">
        <v>2013</v>
      </c>
      <c r="P43" s="576">
        <v>0.1298630136986301</v>
      </c>
      <c r="Q43" s="576">
        <v>0</v>
      </c>
      <c r="R43" s="576">
        <v>0.13687561643835616</v>
      </c>
      <c r="S43" s="576">
        <v>8.2191780821917804E-2</v>
      </c>
      <c r="T43" s="576">
        <v>4.1095890410958902E-2</v>
      </c>
      <c r="U43" s="576">
        <v>6.0273972602739735E-2</v>
      </c>
      <c r="V43" s="576">
        <v>4.10958904109589E-3</v>
      </c>
      <c r="W43" s="575">
        <v>0.45440986301369862</v>
      </c>
      <c r="X43" s="529"/>
      <c r="Y43" s="572"/>
      <c r="Z43" s="572"/>
      <c r="AB43" s="426"/>
      <c r="AD43" s="969"/>
    </row>
    <row r="44" spans="14:33" x14ac:dyDescent="0.35">
      <c r="N44" s="786"/>
      <c r="O44" s="779">
        <v>2023</v>
      </c>
      <c r="P44" s="576">
        <v>0.12985869208018402</v>
      </c>
      <c r="Q44" s="576">
        <v>0</v>
      </c>
      <c r="R44" s="576">
        <v>0.14068024975353272</v>
      </c>
      <c r="S44" s="576">
        <v>8.2155767334866917E-2</v>
      </c>
      <c r="T44" s="576">
        <v>4.1077883667433451E-2</v>
      </c>
      <c r="U44" s="576">
        <v>6.0247562712235733E-2</v>
      </c>
      <c r="V44" s="576">
        <v>4.1077883667433443E-3</v>
      </c>
      <c r="W44" s="575">
        <v>0.45812794391499617</v>
      </c>
      <c r="X44" s="529"/>
      <c r="Y44" s="572"/>
      <c r="Z44" s="572"/>
      <c r="AB44" s="426"/>
      <c r="AD44" s="969"/>
      <c r="AE44" s="2"/>
      <c r="AF44" s="2"/>
      <c r="AG44" s="2"/>
    </row>
    <row r="45" spans="14:33" x14ac:dyDescent="0.35">
      <c r="N45" s="785" t="s">
        <v>14</v>
      </c>
      <c r="O45" s="779">
        <v>2013</v>
      </c>
      <c r="P45" s="576">
        <v>8.1224999999999992E-2</v>
      </c>
      <c r="Q45" s="576">
        <v>0.05</v>
      </c>
      <c r="R45" s="576">
        <v>7.0083000000000006E-2</v>
      </c>
      <c r="S45" s="576">
        <v>8.2191780821917804E-2</v>
      </c>
      <c r="T45" s="576">
        <v>5.7534246575342472E-2</v>
      </c>
      <c r="U45" s="576">
        <v>9.8039215686274522E-2</v>
      </c>
      <c r="V45" s="576">
        <v>0</v>
      </c>
      <c r="W45" s="575">
        <v>0.43907324308353479</v>
      </c>
      <c r="X45" s="529"/>
      <c r="Y45" s="572"/>
      <c r="Z45" s="572"/>
      <c r="AB45" s="426"/>
      <c r="AD45" s="969"/>
      <c r="AE45" s="7"/>
    </row>
    <row r="46" spans="14:33" x14ac:dyDescent="0.35">
      <c r="N46" s="786"/>
      <c r="O46" s="779">
        <v>2023</v>
      </c>
      <c r="P46" s="576">
        <v>8.1161682550115022E-2</v>
      </c>
      <c r="Q46" s="576">
        <v>0.05</v>
      </c>
      <c r="R46" s="576">
        <v>7.0082155767334869E-2</v>
      </c>
      <c r="S46" s="576">
        <v>8.2155767334866917E-2</v>
      </c>
      <c r="T46" s="576">
        <v>5.7509037134406839E-2</v>
      </c>
      <c r="U46" s="576">
        <v>9.8039215686274508E-2</v>
      </c>
      <c r="V46" s="576">
        <v>0</v>
      </c>
      <c r="W46" s="575">
        <v>0.43894785847299816</v>
      </c>
      <c r="X46" s="529"/>
      <c r="Y46" s="572"/>
      <c r="Z46" s="572"/>
      <c r="AB46" s="426"/>
      <c r="AD46" s="969"/>
      <c r="AE46" s="2"/>
      <c r="AF46" s="2"/>
      <c r="AG46" s="2"/>
    </row>
    <row r="47" spans="14:33" x14ac:dyDescent="0.35">
      <c r="N47" s="785" t="s">
        <v>27</v>
      </c>
      <c r="O47" s="779">
        <v>2013</v>
      </c>
      <c r="P47" s="576">
        <v>0.02</v>
      </c>
      <c r="Q47" s="576">
        <v>0.05</v>
      </c>
      <c r="R47" s="576">
        <v>2.7000000000000003E-2</v>
      </c>
      <c r="S47" s="576">
        <v>0.16431153466973381</v>
      </c>
      <c r="T47" s="576">
        <v>5.4770511556577951E-2</v>
      </c>
      <c r="U47" s="576">
        <v>8.2155767334866917E-2</v>
      </c>
      <c r="V47" s="576">
        <v>3.2862306933946761E-2</v>
      </c>
      <c r="W47" s="575">
        <v>0.43110012049512542</v>
      </c>
      <c r="X47" s="529"/>
      <c r="Y47" s="572"/>
      <c r="Z47" s="572"/>
      <c r="AB47" s="426"/>
      <c r="AD47" s="971"/>
    </row>
    <row r="48" spans="14:33" x14ac:dyDescent="0.35">
      <c r="N48" s="786"/>
      <c r="O48" s="779">
        <v>2023</v>
      </c>
      <c r="P48" s="576">
        <v>0.02</v>
      </c>
      <c r="Q48" s="576">
        <v>0.05</v>
      </c>
      <c r="R48" s="576">
        <v>2.7000000000000003E-2</v>
      </c>
      <c r="S48" s="576">
        <v>0.16431153466973381</v>
      </c>
      <c r="T48" s="576">
        <v>5.4770511556577944E-2</v>
      </c>
      <c r="U48" s="576">
        <v>8.2155767334866917E-2</v>
      </c>
      <c r="V48" s="576">
        <v>3.2862306933946761E-2</v>
      </c>
      <c r="W48" s="575">
        <v>0.43110012049512542</v>
      </c>
      <c r="X48" s="529"/>
      <c r="Y48" s="572"/>
      <c r="Z48" s="572"/>
      <c r="AB48" s="426"/>
      <c r="AD48" s="971"/>
      <c r="AE48" s="2"/>
      <c r="AF48" s="2"/>
      <c r="AG48" s="2"/>
    </row>
    <row r="49" spans="12:33" x14ac:dyDescent="0.35">
      <c r="N49" s="785" t="s">
        <v>21</v>
      </c>
      <c r="O49" s="779">
        <v>2013</v>
      </c>
      <c r="P49" s="576">
        <v>3.6700000000000003E-2</v>
      </c>
      <c r="Q49" s="576">
        <v>0.04</v>
      </c>
      <c r="R49" s="576">
        <v>0.05</v>
      </c>
      <c r="S49" s="576">
        <v>0.16438356164383561</v>
      </c>
      <c r="T49" s="576">
        <v>4.1095890410958902E-2</v>
      </c>
      <c r="U49" s="576">
        <v>8.2191780821917818E-2</v>
      </c>
      <c r="V49" s="576">
        <v>0</v>
      </c>
      <c r="W49" s="575">
        <v>0.41437123287671235</v>
      </c>
      <c r="X49" s="529"/>
      <c r="Y49" s="572"/>
      <c r="Z49" s="572"/>
      <c r="AB49" s="426"/>
      <c r="AD49" s="775"/>
    </row>
    <row r="50" spans="12:33" x14ac:dyDescent="0.35">
      <c r="N50" s="786"/>
      <c r="O50" s="779">
        <v>2023</v>
      </c>
      <c r="P50" s="576">
        <v>3.6700000000000003E-2</v>
      </c>
      <c r="Q50" s="576">
        <v>0.04</v>
      </c>
      <c r="R50" s="576">
        <v>0.05</v>
      </c>
      <c r="S50" s="576">
        <v>0.16431153466973381</v>
      </c>
      <c r="T50" s="576">
        <v>4.1077883667433451E-2</v>
      </c>
      <c r="U50" s="576">
        <v>8.2155767334866917E-2</v>
      </c>
      <c r="V50" s="576">
        <v>0</v>
      </c>
      <c r="W50" s="575">
        <v>0.41424518567203422</v>
      </c>
      <c r="X50" s="529"/>
      <c r="Y50" s="572"/>
      <c r="Z50" s="572"/>
      <c r="AA50" s="776"/>
      <c r="AB50" s="426"/>
      <c r="AD50" s="775"/>
      <c r="AE50" s="2"/>
      <c r="AF50" s="2"/>
      <c r="AG50" s="2"/>
    </row>
    <row r="51" spans="12:33" x14ac:dyDescent="0.35">
      <c r="L51" s="173"/>
      <c r="N51" s="455" t="s">
        <v>125</v>
      </c>
      <c r="O51" s="448">
        <v>2013</v>
      </c>
      <c r="P51" s="753">
        <v>6.8136893076107513E-2</v>
      </c>
      <c r="Q51" s="753">
        <v>4.9234220710572325E-2</v>
      </c>
      <c r="R51" s="753">
        <v>6.5214814749338629E-2</v>
      </c>
      <c r="S51" s="753">
        <v>8.5037451829984054E-2</v>
      </c>
      <c r="T51" s="753">
        <v>5.1802149210434863E-2</v>
      </c>
      <c r="U51" s="753">
        <v>7.2422310155153102E-2</v>
      </c>
      <c r="V51" s="753">
        <v>1.2798034530598378E-2</v>
      </c>
      <c r="W51" s="575">
        <v>0.40464587426218884</v>
      </c>
      <c r="X51" s="529"/>
      <c r="Y51" s="572"/>
      <c r="Z51" s="572"/>
      <c r="AB51" s="426"/>
      <c r="AD51" s="775"/>
      <c r="AE51" s="7"/>
    </row>
    <row r="52" spans="12:33" x14ac:dyDescent="0.35">
      <c r="L52" s="173"/>
      <c r="N52" s="760"/>
      <c r="O52" s="448">
        <v>2023</v>
      </c>
      <c r="P52" s="753">
        <v>7.2990045915945545E-2</v>
      </c>
      <c r="Q52" s="753">
        <v>4.8443925645987748E-2</v>
      </c>
      <c r="R52" s="753">
        <v>6.521535883813491E-2</v>
      </c>
      <c r="S52" s="753">
        <v>8.5698544695787776E-2</v>
      </c>
      <c r="T52" s="753">
        <v>5.2673257384890648E-2</v>
      </c>
      <c r="U52" s="753">
        <v>7.2171278143664808E-2</v>
      </c>
      <c r="V52" s="753">
        <v>1.2886284246783754E-2</v>
      </c>
      <c r="W52" s="575">
        <v>0.41007869487119519</v>
      </c>
      <c r="X52" s="529"/>
      <c r="Y52" s="572"/>
      <c r="Z52" s="572"/>
      <c r="AA52" s="776"/>
      <c r="AB52" s="426"/>
      <c r="AD52" s="775"/>
      <c r="AE52" s="2"/>
      <c r="AF52" s="2"/>
      <c r="AG52" s="2"/>
    </row>
    <row r="53" spans="12:33" x14ac:dyDescent="0.35">
      <c r="N53" s="785" t="s">
        <v>19</v>
      </c>
      <c r="O53" s="779">
        <v>2013</v>
      </c>
      <c r="P53" s="576">
        <v>5.1458333333333342E-2</v>
      </c>
      <c r="Q53" s="576">
        <v>0.08</v>
      </c>
      <c r="R53" s="576">
        <v>4.1242191915872493E-2</v>
      </c>
      <c r="S53" s="576">
        <v>8.2155767334866917E-2</v>
      </c>
      <c r="T53" s="576">
        <v>8.2155767334866917E-2</v>
      </c>
      <c r="U53" s="576">
        <v>6.5176908752327747E-2</v>
      </c>
      <c r="V53" s="576">
        <v>0</v>
      </c>
      <c r="W53" s="575">
        <v>0.40218896867126741</v>
      </c>
      <c r="X53" s="529"/>
      <c r="Y53" s="572"/>
      <c r="Z53" s="572"/>
      <c r="AB53" s="426"/>
      <c r="AD53" s="775"/>
      <c r="AE53" s="428"/>
    </row>
    <row r="54" spans="12:33" x14ac:dyDescent="0.35">
      <c r="N54" s="786"/>
      <c r="O54" s="779">
        <v>2023</v>
      </c>
      <c r="P54" s="576">
        <v>5.1458333333333342E-2</v>
      </c>
      <c r="Q54" s="576">
        <v>0.08</v>
      </c>
      <c r="R54" s="576">
        <v>4.1242191915872493E-2</v>
      </c>
      <c r="S54" s="576">
        <v>8.2155767334866917E-2</v>
      </c>
      <c r="T54" s="576">
        <v>8.2155767334866917E-2</v>
      </c>
      <c r="U54" s="576">
        <v>6.5176908752327747E-2</v>
      </c>
      <c r="V54" s="576">
        <v>0</v>
      </c>
      <c r="W54" s="575">
        <v>0.40218896867126741</v>
      </c>
      <c r="X54" s="529"/>
      <c r="Y54" s="572"/>
      <c r="Z54" s="572"/>
      <c r="AA54" s="776"/>
      <c r="AB54" s="426"/>
      <c r="AD54" s="775"/>
      <c r="AE54" s="2"/>
      <c r="AF54" s="2"/>
      <c r="AG54" s="2"/>
    </row>
    <row r="55" spans="12:33" x14ac:dyDescent="0.35">
      <c r="N55" s="785" t="s">
        <v>26</v>
      </c>
      <c r="O55" s="779">
        <v>2013</v>
      </c>
      <c r="P55" s="576">
        <v>7.6833059480775553E-2</v>
      </c>
      <c r="Q55" s="576">
        <v>7.6833059480775553E-2</v>
      </c>
      <c r="R55" s="576">
        <v>2.1643115346697342E-2</v>
      </c>
      <c r="S55" s="576">
        <v>8.2155767334866917E-2</v>
      </c>
      <c r="T55" s="576">
        <v>4.9293460400920142E-2</v>
      </c>
      <c r="U55" s="576">
        <v>6.2986088290064635E-2</v>
      </c>
      <c r="V55" s="576">
        <v>1.5335743235841826E-2</v>
      </c>
      <c r="W55" s="575">
        <v>0.38508029356994194</v>
      </c>
      <c r="X55" s="529"/>
      <c r="Y55" s="572"/>
      <c r="Z55" s="572"/>
      <c r="AB55" s="778"/>
      <c r="AD55" s="775"/>
    </row>
    <row r="56" spans="12:33" x14ac:dyDescent="0.35">
      <c r="N56" s="786"/>
      <c r="O56" s="779">
        <v>2023</v>
      </c>
      <c r="P56" s="576">
        <v>7.683305948077554E-2</v>
      </c>
      <c r="Q56" s="576">
        <v>7.683305948077554E-2</v>
      </c>
      <c r="R56" s="576">
        <v>2.1643115346697342E-2</v>
      </c>
      <c r="S56" s="576">
        <v>8.2155767334866917E-2</v>
      </c>
      <c r="T56" s="576">
        <v>4.9293460400920149E-2</v>
      </c>
      <c r="U56" s="576">
        <v>6.2986088290064621E-2</v>
      </c>
      <c r="V56" s="576">
        <v>1.5335743235841822E-2</v>
      </c>
      <c r="W56" s="575">
        <v>0.38508029356994189</v>
      </c>
      <c r="X56" s="529"/>
      <c r="Y56" s="572"/>
      <c r="Z56" s="572"/>
      <c r="AB56" s="778"/>
      <c r="AD56" s="775"/>
      <c r="AE56" s="2"/>
      <c r="AF56" s="2"/>
      <c r="AG56" s="2"/>
    </row>
    <row r="57" spans="12:33" x14ac:dyDescent="0.35">
      <c r="N57" s="785" t="s">
        <v>24</v>
      </c>
      <c r="O57" s="779">
        <v>2013</v>
      </c>
      <c r="P57" s="780">
        <v>5.3645833333333337E-2</v>
      </c>
      <c r="Q57" s="780">
        <v>8.0564635775279864E-2</v>
      </c>
      <c r="R57" s="780">
        <v>8.3125000000000018E-2</v>
      </c>
      <c r="S57" s="780">
        <v>4.1666666666666664E-2</v>
      </c>
      <c r="T57" s="780">
        <v>3.888888888888889E-2</v>
      </c>
      <c r="U57" s="780">
        <v>0.10406397195749809</v>
      </c>
      <c r="V57" s="780">
        <v>0</v>
      </c>
      <c r="W57" s="575">
        <v>0.40195499662166689</v>
      </c>
      <c r="X57" s="529"/>
      <c r="Y57" s="572"/>
      <c r="Z57" s="572"/>
      <c r="AB57" s="970"/>
      <c r="AD57" s="969"/>
    </row>
    <row r="58" spans="12:33" x14ac:dyDescent="0.35">
      <c r="N58" s="786"/>
      <c r="O58" s="779">
        <v>2023</v>
      </c>
      <c r="P58" s="576">
        <v>6.2666666666666676E-2</v>
      </c>
      <c r="Q58" s="576">
        <v>7.2083333333333333E-2</v>
      </c>
      <c r="R58" s="576">
        <v>8.3125000000000004E-2</v>
      </c>
      <c r="S58" s="576">
        <v>4.1666666666666664E-2</v>
      </c>
      <c r="T58" s="576">
        <v>5.4770511556577937E-2</v>
      </c>
      <c r="U58" s="576">
        <v>0.10406397195749809</v>
      </c>
      <c r="V58" s="576">
        <v>0</v>
      </c>
      <c r="W58" s="575">
        <v>0.4183761501807427</v>
      </c>
      <c r="X58" s="529"/>
      <c r="Y58" s="572"/>
      <c r="Z58" s="572"/>
      <c r="AB58" s="970"/>
      <c r="AD58" s="969"/>
      <c r="AE58" s="2"/>
      <c r="AF58" s="2"/>
      <c r="AG58" s="2"/>
    </row>
    <row r="59" spans="12:33" x14ac:dyDescent="0.35">
      <c r="N59" s="785" t="s">
        <v>22</v>
      </c>
      <c r="O59" s="779">
        <v>2013</v>
      </c>
      <c r="P59" s="576">
        <v>9.0000000000000011E-2</v>
      </c>
      <c r="Q59" s="576">
        <v>0</v>
      </c>
      <c r="R59" s="576">
        <v>6.7525000000000002E-2</v>
      </c>
      <c r="S59" s="576">
        <v>8.2191780821917804E-2</v>
      </c>
      <c r="T59" s="576">
        <v>5.2054794520547946E-2</v>
      </c>
      <c r="U59" s="576">
        <v>8.2191780821917804E-2</v>
      </c>
      <c r="V59" s="576">
        <v>0</v>
      </c>
      <c r="W59" s="575">
        <v>0.37396335616438359</v>
      </c>
      <c r="X59" s="529"/>
      <c r="Y59" s="572"/>
      <c r="Z59" s="572"/>
      <c r="AB59" s="970"/>
      <c r="AD59" s="775"/>
    </row>
    <row r="60" spans="12:33" x14ac:dyDescent="0.35">
      <c r="N60" s="786"/>
      <c r="O60" s="779">
        <v>2023</v>
      </c>
      <c r="P60" s="576">
        <v>0.09</v>
      </c>
      <c r="Q60" s="576">
        <v>0</v>
      </c>
      <c r="R60" s="576">
        <v>6.7500000000000004E-2</v>
      </c>
      <c r="S60" s="576">
        <v>8.2155767334866903E-2</v>
      </c>
      <c r="T60" s="576">
        <v>5.2031985978749043E-2</v>
      </c>
      <c r="U60" s="576">
        <v>8.2155767334866903E-2</v>
      </c>
      <c r="V60" s="576">
        <v>0</v>
      </c>
      <c r="W60" s="575">
        <v>0.37384352064848286</v>
      </c>
      <c r="X60" s="529"/>
      <c r="Y60" s="572"/>
      <c r="Z60" s="572"/>
      <c r="AB60" s="970"/>
      <c r="AD60" s="775"/>
      <c r="AE60" s="2"/>
      <c r="AF60" s="2"/>
      <c r="AG60" s="2"/>
    </row>
    <row r="61" spans="12:33" x14ac:dyDescent="0.35">
      <c r="N61" s="785" t="s">
        <v>20</v>
      </c>
      <c r="O61" s="779">
        <v>2013</v>
      </c>
      <c r="P61" s="576">
        <v>0.15150180742688138</v>
      </c>
      <c r="Q61" s="576">
        <v>0</v>
      </c>
      <c r="R61" s="576">
        <v>3.2464673020046006E-2</v>
      </c>
      <c r="S61" s="576">
        <v>8.2155767334866917E-2</v>
      </c>
      <c r="T61" s="576">
        <v>3.2862306933946768E-2</v>
      </c>
      <c r="U61" s="576">
        <v>4.1077883667433458E-2</v>
      </c>
      <c r="V61" s="576">
        <v>2.4646730200460074E-2</v>
      </c>
      <c r="W61" s="575">
        <v>0.36470916858363461</v>
      </c>
      <c r="X61" s="529"/>
      <c r="Y61" s="572"/>
      <c r="Z61" s="572"/>
      <c r="AB61" s="970"/>
      <c r="AD61" s="775"/>
      <c r="AE61" s="7"/>
    </row>
    <row r="62" spans="12:33" x14ac:dyDescent="0.35">
      <c r="N62" s="786"/>
      <c r="O62" s="779">
        <v>2023</v>
      </c>
      <c r="P62" s="576">
        <v>0.15150180742688138</v>
      </c>
      <c r="Q62" s="576">
        <v>0</v>
      </c>
      <c r="R62" s="576">
        <v>3.2464673020046006E-2</v>
      </c>
      <c r="S62" s="576">
        <v>8.2155767334866917E-2</v>
      </c>
      <c r="T62" s="576">
        <v>3.2862306933946768E-2</v>
      </c>
      <c r="U62" s="576">
        <v>4.1077883667433458E-2</v>
      </c>
      <c r="V62" s="576">
        <v>2.4646730200460074E-2</v>
      </c>
      <c r="W62" s="575">
        <v>0.36470916858363461</v>
      </c>
      <c r="X62" s="529"/>
      <c r="Y62" s="572"/>
      <c r="Z62" s="572"/>
      <c r="AA62" s="776"/>
      <c r="AB62" s="970"/>
      <c r="AD62" s="775"/>
      <c r="AE62" s="2"/>
      <c r="AF62" s="2"/>
      <c r="AG62" s="2"/>
    </row>
    <row r="63" spans="12:33" x14ac:dyDescent="0.35">
      <c r="N63" s="785" t="s">
        <v>25</v>
      </c>
      <c r="O63" s="779">
        <v>2013</v>
      </c>
      <c r="P63" s="576">
        <v>6.7500000000000004E-2</v>
      </c>
      <c r="Q63" s="576">
        <v>7.4999999999999997E-2</v>
      </c>
      <c r="R63" s="576">
        <v>0.01</v>
      </c>
      <c r="S63" s="576">
        <v>5.2031985978749057E-2</v>
      </c>
      <c r="T63" s="576">
        <v>5.2031985978749057E-2</v>
      </c>
      <c r="U63" s="576">
        <v>8.2191780821917804E-2</v>
      </c>
      <c r="V63" s="576">
        <v>0</v>
      </c>
      <c r="W63" s="575">
        <v>0.33875575277941594</v>
      </c>
      <c r="X63" s="529"/>
      <c r="Y63" s="572"/>
      <c r="Z63" s="572"/>
      <c r="AB63" s="426"/>
      <c r="AD63" s="775"/>
      <c r="AE63" s="428"/>
    </row>
    <row r="64" spans="12:33" x14ac:dyDescent="0.35">
      <c r="N64" s="786"/>
      <c r="O64" s="779">
        <v>2023</v>
      </c>
      <c r="P64" s="576">
        <v>8.7499999999999994E-2</v>
      </c>
      <c r="Q64" s="576">
        <v>7.4999999999999997E-2</v>
      </c>
      <c r="R64" s="576">
        <v>0.01</v>
      </c>
      <c r="S64" s="576">
        <v>5.2031985978749036E-2</v>
      </c>
      <c r="T64" s="576">
        <v>5.2031985978749036E-2</v>
      </c>
      <c r="U64" s="576">
        <v>8.2155767334866903E-2</v>
      </c>
      <c r="V64" s="576">
        <v>0</v>
      </c>
      <c r="W64" s="575">
        <v>0.35871973929236495</v>
      </c>
      <c r="X64" s="529"/>
      <c r="Y64" s="572"/>
      <c r="Z64" s="572"/>
      <c r="AA64" s="776"/>
      <c r="AB64" s="426"/>
      <c r="AD64" s="775"/>
      <c r="AE64" s="2"/>
      <c r="AF64" s="2"/>
      <c r="AG64" s="2"/>
    </row>
    <row r="65" spans="14:33" x14ac:dyDescent="0.35">
      <c r="N65" s="785" t="s">
        <v>29</v>
      </c>
      <c r="O65" s="779">
        <v>2013</v>
      </c>
      <c r="P65" s="576">
        <v>2.5000000000000001E-2</v>
      </c>
      <c r="Q65" s="576">
        <v>0</v>
      </c>
      <c r="R65" s="576">
        <v>9.4249999999999987E-2</v>
      </c>
      <c r="S65" s="576">
        <v>0</v>
      </c>
      <c r="T65" s="576">
        <v>3.8356164383561646E-2</v>
      </c>
      <c r="U65" s="576">
        <v>3.8356164383561646E-2</v>
      </c>
      <c r="V65" s="781">
        <v>1.5342465753424659E-2</v>
      </c>
      <c r="W65" s="575">
        <v>0.21130479452054796</v>
      </c>
      <c r="X65" s="529"/>
      <c r="Y65" s="572"/>
      <c r="Z65" s="572"/>
      <c r="AB65" s="778"/>
      <c r="AD65" s="775"/>
    </row>
    <row r="66" spans="14:33" x14ac:dyDescent="0.35">
      <c r="N66" s="786"/>
      <c r="O66" s="779">
        <v>2023</v>
      </c>
      <c r="P66" s="576">
        <v>0.03</v>
      </c>
      <c r="Q66" s="576">
        <v>0</v>
      </c>
      <c r="R66" s="576">
        <v>9.4999999999999987E-2</v>
      </c>
      <c r="S66" s="576">
        <v>0</v>
      </c>
      <c r="T66" s="576">
        <v>3.8339358089604557E-2</v>
      </c>
      <c r="U66" s="576">
        <v>3.8339358089604557E-2</v>
      </c>
      <c r="V66" s="781">
        <v>1.5335743235841821E-2</v>
      </c>
      <c r="W66" s="575">
        <v>0.21701445941505093</v>
      </c>
      <c r="X66" s="529"/>
      <c r="Y66" s="572"/>
      <c r="Z66" s="572"/>
      <c r="AA66" s="776"/>
      <c r="AB66" s="778"/>
      <c r="AD66" s="775"/>
      <c r="AE66" s="2"/>
      <c r="AF66" s="2"/>
      <c r="AG66" s="2"/>
    </row>
    <row r="67" spans="14:33" x14ac:dyDescent="0.35">
      <c r="N67" s="785" t="s">
        <v>28</v>
      </c>
      <c r="O67" s="779">
        <v>2013</v>
      </c>
      <c r="P67" s="576">
        <v>0</v>
      </c>
      <c r="Q67" s="576">
        <v>0</v>
      </c>
      <c r="R67" s="576">
        <v>4.6100000000000002E-2</v>
      </c>
      <c r="S67" s="576">
        <v>0</v>
      </c>
      <c r="T67" s="576">
        <v>4.1095890410958902E-2</v>
      </c>
      <c r="U67" s="576">
        <v>8.2191780821917804E-2</v>
      </c>
      <c r="V67" s="576">
        <v>1.643835616438356E-2</v>
      </c>
      <c r="W67" s="575">
        <v>0.18582602739726026</v>
      </c>
      <c r="X67" s="529"/>
      <c r="Y67" s="572"/>
      <c r="Z67" s="572"/>
      <c r="AB67" s="778"/>
      <c r="AD67" s="775"/>
    </row>
    <row r="68" spans="14:33" x14ac:dyDescent="0.35">
      <c r="N68" s="786"/>
      <c r="O68" s="779">
        <v>2023</v>
      </c>
      <c r="P68" s="576">
        <v>0</v>
      </c>
      <c r="Q68" s="576">
        <v>0</v>
      </c>
      <c r="R68" s="576">
        <v>4.8000000000000001E-2</v>
      </c>
      <c r="S68" s="576">
        <v>0</v>
      </c>
      <c r="T68" s="576">
        <v>4.1077883667433451E-2</v>
      </c>
      <c r="U68" s="576">
        <v>8.215576733486693E-2</v>
      </c>
      <c r="V68" s="576">
        <v>1.6431153466973381E-2</v>
      </c>
      <c r="W68" s="575">
        <v>0.18766480446927375</v>
      </c>
      <c r="X68" s="529"/>
      <c r="Y68" s="572"/>
      <c r="Z68" s="572"/>
      <c r="AB68" s="778"/>
      <c r="AD68" s="775"/>
      <c r="AE68" s="2"/>
      <c r="AF68" s="2"/>
      <c r="AG68" s="2"/>
    </row>
    <row r="69" spans="14:33" x14ac:dyDescent="0.35">
      <c r="N69" s="785" t="s">
        <v>31</v>
      </c>
      <c r="O69" s="779">
        <v>2013</v>
      </c>
      <c r="P69" s="576">
        <v>7.3214855494241657E-2</v>
      </c>
      <c r="Q69" s="576">
        <v>0</v>
      </c>
      <c r="R69" s="576">
        <v>0</v>
      </c>
      <c r="S69" s="576">
        <v>0</v>
      </c>
      <c r="T69" s="576">
        <v>3.8356164383561646E-2</v>
      </c>
      <c r="U69" s="576">
        <v>4.5479452054794527E-2</v>
      </c>
      <c r="V69" s="576">
        <v>0</v>
      </c>
      <c r="W69" s="575">
        <v>0.15705047193259783</v>
      </c>
      <c r="X69" s="529"/>
      <c r="Y69" s="572"/>
      <c r="Z69" s="572"/>
      <c r="AE69" s="63"/>
      <c r="AG69" s="63"/>
    </row>
    <row r="70" spans="14:33" ht="18.5" x14ac:dyDescent="0.45">
      <c r="N70" s="786"/>
      <c r="O70" s="779">
        <v>2023</v>
      </c>
      <c r="P70" s="576">
        <v>8.7999999999999995E-2</v>
      </c>
      <c r="Q70" s="576">
        <v>0</v>
      </c>
      <c r="R70" s="576">
        <v>0</v>
      </c>
      <c r="S70" s="576">
        <v>0</v>
      </c>
      <c r="T70" s="576">
        <v>3.833935808960455E-2</v>
      </c>
      <c r="U70" s="576">
        <v>4.1077883667433451E-2</v>
      </c>
      <c r="V70" s="576">
        <v>0</v>
      </c>
      <c r="W70" s="575">
        <v>0.16741724175703801</v>
      </c>
      <c r="X70" s="529"/>
      <c r="Y70" s="572"/>
      <c r="Z70" s="572"/>
      <c r="AE70" s="526"/>
      <c r="AF70" s="526"/>
      <c r="AG70" s="526"/>
    </row>
  </sheetData>
  <mergeCells count="20">
    <mergeCell ref="N35:N36"/>
    <mergeCell ref="N37:N38"/>
    <mergeCell ref="AD35:AD36"/>
    <mergeCell ref="AD37:AD38"/>
    <mergeCell ref="AD41:AD42"/>
    <mergeCell ref="AB61:AB62"/>
    <mergeCell ref="AD43:AD44"/>
    <mergeCell ref="AD45:AD46"/>
    <mergeCell ref="AD47:AD48"/>
    <mergeCell ref="AD57:AD58"/>
    <mergeCell ref="AB57:AB58"/>
    <mergeCell ref="AB59:AB60"/>
    <mergeCell ref="B1:L1"/>
    <mergeCell ref="N31:N32"/>
    <mergeCell ref="N33:N34"/>
    <mergeCell ref="AD31:AD32"/>
    <mergeCell ref="AD33:AD34"/>
    <mergeCell ref="C5:N5"/>
    <mergeCell ref="O5:P5"/>
    <mergeCell ref="Q5:T5"/>
  </mergeCells>
  <conditionalFormatting sqref="AG32:AG68">
    <cfRule type="colorScale" priority="111">
      <colorScale>
        <cfvo type="min"/>
        <cfvo type="percentile" val="50"/>
        <cfvo type="max"/>
        <color rgb="FFF8696B"/>
        <color rgb="FFFCFCFF"/>
        <color rgb="FF5A8AC6"/>
      </colorScale>
    </cfRule>
  </conditionalFormatting>
  <pageMargins left="0.7" right="0.7" top="0.75" bottom="0.75" header="0.3" footer="0.3"/>
  <drawing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8DEC77-FA61-4668-9251-25AA14365411}">
  <dimension ref="B1:Z53"/>
  <sheetViews>
    <sheetView zoomScale="36" zoomScaleNormal="70" workbookViewId="0">
      <selection activeCell="P41" sqref="P41"/>
    </sheetView>
  </sheetViews>
  <sheetFormatPr defaultColWidth="9.1796875" defaultRowHeight="14.5" x14ac:dyDescent="0.35"/>
  <cols>
    <col min="1" max="1" width="14.54296875" style="482" customWidth="1"/>
    <col min="2" max="2" width="13.54296875" style="482" customWidth="1"/>
    <col min="3" max="3" width="17.81640625" style="482" customWidth="1"/>
    <col min="4" max="4" width="9.90625" style="482" customWidth="1"/>
    <col min="5" max="5" width="9.1796875" style="482"/>
    <col min="6" max="6" width="23.54296875" style="482" customWidth="1"/>
    <col min="7" max="7" width="12.36328125" style="482" customWidth="1"/>
    <col min="8" max="8" width="9.6328125" style="482" customWidth="1"/>
    <col min="9" max="9" width="18.81640625" style="482" customWidth="1"/>
    <col min="10" max="10" width="10.90625" style="482" customWidth="1"/>
    <col min="11" max="11" width="9.26953125" style="482" customWidth="1"/>
    <col min="12" max="12" width="24.54296875" style="482" customWidth="1"/>
    <col min="13" max="13" width="9.54296875" style="482" customWidth="1"/>
    <col min="14" max="14" width="11.90625" style="534" customWidth="1"/>
    <col min="15" max="15" width="21.90625" style="534" customWidth="1"/>
    <col min="16" max="16" width="13.6328125" style="534" customWidth="1"/>
    <col min="17" max="17" width="12.90625" style="534" customWidth="1"/>
    <col min="18" max="18" width="17.54296875" style="534" customWidth="1"/>
    <col min="19" max="19" width="11.81640625" style="534" customWidth="1"/>
    <col min="20" max="20" width="16.6328125" style="534" customWidth="1"/>
    <col min="21" max="21" width="17.81640625" style="534" customWidth="1"/>
    <col min="22" max="22" width="16.1796875" style="534" customWidth="1"/>
    <col min="23" max="25" width="9.1796875" style="534"/>
    <col min="26" max="16384" width="9.1796875" style="482"/>
  </cols>
  <sheetData>
    <row r="1" spans="2:26" ht="17.5" x14ac:dyDescent="0.35">
      <c r="B1" s="57" t="s">
        <v>195</v>
      </c>
      <c r="C1" s="538"/>
      <c r="D1" s="538"/>
      <c r="E1" s="538"/>
      <c r="F1" s="538"/>
      <c r="G1" s="538"/>
      <c r="H1" s="538"/>
      <c r="I1" s="538"/>
      <c r="J1" s="538"/>
      <c r="K1" s="538"/>
      <c r="L1" s="538"/>
    </row>
    <row r="2" spans="2:26" x14ac:dyDescent="0.35">
      <c r="B2" t="s">
        <v>165</v>
      </c>
      <c r="K2" s="532"/>
    </row>
    <row r="6" spans="2:26" s="534" customFormat="1" ht="52" x14ac:dyDescent="0.35">
      <c r="B6" s="482"/>
      <c r="C6" s="482"/>
      <c r="D6" s="482"/>
      <c r="E6" s="482"/>
      <c r="F6" s="482"/>
      <c r="G6" s="482"/>
      <c r="H6" s="482"/>
      <c r="I6" s="482"/>
      <c r="J6" s="482"/>
      <c r="K6" s="482"/>
      <c r="L6" s="482"/>
      <c r="M6" s="482"/>
      <c r="N6" s="648"/>
      <c r="O6" s="63"/>
      <c r="P6" s="184" t="s">
        <v>60</v>
      </c>
      <c r="Q6" s="184" t="s">
        <v>75</v>
      </c>
      <c r="R6" s="184" t="s">
        <v>76</v>
      </c>
      <c r="S6" s="184" t="s">
        <v>77</v>
      </c>
      <c r="T6" s="184" t="s">
        <v>79</v>
      </c>
      <c r="U6" s="184" t="s">
        <v>82</v>
      </c>
      <c r="V6" s="184" t="s">
        <v>83</v>
      </c>
      <c r="W6" s="184" t="s">
        <v>80</v>
      </c>
      <c r="X6" s="184" t="s">
        <v>81</v>
      </c>
      <c r="Y6" s="184" t="s">
        <v>187</v>
      </c>
      <c r="Z6" s="63"/>
    </row>
    <row r="7" spans="2:26" s="534" customFormat="1" x14ac:dyDescent="0.35">
      <c r="B7" s="482"/>
      <c r="C7" s="482"/>
      <c r="D7" s="482"/>
      <c r="E7" s="482"/>
      <c r="F7" s="482"/>
      <c r="G7" s="482"/>
      <c r="H7" s="482"/>
      <c r="I7" s="482"/>
      <c r="J7" s="482"/>
      <c r="K7" s="482"/>
      <c r="L7" s="482"/>
      <c r="M7" s="482"/>
      <c r="N7" s="849" t="s">
        <v>27</v>
      </c>
      <c r="O7" s="779">
        <v>2013</v>
      </c>
      <c r="P7" s="850">
        <v>0.60360037170655934</v>
      </c>
      <c r="Q7" s="850">
        <v>1.6297210036077106E-2</v>
      </c>
      <c r="R7" s="850">
        <v>0</v>
      </c>
      <c r="S7" s="850">
        <v>0</v>
      </c>
      <c r="T7" s="850">
        <v>1.6E-2</v>
      </c>
      <c r="U7" s="850">
        <v>9.9276376925420948E-2</v>
      </c>
      <c r="V7" s="850">
        <v>3.309212564180699E-2</v>
      </c>
      <c r="W7" s="827">
        <v>4.9638188462710481E-2</v>
      </c>
      <c r="X7" s="827">
        <v>9.9276376925420944E-3</v>
      </c>
      <c r="Y7" s="827">
        <v>0.81153470042903986</v>
      </c>
      <c r="Z7" s="63"/>
    </row>
    <row r="8" spans="2:26" s="534" customFormat="1" x14ac:dyDescent="0.35">
      <c r="B8" s="482"/>
      <c r="C8" s="482"/>
      <c r="D8" s="482"/>
      <c r="E8" s="482"/>
      <c r="F8" s="482"/>
      <c r="G8" s="482"/>
      <c r="H8" s="482"/>
      <c r="I8" s="482"/>
      <c r="J8" s="482"/>
      <c r="K8" s="482"/>
      <c r="L8" s="482"/>
      <c r="M8" s="482"/>
      <c r="N8" s="851"/>
      <c r="O8" s="779">
        <v>2023</v>
      </c>
      <c r="P8" s="850">
        <v>0.7514074923714763</v>
      </c>
      <c r="Q8" s="850">
        <v>2.0288002294029859E-2</v>
      </c>
      <c r="R8" s="850">
        <v>0</v>
      </c>
      <c r="S8" s="850">
        <v>0</v>
      </c>
      <c r="T8" s="850">
        <v>1.8785187309286907E-2</v>
      </c>
      <c r="U8" s="850">
        <v>0.12346491823389356</v>
      </c>
      <c r="V8" s="850">
        <v>4.1154972744631195E-2</v>
      </c>
      <c r="W8" s="850">
        <v>6.1732459116946796E-2</v>
      </c>
      <c r="X8" s="850">
        <v>2.4692983646778712E-2</v>
      </c>
      <c r="Y8" s="827">
        <v>1.0212380134230135</v>
      </c>
      <c r="Z8" s="502"/>
    </row>
    <row r="9" spans="2:26" s="534" customFormat="1" x14ac:dyDescent="0.35">
      <c r="B9" s="482"/>
      <c r="C9" s="482"/>
      <c r="D9" s="482"/>
      <c r="E9" s="482"/>
      <c r="F9" s="482"/>
      <c r="G9" s="482"/>
      <c r="H9" s="482"/>
      <c r="I9" s="482"/>
      <c r="J9" s="482"/>
      <c r="K9" s="482"/>
      <c r="L9" s="482"/>
      <c r="M9" s="482"/>
      <c r="N9" s="849" t="s">
        <v>20</v>
      </c>
      <c r="O9" s="779">
        <v>2013</v>
      </c>
      <c r="P9" s="850">
        <v>0.47318120586002876</v>
      </c>
      <c r="Q9" s="850">
        <v>7.6810921773169061E-2</v>
      </c>
      <c r="R9" s="850">
        <v>7.1690193654957782E-2</v>
      </c>
      <c r="S9" s="850">
        <v>0</v>
      </c>
      <c r="T9" s="850">
        <v>5.1207281182112695E-3</v>
      </c>
      <c r="U9" s="850">
        <v>3.8891605961098245E-2</v>
      </c>
      <c r="V9" s="850">
        <v>1.5556642384439302E-2</v>
      </c>
      <c r="W9" s="850">
        <v>1.9445802980549126E-2</v>
      </c>
      <c r="X9" s="850">
        <v>1.1667481788329475E-2</v>
      </c>
      <c r="Y9" s="850">
        <v>0.63555366074761388</v>
      </c>
      <c r="Z9" s="63"/>
    </row>
    <row r="10" spans="2:26" s="534" customFormat="1" x14ac:dyDescent="0.35">
      <c r="B10" s="482"/>
      <c r="C10" s="482"/>
      <c r="D10" s="482"/>
      <c r="E10" s="482"/>
      <c r="F10" s="482"/>
      <c r="G10" s="482"/>
      <c r="H10" s="482"/>
      <c r="I10" s="482"/>
      <c r="J10" s="482"/>
      <c r="K10" s="482"/>
      <c r="L10" s="482"/>
      <c r="M10" s="482"/>
      <c r="N10" s="851"/>
      <c r="O10" s="779">
        <v>2023</v>
      </c>
      <c r="P10" s="850">
        <v>0.35294303772197783</v>
      </c>
      <c r="Q10" s="850">
        <v>6.4929688447959391E-2</v>
      </c>
      <c r="R10" s="850">
        <v>5.3471508133613621E-2</v>
      </c>
      <c r="S10" s="850">
        <v>0</v>
      </c>
      <c r="T10" s="850">
        <v>1.1458180314345775E-2</v>
      </c>
      <c r="U10" s="850">
        <v>2.8996306089547969E-2</v>
      </c>
      <c r="V10" s="850">
        <v>1.1598522435819188E-2</v>
      </c>
      <c r="W10" s="850">
        <v>1.4498153044773985E-2</v>
      </c>
      <c r="X10" s="850">
        <v>8.6988918268643915E-3</v>
      </c>
      <c r="Y10" s="827">
        <v>0.48166459956694274</v>
      </c>
      <c r="Z10" s="63"/>
    </row>
    <row r="11" spans="2:26" s="534" customFormat="1" hidden="1" x14ac:dyDescent="0.35">
      <c r="B11" s="482"/>
      <c r="C11" s="482"/>
      <c r="D11" s="482"/>
      <c r="E11" s="482"/>
      <c r="F11" s="482"/>
      <c r="G11" s="482"/>
      <c r="H11" s="482"/>
      <c r="I11" s="482"/>
      <c r="J11" s="482"/>
      <c r="K11" s="482"/>
      <c r="L11" s="482"/>
      <c r="M11" s="482"/>
      <c r="N11" s="849" t="s">
        <v>23</v>
      </c>
      <c r="O11" s="779">
        <v>2013</v>
      </c>
      <c r="P11" s="850">
        <v>0.43611853942482925</v>
      </c>
      <c r="Q11" s="850">
        <v>7.9218244284564851E-2</v>
      </c>
      <c r="R11" s="850">
        <v>3.0528297759738046E-2</v>
      </c>
      <c r="S11" s="850">
        <v>2.6167112365489749E-2</v>
      </c>
      <c r="T11" s="850">
        <v>2.252283415933707E-2</v>
      </c>
      <c r="U11" s="850">
        <v>3.584535940478048E-2</v>
      </c>
      <c r="V11" s="850">
        <v>3.584535940478048E-2</v>
      </c>
      <c r="W11" s="827">
        <v>3.1065978150809755E-2</v>
      </c>
      <c r="X11" s="827">
        <v>0</v>
      </c>
      <c r="Y11" s="827">
        <v>0.61809348066976488</v>
      </c>
      <c r="Z11" s="63"/>
    </row>
    <row r="12" spans="2:26" s="534" customFormat="1" hidden="1" x14ac:dyDescent="0.35">
      <c r="B12" s="482"/>
      <c r="C12" s="482"/>
      <c r="D12" s="482"/>
      <c r="E12" s="482"/>
      <c r="F12" s="482"/>
      <c r="G12" s="482"/>
      <c r="H12" s="482"/>
      <c r="I12" s="482"/>
      <c r="J12" s="482"/>
      <c r="K12" s="482"/>
      <c r="L12" s="482"/>
      <c r="M12" s="482"/>
      <c r="N12" s="851"/>
      <c r="O12" s="779">
        <v>2023</v>
      </c>
      <c r="P12" s="850">
        <v>8.8062686527185033E-2</v>
      </c>
      <c r="Q12" s="850">
        <v>2.1575358199160333E-2</v>
      </c>
      <c r="R12" s="850">
        <v>1.188846268116998E-2</v>
      </c>
      <c r="S12" s="850">
        <v>5.2837611916311013E-3</v>
      </c>
      <c r="T12" s="850">
        <v>3.0821940284514763E-3</v>
      </c>
      <c r="U12" s="850">
        <v>7.2348575852107322E-3</v>
      </c>
      <c r="V12" s="850">
        <v>7.2348575852107322E-3</v>
      </c>
      <c r="W12" s="850">
        <v>6.3600829158522512E-3</v>
      </c>
      <c r="X12" s="850">
        <v>0</v>
      </c>
      <c r="Y12" s="827">
        <v>0.12914690251471131</v>
      </c>
      <c r="Z12" s="63"/>
    </row>
    <row r="13" spans="2:26" s="534" customFormat="1" x14ac:dyDescent="0.35">
      <c r="B13" s="482"/>
      <c r="C13" s="482"/>
      <c r="D13" s="482"/>
      <c r="E13" s="482"/>
      <c r="F13" s="482"/>
      <c r="G13" s="482"/>
      <c r="H13" s="482"/>
      <c r="I13" s="482"/>
      <c r="J13" s="482"/>
      <c r="K13" s="482"/>
      <c r="L13" s="482"/>
      <c r="M13" s="482"/>
      <c r="N13" s="849" t="s">
        <v>21</v>
      </c>
      <c r="O13" s="779">
        <v>2013</v>
      </c>
      <c r="P13" s="850">
        <v>0.43111527077335021</v>
      </c>
      <c r="Q13" s="850">
        <v>5.4622304806983484E-2</v>
      </c>
      <c r="R13" s="850">
        <v>1.5821930437381955E-2</v>
      </c>
      <c r="S13" s="850">
        <v>1.724461083093401E-2</v>
      </c>
      <c r="T13" s="850">
        <v>2.1555763538667512E-2</v>
      </c>
      <c r="U13" s="850">
        <v>7.0868263688769903E-2</v>
      </c>
      <c r="V13" s="850">
        <v>1.7717065922192476E-2</v>
      </c>
      <c r="W13" s="827">
        <v>3.5434131844384952E-2</v>
      </c>
      <c r="X13" s="827">
        <v>0</v>
      </c>
      <c r="Y13" s="827">
        <v>0.60975703703568096</v>
      </c>
      <c r="Z13" s="63"/>
    </row>
    <row r="14" spans="2:26" s="534" customFormat="1" x14ac:dyDescent="0.35">
      <c r="B14" s="482"/>
      <c r="C14" s="482"/>
      <c r="D14" s="482"/>
      <c r="E14" s="482"/>
      <c r="F14" s="482"/>
      <c r="G14" s="482"/>
      <c r="H14" s="482"/>
      <c r="I14" s="482"/>
      <c r="J14" s="482"/>
      <c r="K14" s="482"/>
      <c r="L14" s="482"/>
      <c r="M14" s="482"/>
      <c r="N14" s="851"/>
      <c r="O14" s="779">
        <v>2023</v>
      </c>
      <c r="P14" s="850">
        <v>0.35819143483257881</v>
      </c>
      <c r="Q14" s="850">
        <v>4.5382854793287727E-2</v>
      </c>
      <c r="R14" s="850">
        <v>1.3145625658355642E-2</v>
      </c>
      <c r="S14" s="850">
        <v>1.4327657393303151E-2</v>
      </c>
      <c r="T14" s="850">
        <v>7.1638286966515755E-3</v>
      </c>
      <c r="U14" s="850">
        <v>5.885498436289497E-2</v>
      </c>
      <c r="V14" s="850">
        <v>1.4713746090723743E-2</v>
      </c>
      <c r="W14" s="850">
        <v>2.9427492181447492E-2</v>
      </c>
      <c r="X14" s="850">
        <v>0</v>
      </c>
      <c r="Y14" s="827">
        <v>0.49582476921595542</v>
      </c>
      <c r="Z14" s="63"/>
    </row>
    <row r="15" spans="2:26" s="534" customFormat="1" x14ac:dyDescent="0.35">
      <c r="B15" s="482"/>
      <c r="C15" s="482"/>
      <c r="D15" s="482"/>
      <c r="E15" s="482"/>
      <c r="F15" s="482"/>
      <c r="G15" s="482"/>
      <c r="H15" s="482"/>
      <c r="I15" s="482"/>
      <c r="J15" s="482"/>
      <c r="K15" s="482"/>
      <c r="L15" s="482"/>
      <c r="M15" s="482"/>
      <c r="N15" s="849" t="s">
        <v>13</v>
      </c>
      <c r="O15" s="779">
        <v>2013</v>
      </c>
      <c r="P15" s="850">
        <v>0.33260979240199495</v>
      </c>
      <c r="Q15" s="850">
        <v>3.8948606690273606E-2</v>
      </c>
      <c r="R15" s="850">
        <v>0</v>
      </c>
      <c r="S15" s="850">
        <v>3.3260979240199495E-2</v>
      </c>
      <c r="T15" s="850">
        <v>5.6876274500741132E-3</v>
      </c>
      <c r="U15" s="850">
        <v>5.4675582312656706E-2</v>
      </c>
      <c r="V15" s="850">
        <v>1.8225194104218904E-2</v>
      </c>
      <c r="W15" s="827">
        <v>2.733779115632835E-2</v>
      </c>
      <c r="X15" s="827">
        <v>1.6402674693797008E-2</v>
      </c>
      <c r="Y15" s="827">
        <v>0.48819964135926958</v>
      </c>
      <c r="Z15" s="63"/>
    </row>
    <row r="16" spans="2:26" s="534" customFormat="1" x14ac:dyDescent="0.35">
      <c r="B16" s="482"/>
      <c r="C16" s="482"/>
      <c r="D16" s="482"/>
      <c r="E16" s="482"/>
      <c r="F16" s="482"/>
      <c r="G16" s="482"/>
      <c r="H16" s="482"/>
      <c r="I16" s="482"/>
      <c r="J16" s="482"/>
      <c r="K16" s="482"/>
      <c r="L16" s="482"/>
      <c r="M16" s="482"/>
      <c r="N16" s="851"/>
      <c r="O16" s="779">
        <v>2023</v>
      </c>
      <c r="P16" s="850">
        <v>0.60912005316749462</v>
      </c>
      <c r="Q16" s="850">
        <v>7.1327958225913618E-2</v>
      </c>
      <c r="R16" s="850">
        <v>0</v>
      </c>
      <c r="S16" s="850">
        <v>6.0912005316749465E-2</v>
      </c>
      <c r="T16" s="850">
        <v>0</v>
      </c>
      <c r="U16" s="850">
        <v>0.10008545073406092</v>
      </c>
      <c r="V16" s="850">
        <v>3.3361816911353641E-2</v>
      </c>
      <c r="W16" s="850">
        <v>5.0042725367030458E-2</v>
      </c>
      <c r="X16" s="850">
        <v>3.002563522021828E-2</v>
      </c>
      <c r="Y16" s="827">
        <v>0.88354768671690742</v>
      </c>
      <c r="Z16" s="63"/>
    </row>
    <row r="17" spans="2:26" s="534" customFormat="1" x14ac:dyDescent="0.35">
      <c r="B17" s="482"/>
      <c r="C17" s="482"/>
      <c r="D17" s="482"/>
      <c r="E17" s="482"/>
      <c r="F17" s="482"/>
      <c r="G17" s="482"/>
      <c r="H17" s="482"/>
      <c r="I17" s="482"/>
      <c r="J17" s="482"/>
      <c r="K17" s="482"/>
      <c r="L17" s="482"/>
      <c r="M17" s="482"/>
      <c r="N17" s="849" t="s">
        <v>18</v>
      </c>
      <c r="O17" s="779">
        <v>2013</v>
      </c>
      <c r="P17" s="850">
        <v>0.28651801085937356</v>
      </c>
      <c r="Q17" s="850">
        <v>8.2090157544191369E-2</v>
      </c>
      <c r="R17" s="850">
        <v>1.9906329417487271E-2</v>
      </c>
      <c r="S17" s="850">
        <v>2.8681237867874965E-2</v>
      </c>
      <c r="T17" s="850">
        <v>3.3502590258829137E-2</v>
      </c>
      <c r="U17" s="850">
        <v>2.3549425550085497E-2</v>
      </c>
      <c r="V17" s="850">
        <v>1.0989731923373233E-2</v>
      </c>
      <c r="W17" s="827">
        <v>1.6641594055393751E-2</v>
      </c>
      <c r="X17" s="827">
        <v>4.7098851100170992E-3</v>
      </c>
      <c r="Y17" s="827">
        <v>0.42449880504243442</v>
      </c>
      <c r="Z17" s="63"/>
    </row>
    <row r="18" spans="2:26" s="534" customFormat="1" x14ac:dyDescent="0.35">
      <c r="B18" s="482"/>
      <c r="C18" s="482"/>
      <c r="D18" s="482"/>
      <c r="E18" s="482"/>
      <c r="F18" s="482"/>
      <c r="G18" s="482"/>
      <c r="H18" s="482"/>
      <c r="I18" s="482"/>
      <c r="J18" s="482"/>
      <c r="K18" s="482"/>
      <c r="L18" s="482" t="s">
        <v>196</v>
      </c>
      <c r="M18" s="482"/>
      <c r="N18" s="851"/>
      <c r="O18" s="779">
        <v>2023</v>
      </c>
      <c r="P18" s="850">
        <v>0.23664740855778121</v>
      </c>
      <c r="Q18" s="850">
        <v>6.8299031777440788E-2</v>
      </c>
      <c r="R18" s="850">
        <v>2.2202947338223158E-2</v>
      </c>
      <c r="S18" s="850">
        <v>2.3688265614597949E-2</v>
      </c>
      <c r="T18" s="850">
        <v>2.2407818824619685E-2</v>
      </c>
      <c r="U18" s="850">
        <v>1.944194943787227E-2</v>
      </c>
      <c r="V18" s="850">
        <v>9.0729097376737247E-3</v>
      </c>
      <c r="W18" s="850">
        <v>1.3764900202013562E-2</v>
      </c>
      <c r="X18" s="850">
        <v>3.8883898875744531E-3</v>
      </c>
      <c r="Y18" s="827">
        <v>0.35111458960035602</v>
      </c>
      <c r="Z18" s="63"/>
    </row>
    <row r="19" spans="2:26" s="534" customFormat="1" x14ac:dyDescent="0.35">
      <c r="B19" s="482"/>
      <c r="C19" s="482"/>
      <c r="D19" s="482"/>
      <c r="E19" s="482"/>
      <c r="F19" s="482"/>
      <c r="G19" s="482"/>
      <c r="H19" s="482"/>
      <c r="I19" s="482"/>
      <c r="J19" s="482"/>
      <c r="K19" s="482"/>
      <c r="L19" s="482"/>
      <c r="M19" s="482"/>
      <c r="N19" s="849" t="s">
        <v>17</v>
      </c>
      <c r="O19" s="779">
        <v>2013</v>
      </c>
      <c r="P19" s="852">
        <v>0.2913081494928525</v>
      </c>
      <c r="Q19" s="852">
        <v>6.1411416743450936E-2</v>
      </c>
      <c r="R19" s="852">
        <v>9.7728640608161135E-3</v>
      </c>
      <c r="S19" s="852">
        <v>1.8000985092664519E-2</v>
      </c>
      <c r="T19" s="852">
        <v>3.1903672353373894E-2</v>
      </c>
      <c r="U19" s="852">
        <v>4.8221209012716842E-2</v>
      </c>
      <c r="V19" s="852">
        <v>1.2137839562202187E-2</v>
      </c>
      <c r="W19" s="852">
        <v>2.3943135574754998E-2</v>
      </c>
      <c r="X19" s="852">
        <v>0</v>
      </c>
      <c r="Y19" s="852">
        <v>0.43528785514938106</v>
      </c>
      <c r="Z19" s="63"/>
    </row>
    <row r="20" spans="2:26" s="534" customFormat="1" x14ac:dyDescent="0.35">
      <c r="B20" s="482"/>
      <c r="C20" s="482"/>
      <c r="D20" s="482"/>
      <c r="E20" s="482"/>
      <c r="F20" s="482"/>
      <c r="G20" s="482"/>
      <c r="H20" s="482"/>
      <c r="I20" s="482"/>
      <c r="J20" s="482"/>
      <c r="K20" s="482"/>
      <c r="L20" s="482"/>
      <c r="M20" s="482"/>
      <c r="N20" s="851"/>
      <c r="O20" s="779">
        <v>2023</v>
      </c>
      <c r="P20" s="850">
        <v>0.38760764283361826</v>
      </c>
      <c r="Q20" s="850">
        <v>8.1709219631086197E-2</v>
      </c>
      <c r="R20" s="850">
        <v>1.6023060523139076E-2</v>
      </c>
      <c r="S20" s="850">
        <v>2.1643715261622419E-2</v>
      </c>
      <c r="T20" s="850">
        <v>4.2448526830933891E-2</v>
      </c>
      <c r="U20" s="850">
        <v>6.4144840224656455E-2</v>
      </c>
      <c r="V20" s="850">
        <v>1.6150318451400761E-2</v>
      </c>
      <c r="W20" s="850">
        <v>3.1858162424680946E-2</v>
      </c>
      <c r="X20" s="850">
        <v>0</v>
      </c>
      <c r="Y20" s="827">
        <v>0.57987626655005176</v>
      </c>
      <c r="Z20" s="63"/>
    </row>
    <row r="21" spans="2:26" s="534" customFormat="1" x14ac:dyDescent="0.35">
      <c r="B21" s="482"/>
      <c r="C21" s="482"/>
      <c r="D21" s="482"/>
      <c r="E21" s="482"/>
      <c r="F21" s="482"/>
      <c r="G21" s="482"/>
      <c r="H21" s="482"/>
      <c r="I21" s="482"/>
      <c r="J21" s="482"/>
      <c r="K21" s="482"/>
      <c r="L21" s="482"/>
      <c r="M21" s="482"/>
      <c r="N21" s="785" t="s">
        <v>16</v>
      </c>
      <c r="O21" s="779">
        <v>2013</v>
      </c>
      <c r="P21" s="852">
        <v>0.26411503866993924</v>
      </c>
      <c r="Q21" s="852">
        <v>5.126156969350934E-2</v>
      </c>
      <c r="R21" s="852">
        <v>0</v>
      </c>
      <c r="S21" s="852">
        <v>2.7676096740283773E-2</v>
      </c>
      <c r="T21" s="852">
        <v>2.1921548209604954E-2</v>
      </c>
      <c r="U21" s="852">
        <v>4.3397147333213801E-2</v>
      </c>
      <c r="V21" s="852">
        <v>2.16985736666069E-2</v>
      </c>
      <c r="W21" s="852">
        <v>3.2547860499910347E-2</v>
      </c>
      <c r="X21" s="852">
        <v>0</v>
      </c>
      <c r="Y21" s="852">
        <v>0.41135626511955903</v>
      </c>
      <c r="Z21" s="63"/>
    </row>
    <row r="22" spans="2:26" s="534" customFormat="1" x14ac:dyDescent="0.35">
      <c r="B22" s="482"/>
      <c r="C22" s="482"/>
      <c r="D22" s="482"/>
      <c r="E22" s="482"/>
      <c r="F22" s="482"/>
      <c r="G22" s="482"/>
      <c r="H22" s="482"/>
      <c r="I22" s="482"/>
      <c r="J22" s="482"/>
      <c r="K22" s="482"/>
      <c r="L22" s="482"/>
      <c r="M22" s="482"/>
      <c r="N22" s="786"/>
      <c r="O22" s="779">
        <v>2023</v>
      </c>
      <c r="P22" s="850">
        <v>0.22901326073318545</v>
      </c>
      <c r="Q22" s="850">
        <v>4.8341959911695369E-2</v>
      </c>
      <c r="R22" s="850">
        <v>0</v>
      </c>
      <c r="S22" s="850">
        <v>2.3997850295757753E-2</v>
      </c>
      <c r="T22" s="850">
        <v>2.2901326073318549E-2</v>
      </c>
      <c r="U22" s="850">
        <v>3.762952033078959E-2</v>
      </c>
      <c r="V22" s="850">
        <v>1.8814760165394795E-2</v>
      </c>
      <c r="W22" s="850">
        <v>2.8222140248092192E-2</v>
      </c>
      <c r="X22" s="850">
        <v>0</v>
      </c>
      <c r="Y22" s="827">
        <v>0.36057885784653831</v>
      </c>
      <c r="Z22" s="63"/>
    </row>
    <row r="23" spans="2:26" s="534" customFormat="1" x14ac:dyDescent="0.35">
      <c r="B23" s="482"/>
      <c r="C23" s="482"/>
      <c r="D23" s="482"/>
      <c r="E23" s="482"/>
      <c r="F23" s="482"/>
      <c r="G23" s="482"/>
      <c r="H23" s="482"/>
      <c r="I23" s="482"/>
      <c r="J23" s="482"/>
      <c r="K23" s="482"/>
      <c r="L23" s="482"/>
      <c r="M23" s="482"/>
      <c r="N23" s="849" t="s">
        <v>25</v>
      </c>
      <c r="O23" s="779">
        <v>2013</v>
      </c>
      <c r="P23" s="850">
        <v>0.23729517918828463</v>
      </c>
      <c r="Q23" s="850">
        <v>3.61875148262134E-2</v>
      </c>
      <c r="R23" s="850">
        <v>1.6017424595209211E-2</v>
      </c>
      <c r="S23" s="850">
        <v>1.7797138439121344E-2</v>
      </c>
      <c r="T23" s="850">
        <v>2.3729517918828465E-3</v>
      </c>
      <c r="U23" s="850">
        <v>1.2346939436349569E-2</v>
      </c>
      <c r="V23" s="850">
        <v>1.2346939436349569E-2</v>
      </c>
      <c r="W23" s="850">
        <v>1.9695499872627625E-2</v>
      </c>
      <c r="X23" s="850">
        <v>0</v>
      </c>
      <c r="Y23" s="850">
        <v>0.31787207275982482</v>
      </c>
      <c r="Z23" s="63"/>
    </row>
    <row r="24" spans="2:26" s="534" customFormat="1" x14ac:dyDescent="0.35">
      <c r="B24" s="482"/>
      <c r="C24" s="482"/>
      <c r="D24" s="482"/>
      <c r="E24" s="482"/>
      <c r="F24" s="482"/>
      <c r="G24" s="482"/>
      <c r="H24" s="482"/>
      <c r="I24" s="482"/>
      <c r="J24" s="482"/>
      <c r="K24" s="482"/>
      <c r="L24" s="482"/>
      <c r="M24" s="482"/>
      <c r="N24" s="851"/>
      <c r="O24" s="779">
        <v>2023</v>
      </c>
      <c r="P24" s="850">
        <v>0.32696399688780686</v>
      </c>
      <c r="Q24" s="850">
        <v>5.6401289463146681E-2</v>
      </c>
      <c r="R24" s="850">
        <v>2.8609349727683097E-2</v>
      </c>
      <c r="S24" s="850">
        <v>2.4522299766585515E-2</v>
      </c>
      <c r="T24" s="850">
        <v>3.2696399688780685E-3</v>
      </c>
      <c r="U24" s="850">
        <v>1.701258610162211E-2</v>
      </c>
      <c r="V24" s="850">
        <v>1.701258610162211E-2</v>
      </c>
      <c r="W24" s="850">
        <v>2.6861978055192807E-2</v>
      </c>
      <c r="X24" s="850">
        <v>0</v>
      </c>
      <c r="Y24" s="827">
        <v>0.44425243660939057</v>
      </c>
      <c r="Z24" s="63"/>
    </row>
    <row r="25" spans="2:26" s="534" customFormat="1" x14ac:dyDescent="0.35">
      <c r="B25" s="482"/>
      <c r="C25" s="482"/>
      <c r="D25" s="482"/>
      <c r="E25" s="482"/>
      <c r="F25" s="482"/>
      <c r="G25" s="482"/>
      <c r="H25" s="482"/>
      <c r="I25" s="482"/>
      <c r="J25" s="482"/>
      <c r="K25" s="482"/>
      <c r="L25" s="482"/>
      <c r="M25" s="482"/>
      <c r="N25" s="849" t="s">
        <v>15</v>
      </c>
      <c r="O25" s="779">
        <v>2013</v>
      </c>
      <c r="P25" s="850">
        <v>0.21508332584110071</v>
      </c>
      <c r="Q25" s="850">
        <v>5.656102200235083E-2</v>
      </c>
      <c r="R25" s="850">
        <v>2.7931368890049789E-2</v>
      </c>
      <c r="S25" s="850">
        <v>0</v>
      </c>
      <c r="T25" s="850">
        <v>2.8629653112301034E-2</v>
      </c>
      <c r="U25" s="850">
        <v>1.7678081575980883E-2</v>
      </c>
      <c r="V25" s="850">
        <v>8.8390407879904414E-3</v>
      </c>
      <c r="W25" s="827">
        <v>1.2963926489052643E-2</v>
      </c>
      <c r="X25" s="827">
        <v>8.8390407879904414E-4</v>
      </c>
      <c r="Y25" s="827">
        <v>0.31200930077527456</v>
      </c>
      <c r="Z25" s="63"/>
    </row>
    <row r="26" spans="2:26" s="534" customFormat="1" x14ac:dyDescent="0.35">
      <c r="B26" s="482"/>
      <c r="C26" s="482"/>
      <c r="D26" s="482"/>
      <c r="E26" s="482"/>
      <c r="F26" s="482"/>
      <c r="G26" s="482"/>
      <c r="H26" s="482"/>
      <c r="I26" s="482"/>
      <c r="J26" s="482"/>
      <c r="K26" s="482"/>
      <c r="L26" s="482"/>
      <c r="M26" s="482"/>
      <c r="N26" s="851"/>
      <c r="O26" s="779">
        <v>2023</v>
      </c>
      <c r="P26" s="850">
        <v>0.23271004888417116</v>
      </c>
      <c r="Q26" s="850">
        <v>6.2957130379196147E-2</v>
      </c>
      <c r="R26" s="850">
        <v>3.0219422582014151E-2</v>
      </c>
      <c r="S26" s="850">
        <v>0</v>
      </c>
      <c r="T26" s="850">
        <v>3.0974908146564509E-2</v>
      </c>
      <c r="U26" s="850">
        <v>1.9118472632613473E-2</v>
      </c>
      <c r="V26" s="850">
        <v>9.5592363163067347E-3</v>
      </c>
      <c r="W26" s="850">
        <v>1.4020213263916545E-2</v>
      </c>
      <c r="X26" s="850">
        <v>9.5592363163067324E-4</v>
      </c>
      <c r="Y26" s="827">
        <v>0.33755822545721725</v>
      </c>
      <c r="Z26" s="63"/>
    </row>
    <row r="27" spans="2:26" s="534" customFormat="1" x14ac:dyDescent="0.35">
      <c r="B27" s="482"/>
      <c r="C27" s="482"/>
      <c r="D27" s="482"/>
      <c r="E27" s="482"/>
      <c r="F27" s="482"/>
      <c r="G27" s="482"/>
      <c r="H27" s="482"/>
      <c r="I27" s="482"/>
      <c r="J27" s="482"/>
      <c r="K27" s="482"/>
      <c r="L27" s="482"/>
      <c r="M27" s="482"/>
      <c r="N27" s="849" t="s">
        <v>19</v>
      </c>
      <c r="O27" s="779">
        <v>2013</v>
      </c>
      <c r="P27" s="852">
        <v>0.22496508801246287</v>
      </c>
      <c r="Q27" s="852">
        <v>4.0171061088055827E-2</v>
      </c>
      <c r="R27" s="852">
        <v>1.2895800712877659E-2</v>
      </c>
      <c r="S27" s="852">
        <v>1.799720704099703E-2</v>
      </c>
      <c r="T27" s="852">
        <v>8.3331999645287948E-3</v>
      </c>
      <c r="U27" s="852">
        <v>1.8482179429219758E-2</v>
      </c>
      <c r="V27" s="852">
        <v>1.8482179429219758E-2</v>
      </c>
      <c r="W27" s="852">
        <v>1.4662529013847674E-2</v>
      </c>
      <c r="X27" s="852">
        <v>0</v>
      </c>
      <c r="Y27" s="852">
        <v>0.31581818360315356</v>
      </c>
      <c r="Z27" s="63"/>
    </row>
    <row r="28" spans="2:26" s="534" customFormat="1" x14ac:dyDescent="0.35">
      <c r="B28" s="482"/>
      <c r="C28" s="482"/>
      <c r="D28" s="482"/>
      <c r="E28" s="482"/>
      <c r="F28" s="482"/>
      <c r="G28" s="482"/>
      <c r="H28" s="482"/>
      <c r="I28" s="482"/>
      <c r="J28" s="482"/>
      <c r="K28" s="482"/>
      <c r="L28" s="482"/>
      <c r="M28" s="482"/>
      <c r="N28" s="851"/>
      <c r="O28" s="779">
        <v>2023</v>
      </c>
      <c r="P28" s="850">
        <v>0.18973565157016781</v>
      </c>
      <c r="Q28" s="850">
        <v>3.2767446684668286E-2</v>
      </c>
      <c r="R28" s="850">
        <v>9.7634804037148842E-3</v>
      </c>
      <c r="S28" s="850">
        <v>1.5178852125613426E-2</v>
      </c>
      <c r="T28" s="850">
        <v>7.0282244187452698E-3</v>
      </c>
      <c r="U28" s="850">
        <v>1.5587878045528079E-2</v>
      </c>
      <c r="V28" s="850">
        <v>1.5587878045528079E-2</v>
      </c>
      <c r="W28" s="850">
        <v>1.2366383249452278E-2</v>
      </c>
      <c r="X28" s="850">
        <v>0</v>
      </c>
      <c r="Y28" s="827">
        <v>0.26524834785874984</v>
      </c>
      <c r="Z28" s="63"/>
    </row>
    <row r="29" spans="2:26" s="534" customFormat="1" x14ac:dyDescent="0.35">
      <c r="B29" s="482"/>
      <c r="C29" s="482"/>
      <c r="D29" s="482"/>
      <c r="E29" s="482"/>
      <c r="F29" s="482"/>
      <c r="G29" s="482"/>
      <c r="H29" s="482"/>
      <c r="I29" s="482"/>
      <c r="J29" s="482"/>
      <c r="K29" s="482"/>
      <c r="L29" s="482"/>
      <c r="M29" s="482"/>
      <c r="N29" s="853" t="s">
        <v>11</v>
      </c>
      <c r="O29" s="779">
        <v>2013</v>
      </c>
      <c r="P29" s="850">
        <v>0.20378784204525005</v>
      </c>
      <c r="Q29" s="850">
        <v>5.3105436668427403E-2</v>
      </c>
      <c r="R29" s="850">
        <v>2.2428666566358252E-2</v>
      </c>
      <c r="S29" s="850">
        <v>1.6694690846345322E-2</v>
      </c>
      <c r="T29" s="850">
        <v>1.1776703978795778E-2</v>
      </c>
      <c r="U29" s="850">
        <v>1.6749685647554798E-2</v>
      </c>
      <c r="V29" s="850">
        <v>7.8130950504806135E-3</v>
      </c>
      <c r="W29" s="850">
        <v>1.6742346536744172E-2</v>
      </c>
      <c r="X29" s="850">
        <v>6.696938614697669E-3</v>
      </c>
      <c r="Y29" s="850">
        <v>0.30268996928622666</v>
      </c>
      <c r="Z29" s="63"/>
    </row>
    <row r="30" spans="2:26" s="534" customFormat="1" x14ac:dyDescent="0.35">
      <c r="B30" s="482"/>
      <c r="C30" s="482"/>
      <c r="D30" s="482"/>
      <c r="E30" s="482"/>
      <c r="F30" s="482"/>
      <c r="G30" s="482"/>
      <c r="H30" s="482"/>
      <c r="I30" s="482"/>
      <c r="J30" s="482"/>
      <c r="K30" s="482"/>
      <c r="L30" s="482"/>
      <c r="M30" s="482"/>
      <c r="N30" s="853"/>
      <c r="O30" s="779">
        <v>2023</v>
      </c>
      <c r="P30" s="850">
        <v>0.17756910344678647</v>
      </c>
      <c r="Q30" s="850">
        <v>4.7962494377097237E-2</v>
      </c>
      <c r="R30" s="850">
        <v>2.0695355145886909E-2</v>
      </c>
      <c r="S30" s="850">
        <v>1.4584748891112498E-2</v>
      </c>
      <c r="T30" s="850">
        <v>1.0760816046143609E-2</v>
      </c>
      <c r="U30" s="850">
        <v>1.4588325948635105E-2</v>
      </c>
      <c r="V30" s="850">
        <v>6.8078854426963809E-3</v>
      </c>
      <c r="W30" s="850">
        <v>1.4588325948635102E-2</v>
      </c>
      <c r="X30" s="850">
        <v>5.8353303794540417E-3</v>
      </c>
      <c r="Y30" s="827">
        <v>0.26542989124935013</v>
      </c>
      <c r="Z30" s="63"/>
    </row>
    <row r="31" spans="2:26" s="534" customFormat="1" x14ac:dyDescent="0.35">
      <c r="B31" s="482"/>
      <c r="C31" s="482"/>
      <c r="D31" s="482"/>
      <c r="E31" s="482"/>
      <c r="F31" s="482"/>
      <c r="G31" s="482"/>
      <c r="H31" s="482"/>
      <c r="I31" s="482"/>
      <c r="J31" s="482"/>
      <c r="K31" s="482"/>
      <c r="L31" s="482"/>
      <c r="M31" s="482"/>
      <c r="N31" s="849" t="s">
        <v>29</v>
      </c>
      <c r="O31" s="779">
        <v>2013</v>
      </c>
      <c r="P31" s="850">
        <v>0.21637842937200005</v>
      </c>
      <c r="Q31" s="850">
        <v>2.5803127702611003E-2</v>
      </c>
      <c r="R31" s="850">
        <v>5.4094607343000006E-3</v>
      </c>
      <c r="S31" s="850">
        <v>0</v>
      </c>
      <c r="T31" s="850">
        <v>2.0393666968311002E-2</v>
      </c>
      <c r="U31" s="850">
        <v>0</v>
      </c>
      <c r="V31" s="850">
        <v>8.2994466060493152E-3</v>
      </c>
      <c r="W31" s="827">
        <v>8.2994466060493169E-3</v>
      </c>
      <c r="X31" s="827">
        <v>3.3197786424197261E-3</v>
      </c>
      <c r="Y31" s="827">
        <v>0.26210022892912943</v>
      </c>
      <c r="Z31" s="63"/>
    </row>
    <row r="32" spans="2:26" s="534" customFormat="1" x14ac:dyDescent="0.35">
      <c r="B32" s="482"/>
      <c r="C32" s="482"/>
      <c r="D32" s="482"/>
      <c r="E32" s="482"/>
      <c r="F32" s="482"/>
      <c r="G32" s="482"/>
      <c r="H32" s="482"/>
      <c r="I32" s="482"/>
      <c r="J32" s="482"/>
      <c r="K32" s="482"/>
      <c r="L32" s="482"/>
      <c r="M32" s="482"/>
      <c r="N32" s="851"/>
      <c r="O32" s="779">
        <v>2023</v>
      </c>
      <c r="P32" s="850">
        <v>0.34927186820475431</v>
      </c>
      <c r="Q32" s="850">
        <v>4.3658983525594289E-2</v>
      </c>
      <c r="R32" s="850">
        <v>1.0478156046142629E-2</v>
      </c>
      <c r="S32" s="850">
        <v>0</v>
      </c>
      <c r="T32" s="850">
        <v>3.3180827479451662E-2</v>
      </c>
      <c r="U32" s="850">
        <v>0</v>
      </c>
      <c r="V32" s="850">
        <v>1.3390859225727246E-2</v>
      </c>
      <c r="W32" s="850">
        <v>1.3390859225727246E-2</v>
      </c>
      <c r="X32" s="850">
        <v>5.3563436902908977E-3</v>
      </c>
      <c r="Y32" s="827">
        <v>0.425068913872094</v>
      </c>
      <c r="Z32" s="63"/>
    </row>
    <row r="33" spans="2:26" s="534" customFormat="1" x14ac:dyDescent="0.35">
      <c r="B33" s="482"/>
      <c r="C33" s="482"/>
      <c r="D33" s="482"/>
      <c r="E33" s="482"/>
      <c r="F33" s="482"/>
      <c r="G33" s="482"/>
      <c r="H33" s="482"/>
      <c r="I33" s="482"/>
      <c r="J33" s="482"/>
      <c r="K33" s="482"/>
      <c r="L33" s="482"/>
      <c r="M33" s="482"/>
      <c r="N33" s="849" t="s">
        <v>22</v>
      </c>
      <c r="O33" s="779">
        <v>2013</v>
      </c>
      <c r="P33" s="850">
        <v>0.18819818749349776</v>
      </c>
      <c r="Q33" s="850">
        <v>2.9645919484913238E-2</v>
      </c>
      <c r="R33" s="850">
        <v>1.6937836874414802E-2</v>
      </c>
      <c r="S33" s="850">
        <v>0</v>
      </c>
      <c r="T33" s="850">
        <v>1.2708082610498439E-2</v>
      </c>
      <c r="U33" s="850">
        <v>1.5468344177547761E-2</v>
      </c>
      <c r="V33" s="850">
        <v>9.7966179791135824E-3</v>
      </c>
      <c r="W33" s="827">
        <v>1.546834417754776E-2</v>
      </c>
      <c r="X33" s="827">
        <v>0</v>
      </c>
      <c r="Y33" s="827">
        <v>0.25857741331262007</v>
      </c>
      <c r="Z33" s="63"/>
    </row>
    <row r="34" spans="2:26" s="534" customFormat="1" x14ac:dyDescent="0.35">
      <c r="B34" s="482"/>
      <c r="C34" s="482"/>
      <c r="D34" s="482"/>
      <c r="E34" s="482"/>
      <c r="F34" s="482"/>
      <c r="G34" s="482"/>
      <c r="H34" s="482"/>
      <c r="I34" s="482"/>
      <c r="J34" s="482"/>
      <c r="K34" s="482"/>
      <c r="L34" s="482"/>
      <c r="M34" s="482"/>
      <c r="N34" s="851"/>
      <c r="O34" s="779">
        <v>2023</v>
      </c>
      <c r="P34" s="850">
        <v>6.1986797623778738E-3</v>
      </c>
      <c r="Q34" s="850">
        <v>9.7629206257451515E-4</v>
      </c>
      <c r="R34" s="850">
        <v>5.5788117861400865E-4</v>
      </c>
      <c r="S34" s="850">
        <v>0</v>
      </c>
      <c r="T34" s="850">
        <v>3.719207857426724E-4</v>
      </c>
      <c r="U34" s="850">
        <v>5.0925729234126474E-4</v>
      </c>
      <c r="V34" s="850">
        <v>3.2252961848280095E-4</v>
      </c>
      <c r="W34" s="850">
        <v>5.0925729234126474E-4</v>
      </c>
      <c r="X34" s="850">
        <v>0</v>
      </c>
      <c r="Y34" s="827">
        <v>8.4695259298998848E-3</v>
      </c>
      <c r="Z34" s="63"/>
    </row>
    <row r="35" spans="2:26" s="534" customFormat="1" x14ac:dyDescent="0.35">
      <c r="B35" s="482"/>
      <c r="C35" s="482"/>
      <c r="D35" s="482"/>
      <c r="E35" s="482"/>
      <c r="F35" s="482"/>
      <c r="G35" s="482"/>
      <c r="H35" s="482"/>
      <c r="I35" s="482"/>
      <c r="J35" s="482"/>
      <c r="K35" s="482"/>
      <c r="L35" s="482"/>
      <c r="M35" s="482"/>
      <c r="N35" s="853" t="s">
        <v>12</v>
      </c>
      <c r="O35" s="779">
        <v>2013</v>
      </c>
      <c r="P35" s="850">
        <v>0.15517232954099469</v>
      </c>
      <c r="Q35" s="850">
        <v>5.7430767116967055E-2</v>
      </c>
      <c r="R35" s="850">
        <v>3.3585243928050908E-2</v>
      </c>
      <c r="S35" s="850"/>
      <c r="T35" s="850">
        <v>2.3845523188916144E-2</v>
      </c>
      <c r="U35" s="850">
        <v>1.275389009925984E-2</v>
      </c>
      <c r="V35" s="850">
        <v>1.7005186799013122E-2</v>
      </c>
      <c r="W35" s="827">
        <v>4.8974937981157785E-3</v>
      </c>
      <c r="X35" s="827">
        <v>3.5710892277927555E-3</v>
      </c>
      <c r="Y35" s="827">
        <v>0.25083075658214327</v>
      </c>
      <c r="Z35" s="63"/>
    </row>
    <row r="36" spans="2:26" s="534" customFormat="1" x14ac:dyDescent="0.35">
      <c r="B36" s="482"/>
      <c r="C36" s="482"/>
      <c r="D36" s="482"/>
      <c r="E36" s="482"/>
      <c r="F36" s="482"/>
      <c r="G36" s="482"/>
      <c r="H36" s="482"/>
      <c r="I36" s="482"/>
      <c r="J36" s="482"/>
      <c r="K36" s="482"/>
      <c r="L36" s="482"/>
      <c r="M36" s="482"/>
      <c r="N36" s="853"/>
      <c r="O36" s="779">
        <v>2023</v>
      </c>
      <c r="P36" s="850">
        <v>0.15394615942433684</v>
      </c>
      <c r="Q36" s="850">
        <v>5.6641866255233667E-2</v>
      </c>
      <c r="R36" s="850">
        <v>3.3318744856019808E-2</v>
      </c>
      <c r="S36" s="850">
        <v>0</v>
      </c>
      <c r="T36" s="850">
        <v>2.1657184156412872E-2</v>
      </c>
      <c r="U36" s="850">
        <v>1.2647564855762147E-2</v>
      </c>
      <c r="V36" s="850">
        <v>1.6863419807682863E-2</v>
      </c>
      <c r="W36" s="850">
        <v>4.8566649046126635E-3</v>
      </c>
      <c r="X36" s="850">
        <v>3.7942694567286443E-3</v>
      </c>
      <c r="Y36" s="827">
        <v>0.24708400746155584</v>
      </c>
      <c r="Z36" s="63"/>
    </row>
    <row r="37" spans="2:26" s="534" customFormat="1" x14ac:dyDescent="0.35">
      <c r="B37" s="482"/>
      <c r="C37" s="482"/>
      <c r="D37" s="482"/>
      <c r="E37" s="482"/>
      <c r="F37" s="482"/>
      <c r="G37" s="482"/>
      <c r="H37" s="482"/>
      <c r="I37" s="482"/>
      <c r="J37" s="482"/>
      <c r="K37" s="482"/>
      <c r="L37" s="482"/>
      <c r="M37" s="482"/>
      <c r="N37" s="849" t="s">
        <v>14</v>
      </c>
      <c r="O37" s="779">
        <v>2013</v>
      </c>
      <c r="P37" s="850">
        <v>0.14994018775599496</v>
      </c>
      <c r="Q37" s="850">
        <v>3.0184159316783834E-2</v>
      </c>
      <c r="R37" s="850">
        <v>1.2178891750480689E-2</v>
      </c>
      <c r="S37" s="850">
        <v>7.4970093877997487E-3</v>
      </c>
      <c r="T37" s="850">
        <v>1.6238522333974253E-4</v>
      </c>
      <c r="U37" s="850">
        <v>1.2318451179427783E-2</v>
      </c>
      <c r="V37" s="850">
        <v>8.6229158255994483E-3</v>
      </c>
      <c r="W37" s="850">
        <v>1.4700018407450489E-2</v>
      </c>
      <c r="X37" s="850">
        <v>0</v>
      </c>
      <c r="Y37" s="850">
        <v>0.20541985953009284</v>
      </c>
      <c r="Z37" s="63"/>
    </row>
    <row r="38" spans="2:26" s="534" customFormat="1" x14ac:dyDescent="0.35">
      <c r="B38" s="482"/>
      <c r="C38" s="482"/>
      <c r="D38" s="482"/>
      <c r="E38" s="482"/>
      <c r="F38" s="482"/>
      <c r="G38" s="482"/>
      <c r="H38" s="482"/>
      <c r="I38" s="482"/>
      <c r="J38" s="482"/>
      <c r="K38" s="482"/>
      <c r="L38" s="482"/>
      <c r="M38" s="482"/>
      <c r="N38" s="851"/>
      <c r="O38" s="779">
        <v>2023</v>
      </c>
      <c r="P38" s="850">
        <v>0.14731482041465788</v>
      </c>
      <c r="Q38" s="850">
        <v>2.9646199901291581E-2</v>
      </c>
      <c r="R38" s="850">
        <v>1.1956318689421668E-2</v>
      </c>
      <c r="S38" s="850">
        <v>7.3657410207328949E-3</v>
      </c>
      <c r="T38" s="850">
        <v>1.5941758252562222E-4</v>
      </c>
      <c r="U38" s="850">
        <v>1.2102762110964336E-2</v>
      </c>
      <c r="V38" s="850">
        <v>8.4719334776750359E-3</v>
      </c>
      <c r="W38" s="850">
        <v>1.4442629452417439E-2</v>
      </c>
      <c r="X38" s="850">
        <v>0</v>
      </c>
      <c r="Y38" s="827">
        <v>0.20181362274839487</v>
      </c>
      <c r="Z38" s="63"/>
    </row>
    <row r="39" spans="2:26" s="534" customFormat="1" x14ac:dyDescent="0.35">
      <c r="B39" s="482"/>
      <c r="C39" s="482"/>
      <c r="D39" s="482"/>
      <c r="E39" s="482"/>
      <c r="F39" s="482"/>
      <c r="G39" s="482"/>
      <c r="H39" s="482"/>
      <c r="I39" s="482"/>
      <c r="J39" s="482"/>
      <c r="K39" s="482"/>
      <c r="L39" s="482"/>
      <c r="M39" s="482"/>
      <c r="N39" s="849" t="s">
        <v>28</v>
      </c>
      <c r="O39" s="779">
        <v>2013</v>
      </c>
      <c r="P39" s="850">
        <v>0.14874173741316807</v>
      </c>
      <c r="Q39" s="850">
        <v>6.856994094747047E-3</v>
      </c>
      <c r="R39" s="850"/>
      <c r="S39" s="850"/>
      <c r="T39" s="850">
        <v>6.8569940947470478E-3</v>
      </c>
      <c r="U39" s="850">
        <v>0</v>
      </c>
      <c r="V39" s="850">
        <v>6.1126741402671809E-3</v>
      </c>
      <c r="W39" s="827">
        <v>1.2225348280534362E-2</v>
      </c>
      <c r="X39" s="827">
        <v>2.4450696561068722E-3</v>
      </c>
      <c r="Y39" s="827">
        <v>0.17638182358482354</v>
      </c>
      <c r="Z39" s="63"/>
    </row>
    <row r="40" spans="2:26" s="534" customFormat="1" x14ac:dyDescent="0.35">
      <c r="B40" s="482"/>
      <c r="C40" s="482"/>
      <c r="D40" s="482"/>
      <c r="E40" s="482"/>
      <c r="F40" s="482"/>
      <c r="G40" s="482"/>
      <c r="H40" s="482"/>
      <c r="I40" s="482"/>
      <c r="J40" s="482"/>
      <c r="K40" s="482"/>
      <c r="L40" s="482"/>
      <c r="M40" s="482"/>
      <c r="N40" s="851"/>
      <c r="O40" s="779">
        <v>2023</v>
      </c>
      <c r="P40" s="850">
        <v>0.19568298367505335</v>
      </c>
      <c r="Q40" s="850">
        <v>9.3927832164025608E-3</v>
      </c>
      <c r="R40" s="850">
        <v>0</v>
      </c>
      <c r="S40" s="850">
        <v>0</v>
      </c>
      <c r="T40" s="850">
        <v>7.6316363633270809E-3</v>
      </c>
      <c r="U40" s="850">
        <v>0</v>
      </c>
      <c r="V40" s="850">
        <v>8.0382428391001202E-3</v>
      </c>
      <c r="W40" s="850">
        <v>1.6076485678200244E-2</v>
      </c>
      <c r="X40" s="850">
        <v>3.215297135640048E-3</v>
      </c>
      <c r="Y40" s="827">
        <v>0.23064464569132084</v>
      </c>
      <c r="Z40" s="63"/>
    </row>
    <row r="41" spans="2:26" s="534" customFormat="1" x14ac:dyDescent="0.35">
      <c r="B41" s="482"/>
      <c r="C41" s="482"/>
      <c r="D41" s="482"/>
      <c r="E41" s="482"/>
      <c r="F41" s="482"/>
      <c r="G41" s="482"/>
      <c r="H41" s="482"/>
      <c r="I41" s="482"/>
      <c r="J41" s="482"/>
      <c r="K41" s="482"/>
      <c r="L41" s="482"/>
      <c r="M41" s="482"/>
      <c r="N41" s="849" t="s">
        <v>26</v>
      </c>
      <c r="O41" s="779">
        <v>2013</v>
      </c>
      <c r="P41" s="852">
        <v>0.15956032078524277</v>
      </c>
      <c r="Q41" s="852">
        <v>2.7972397662839411E-2</v>
      </c>
      <c r="R41" s="852">
        <v>1.2259507617664185E-2</v>
      </c>
      <c r="S41" s="852">
        <v>1.2259507617664185E-2</v>
      </c>
      <c r="T41" s="852">
        <v>1.7266912137555192E-3</v>
      </c>
      <c r="U41" s="852">
        <v>1.3108800590309133E-2</v>
      </c>
      <c r="V41" s="852">
        <v>7.8652803541854784E-3</v>
      </c>
      <c r="W41" s="852">
        <v>1.0050080452570335E-2</v>
      </c>
      <c r="X41" s="852">
        <v>2.4469761101910386E-3</v>
      </c>
      <c r="Y41" s="852">
        <v>0.21927716474158265</v>
      </c>
      <c r="Z41" s="63"/>
    </row>
    <row r="42" spans="2:26" s="534" customFormat="1" x14ac:dyDescent="0.35">
      <c r="B42" s="482"/>
      <c r="C42" s="482"/>
      <c r="D42" s="482"/>
      <c r="E42" s="482"/>
      <c r="F42" s="482"/>
      <c r="G42" s="482"/>
      <c r="H42" s="482"/>
      <c r="I42" s="482"/>
      <c r="J42" s="482"/>
      <c r="K42" s="482"/>
      <c r="L42" s="482"/>
      <c r="M42" s="482"/>
      <c r="N42" s="851"/>
      <c r="O42" s="779">
        <v>2023</v>
      </c>
      <c r="P42" s="850">
        <v>0.17661738487060613</v>
      </c>
      <c r="Q42" s="850">
        <v>3.0962658507191182E-2</v>
      </c>
      <c r="R42" s="850">
        <v>1.3570054037102307E-2</v>
      </c>
      <c r="S42" s="850">
        <v>1.3570054037102307E-2</v>
      </c>
      <c r="T42" s="850">
        <v>1.911275216493283E-3</v>
      </c>
      <c r="U42" s="850">
        <v>1.451013677872216E-2</v>
      </c>
      <c r="V42" s="850">
        <v>8.7060820672332957E-3</v>
      </c>
      <c r="W42" s="850">
        <v>1.1124438197020321E-2</v>
      </c>
      <c r="X42" s="850">
        <v>2.7085588653614698E-3</v>
      </c>
      <c r="Y42" s="827">
        <v>0.24271798406964126</v>
      </c>
      <c r="Z42" s="63"/>
    </row>
    <row r="43" spans="2:26" s="534" customFormat="1" x14ac:dyDescent="0.35">
      <c r="B43" s="482"/>
      <c r="C43" s="482"/>
      <c r="D43" s="482"/>
      <c r="E43" s="482"/>
      <c r="F43" s="482"/>
      <c r="G43" s="482"/>
      <c r="H43" s="482"/>
      <c r="I43" s="482"/>
      <c r="J43" s="482"/>
      <c r="K43" s="482"/>
      <c r="L43" s="482"/>
      <c r="M43" s="482"/>
      <c r="N43" s="849" t="s">
        <v>24</v>
      </c>
      <c r="O43" s="779">
        <v>2013</v>
      </c>
      <c r="P43" s="852">
        <v>7.6071340208097735E-2</v>
      </c>
      <c r="Q43" s="852">
        <v>1.6533000409847835E-2</v>
      </c>
      <c r="R43" s="852">
        <v>4.0809104382469111E-3</v>
      </c>
      <c r="S43" s="852">
        <v>6.1286598168027971E-3</v>
      </c>
      <c r="T43" s="852">
        <v>4.7544587630061102E-3</v>
      </c>
      <c r="U43" s="852">
        <v>3.1696391753374058E-3</v>
      </c>
      <c r="V43" s="852">
        <v>2.9583298969815788E-3</v>
      </c>
      <c r="W43" s="852">
        <v>7.9162858141847807E-3</v>
      </c>
      <c r="X43" s="852">
        <v>0</v>
      </c>
      <c r="Y43" s="852">
        <v>0.10507962411265731</v>
      </c>
      <c r="Z43" s="63"/>
    </row>
    <row r="44" spans="2:26" s="534" customFormat="1" x14ac:dyDescent="0.35">
      <c r="B44" s="482"/>
      <c r="C44" s="482"/>
      <c r="D44" s="482"/>
      <c r="E44" s="482"/>
      <c r="F44" s="482"/>
      <c r="G44" s="482"/>
      <c r="H44" s="482"/>
      <c r="I44" s="482"/>
      <c r="J44" s="482"/>
      <c r="K44" s="482"/>
      <c r="L44" s="482"/>
      <c r="M44" s="482"/>
      <c r="N44" s="851"/>
      <c r="O44" s="779">
        <v>2023</v>
      </c>
      <c r="P44" s="850">
        <v>0.14296248294433631</v>
      </c>
      <c r="Q44" s="850">
        <v>3.8818479610380388E-2</v>
      </c>
      <c r="R44" s="850">
        <v>8.9589822645117431E-3</v>
      </c>
      <c r="S44" s="850">
        <v>1.7975740951120686E-2</v>
      </c>
      <c r="T44" s="850">
        <v>8.9351551840210191E-3</v>
      </c>
      <c r="U44" s="850">
        <v>5.9567701226806782E-3</v>
      </c>
      <c r="V44" s="850">
        <v>7.8301283242598486E-3</v>
      </c>
      <c r="W44" s="850">
        <v>1.4877243816093712E-2</v>
      </c>
      <c r="X44" s="850">
        <v>0</v>
      </c>
      <c r="Y44" s="827">
        <v>0.20749650360702399</v>
      </c>
      <c r="Z44" s="63"/>
    </row>
    <row r="45" spans="2:26" x14ac:dyDescent="0.35">
      <c r="N45" s="849" t="s">
        <v>31</v>
      </c>
      <c r="O45" s="779">
        <v>2013</v>
      </c>
      <c r="P45" s="852">
        <v>9.7757846915806731E-2</v>
      </c>
      <c r="Q45" s="852">
        <v>7.7033064857248241E-3</v>
      </c>
      <c r="R45" s="850">
        <v>7.7033064857248241E-3</v>
      </c>
      <c r="S45" s="852"/>
      <c r="T45" s="852">
        <v>0</v>
      </c>
      <c r="U45" s="852"/>
      <c r="V45" s="852">
        <v>3.749616046085738E-3</v>
      </c>
      <c r="W45" s="827">
        <v>4.4459733117873743E-3</v>
      </c>
      <c r="X45" s="827">
        <v>0</v>
      </c>
      <c r="Y45" s="827">
        <v>0.11365674275940468</v>
      </c>
      <c r="Z45"/>
    </row>
    <row r="46" spans="2:26" x14ac:dyDescent="0.35">
      <c r="N46" s="851"/>
      <c r="O46" s="779">
        <v>2023</v>
      </c>
      <c r="P46" s="850">
        <v>0.13687481379564073</v>
      </c>
      <c r="Q46" s="850">
        <v>1.2044983614016385E-2</v>
      </c>
      <c r="R46" s="850">
        <v>1.2044983614016385E-2</v>
      </c>
      <c r="S46" s="850">
        <v>0</v>
      </c>
      <c r="T46" s="850">
        <v>0</v>
      </c>
      <c r="U46" s="850">
        <v>0</v>
      </c>
      <c r="V46" s="850">
        <v>5.2476924995590148E-3</v>
      </c>
      <c r="W46" s="850">
        <v>5.6225276780989455E-3</v>
      </c>
      <c r="X46" s="850">
        <v>0</v>
      </c>
      <c r="Y46" s="827">
        <v>0.15979001758731509</v>
      </c>
      <c r="Z46"/>
    </row>
    <row r="47" spans="2:26" x14ac:dyDescent="0.35">
      <c r="N47" s="455" t="s">
        <v>125</v>
      </c>
      <c r="O47" s="448">
        <v>2013</v>
      </c>
      <c r="P47" s="753">
        <v>0.25028419233347377</v>
      </c>
      <c r="Q47" s="753">
        <v>4.0505099691954545E-2</v>
      </c>
      <c r="R47" s="753">
        <v>1.6034429786890014E-2</v>
      </c>
      <c r="S47" s="753">
        <v>1.2702382682542946E-2</v>
      </c>
      <c r="T47" s="753">
        <v>1.3539591623097019E-2</v>
      </c>
      <c r="U47" s="753">
        <v>2.7830867894163822E-2</v>
      </c>
      <c r="V47" s="753">
        <v>1.2700447134535569E-2</v>
      </c>
      <c r="W47" s="753">
        <v>1.8266094596554962E-2</v>
      </c>
      <c r="X47" s="753">
        <v>3.2669176639311985E-3</v>
      </c>
      <c r="Y47" s="827">
        <v>0.35462492371518928</v>
      </c>
      <c r="Z47"/>
    </row>
    <row r="48" spans="2:26" x14ac:dyDescent="0.35">
      <c r="N48" s="760"/>
      <c r="O48" s="448">
        <v>2023</v>
      </c>
      <c r="P48" s="753">
        <v>0.2716199117946741</v>
      </c>
      <c r="Q48" s="753">
        <v>4.3289964351484522E-2</v>
      </c>
      <c r="R48" s="753">
        <v>1.5000835273603109E-2</v>
      </c>
      <c r="S48" s="753">
        <v>1.2514048982857792E-2</v>
      </c>
      <c r="T48" s="753">
        <v>1.3212940705129581E-2</v>
      </c>
      <c r="U48" s="753">
        <v>2.8665880173820265E-2</v>
      </c>
      <c r="V48" s="753">
        <v>1.3826606331730031E-2</v>
      </c>
      <c r="W48" s="753">
        <v>1.9909633649826002E-2</v>
      </c>
      <c r="X48" s="753">
        <v>4.693243354765347E-3</v>
      </c>
      <c r="Y48" s="827">
        <v>0.37944310026640626</v>
      </c>
      <c r="Z48"/>
    </row>
    <row r="49" spans="14:26" x14ac:dyDescent="0.35">
      <c r="N49" s="63"/>
      <c r="O49" s="63"/>
      <c r="P49" s="63"/>
      <c r="Q49" s="63"/>
      <c r="R49" s="63"/>
      <c r="S49" s="63"/>
      <c r="T49" s="63"/>
      <c r="U49" s="63"/>
      <c r="V49" s="63"/>
      <c r="W49" s="63"/>
      <c r="X49" s="63"/>
      <c r="Y49" s="63"/>
      <c r="Z49"/>
    </row>
    <row r="50" spans="14:26" x14ac:dyDescent="0.35">
      <c r="N50" s="63"/>
      <c r="O50" s="63"/>
      <c r="P50" s="63"/>
      <c r="Q50" s="63"/>
      <c r="R50" s="63"/>
      <c r="S50" s="63"/>
      <c r="T50" s="63"/>
      <c r="U50" s="63"/>
      <c r="V50" s="63"/>
      <c r="W50" s="63"/>
      <c r="X50" s="63"/>
      <c r="Y50" s="63"/>
      <c r="Z50"/>
    </row>
    <row r="51" spans="14:26" x14ac:dyDescent="0.35">
      <c r="N51" s="63"/>
      <c r="O51" s="63"/>
      <c r="P51" s="63"/>
      <c r="Q51" s="63"/>
      <c r="R51" s="63"/>
      <c r="S51" s="63"/>
      <c r="T51" s="63"/>
      <c r="U51" s="63"/>
      <c r="V51" s="63"/>
      <c r="W51" s="63"/>
      <c r="X51" s="63"/>
      <c r="Y51" s="63"/>
      <c r="Z51"/>
    </row>
    <row r="52" spans="14:26" x14ac:dyDescent="0.35">
      <c r="N52" s="63"/>
      <c r="O52" s="63"/>
      <c r="P52" s="63"/>
      <c r="Q52" s="63"/>
      <c r="R52" s="63"/>
      <c r="S52" s="63"/>
      <c r="T52" s="63"/>
      <c r="U52" s="63"/>
      <c r="V52" s="63"/>
      <c r="W52" s="63"/>
      <c r="X52" s="63"/>
      <c r="Y52" s="63"/>
      <c r="Z52"/>
    </row>
    <row r="53" spans="14:26" x14ac:dyDescent="0.35">
      <c r="N53" s="63"/>
      <c r="O53" s="63"/>
      <c r="P53" s="63"/>
      <c r="Q53" s="63"/>
      <c r="R53" s="63"/>
      <c r="S53" s="63"/>
      <c r="T53" s="63"/>
      <c r="U53" s="63"/>
      <c r="V53" s="63"/>
      <c r="W53" s="63"/>
      <c r="X53" s="63"/>
      <c r="Y53" s="63"/>
      <c r="Z53"/>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74"/>
  <sheetViews>
    <sheetView topLeftCell="A22" workbookViewId="0"/>
  </sheetViews>
  <sheetFormatPr defaultColWidth="9.1796875" defaultRowHeight="14.5" x14ac:dyDescent="0.35"/>
  <cols>
    <col min="1" max="1" width="3.90625" customWidth="1"/>
    <col min="2" max="2" width="67.36328125" customWidth="1"/>
    <col min="3" max="3" width="15.1796875" customWidth="1"/>
    <col min="4" max="4" width="14.81640625" customWidth="1"/>
    <col min="7" max="7" width="14.54296875" customWidth="1"/>
    <col min="8" max="8" width="16.1796875" customWidth="1"/>
    <col min="9" max="9" width="16.81640625" customWidth="1"/>
  </cols>
  <sheetData>
    <row r="1" spans="2:21" hidden="1" x14ac:dyDescent="0.35"/>
    <row r="2" spans="2:21" hidden="1" x14ac:dyDescent="0.35">
      <c r="C2" t="s">
        <v>11</v>
      </c>
      <c r="D2" t="s">
        <v>13</v>
      </c>
      <c r="E2" t="s">
        <v>12</v>
      </c>
      <c r="F2" t="s">
        <v>28</v>
      </c>
      <c r="G2" t="s">
        <v>15</v>
      </c>
      <c r="H2" t="s">
        <v>18</v>
      </c>
      <c r="I2" t="s">
        <v>17</v>
      </c>
      <c r="J2" t="s">
        <v>21</v>
      </c>
      <c r="K2" t="s">
        <v>27</v>
      </c>
      <c r="L2" t="s">
        <v>29</v>
      </c>
      <c r="M2" t="s">
        <v>24</v>
      </c>
      <c r="N2" t="s">
        <v>23</v>
      </c>
      <c r="O2" t="s">
        <v>19</v>
      </c>
      <c r="P2" t="s">
        <v>16</v>
      </c>
      <c r="Q2" t="s">
        <v>20</v>
      </c>
      <c r="R2" t="s">
        <v>26</v>
      </c>
      <c r="S2" t="s">
        <v>25</v>
      </c>
      <c r="T2" t="s">
        <v>14</v>
      </c>
      <c r="U2" t="s">
        <v>22</v>
      </c>
    </row>
    <row r="3" spans="2:21" hidden="1" x14ac:dyDescent="0.35">
      <c r="B3" t="s">
        <v>39</v>
      </c>
      <c r="C3">
        <v>0.19858219178082198</v>
      </c>
      <c r="D3">
        <v>0.12709999999999999</v>
      </c>
      <c r="E3">
        <v>9.1679407564991822E-2</v>
      </c>
      <c r="F3">
        <v>0.18960348742778027</v>
      </c>
      <c r="G3">
        <v>7.2522161871009863E-2</v>
      </c>
      <c r="H3">
        <v>6.9465890410958894E-2</v>
      </c>
      <c r="I3">
        <v>0.10735993230119259</v>
      </c>
      <c r="J3">
        <v>4.4470000000000003E-2</v>
      </c>
      <c r="K3">
        <v>2.4669905511387327E-2</v>
      </c>
      <c r="L3">
        <v>6.6936494505293015E-2</v>
      </c>
      <c r="M3">
        <v>2.5723726792496716E-2</v>
      </c>
      <c r="N3">
        <v>0.05</v>
      </c>
      <c r="O3">
        <v>0.12294520547945206</v>
      </c>
      <c r="P3">
        <v>0.11699999999999997</v>
      </c>
      <c r="Q3">
        <v>8.7657534246575311E-2</v>
      </c>
      <c r="R3">
        <v>5.8048767123287673E-2</v>
      </c>
      <c r="S3">
        <v>8.1826622528681531E-2</v>
      </c>
      <c r="T3">
        <v>0.19887166665976036</v>
      </c>
      <c r="U3">
        <v>6.0000000000000032E-2</v>
      </c>
    </row>
    <row r="4" spans="2:21" hidden="1" x14ac:dyDescent="0.35">
      <c r="B4" t="s">
        <v>40</v>
      </c>
      <c r="C4">
        <v>0.11904109589041094</v>
      </c>
      <c r="D4">
        <v>0.12709999999999999</v>
      </c>
      <c r="E4">
        <v>9.1679407564991822E-2</v>
      </c>
      <c r="F4">
        <v>9.9367678861881026E-2</v>
      </c>
      <c r="G4">
        <v>3.6522161871009852E-2</v>
      </c>
      <c r="H4">
        <v>2.0226164383561649E-2</v>
      </c>
      <c r="I4">
        <v>7.5435973595758626E-2</v>
      </c>
      <c r="J4">
        <v>1.6469999999999999E-2</v>
      </c>
      <c r="K4">
        <v>4.9339811022774656E-3</v>
      </c>
      <c r="L4">
        <v>2.4998971360913572E-2</v>
      </c>
      <c r="M4">
        <v>1.8219178082191777E-2</v>
      </c>
      <c r="N4">
        <v>3.2000000000000001E-2</v>
      </c>
      <c r="O4">
        <v>9.8458904109589074E-2</v>
      </c>
      <c r="P4">
        <v>0.11699999999999997</v>
      </c>
      <c r="Q4">
        <v>8.7657534246575311E-2</v>
      </c>
      <c r="R4">
        <v>2.7953013698630135E-2</v>
      </c>
      <c r="S4">
        <v>5.6250000000000001E-2</v>
      </c>
      <c r="T4">
        <v>0.14737166665976026</v>
      </c>
      <c r="U4">
        <v>4.0000000000000008E-2</v>
      </c>
    </row>
    <row r="5" spans="2:21" hidden="1" x14ac:dyDescent="0.35">
      <c r="B5" t="s">
        <v>41</v>
      </c>
      <c r="C5">
        <v>7.9541095890410946E-2</v>
      </c>
      <c r="F5">
        <v>6.9529392094340975E-2</v>
      </c>
      <c r="G5">
        <v>3.6000000000000011E-2</v>
      </c>
      <c r="H5">
        <v>4.1664383561643828E-2</v>
      </c>
      <c r="J5">
        <v>1.8000000000000002E-2</v>
      </c>
      <c r="K5">
        <v>1.2334952755693664E-2</v>
      </c>
      <c r="M5">
        <v>7.504548710304937E-3</v>
      </c>
      <c r="N5">
        <v>1.8000000000000002E-2</v>
      </c>
      <c r="O5">
        <v>1.0958904109589045E-2</v>
      </c>
      <c r="R5">
        <v>2.9608767123287676E-2</v>
      </c>
      <c r="S5">
        <v>2.5576622528681519E-2</v>
      </c>
      <c r="T5">
        <v>5.0250000000000017E-2</v>
      </c>
    </row>
    <row r="6" spans="2:21" hidden="1" x14ac:dyDescent="0.35">
      <c r="B6" t="s">
        <v>42</v>
      </c>
      <c r="F6">
        <v>6.0000000000000027E-3</v>
      </c>
      <c r="I6">
        <v>2.2721678793903202E-2</v>
      </c>
      <c r="J6">
        <v>1.0000000000000002E-2</v>
      </c>
      <c r="U6">
        <v>5.000000000000001E-3</v>
      </c>
    </row>
    <row r="7" spans="2:21" hidden="1" x14ac:dyDescent="0.35">
      <c r="B7" t="s">
        <v>43</v>
      </c>
      <c r="F7">
        <v>1.4706416471558389E-2</v>
      </c>
      <c r="H7">
        <v>7.5753424657534233E-3</v>
      </c>
      <c r="I7">
        <v>9.202279911530796E-3</v>
      </c>
      <c r="J7">
        <v>0</v>
      </c>
      <c r="K7">
        <v>7.400971653416198E-3</v>
      </c>
      <c r="L7">
        <v>4.1937523144379429E-2</v>
      </c>
      <c r="N7">
        <v>0</v>
      </c>
      <c r="O7">
        <v>1.3527397260273971E-2</v>
      </c>
      <c r="R7">
        <v>4.8698630136986284E-4</v>
      </c>
      <c r="T7">
        <v>1.2500000000000002E-3</v>
      </c>
      <c r="U7">
        <v>1.5000000000000008E-2</v>
      </c>
    </row>
    <row r="8" spans="2:21" hidden="1" x14ac:dyDescent="0.35">
      <c r="B8" t="s">
        <v>44</v>
      </c>
      <c r="C8">
        <v>0.27812328767123284</v>
      </c>
      <c r="D8">
        <v>0.14710000000000001</v>
      </c>
      <c r="E8">
        <v>0.35569689779172942</v>
      </c>
      <c r="F8">
        <v>4.602032753659701E-2</v>
      </c>
      <c r="G8">
        <v>0.35646531506849305</v>
      </c>
      <c r="H8">
        <v>0.20154671232876717</v>
      </c>
      <c r="I8">
        <v>0.12537489760768694</v>
      </c>
      <c r="J8">
        <v>0.11903000000000001</v>
      </c>
      <c r="K8">
        <v>4.785961669209142E-2</v>
      </c>
      <c r="L8">
        <v>0.11924900222008619</v>
      </c>
      <c r="M8">
        <v>0.25298337506441798</v>
      </c>
      <c r="N8">
        <v>0.14531506849315071</v>
      </c>
      <c r="O8">
        <v>0.16060410958904112</v>
      </c>
      <c r="P8">
        <v>8.6670000000000025E-2</v>
      </c>
      <c r="Q8">
        <v>0.1471780821917808</v>
      </c>
      <c r="R8">
        <v>0.16093273972602745</v>
      </c>
      <c r="S8">
        <v>0.13469155632170379</v>
      </c>
      <c r="T8">
        <v>0.19525000000000006</v>
      </c>
      <c r="U8">
        <v>0.15752500000000003</v>
      </c>
    </row>
    <row r="9" spans="2:21" hidden="1" x14ac:dyDescent="0.35">
      <c r="B9" t="s">
        <v>40</v>
      </c>
      <c r="C9">
        <v>0.110058904109589</v>
      </c>
      <c r="D9">
        <v>3.0000000000000009E-2</v>
      </c>
      <c r="E9">
        <v>0.20800988174954926</v>
      </c>
      <c r="G9">
        <v>0.1298630136986301</v>
      </c>
      <c r="H9">
        <v>4.8633698630137001E-2</v>
      </c>
      <c r="I9">
        <v>3.5218602130549961E-2</v>
      </c>
      <c r="J9">
        <v>3.302999999999999E-2</v>
      </c>
      <c r="K9">
        <v>9.8679622045549312E-3</v>
      </c>
      <c r="L9">
        <v>2.4998971360913572E-2</v>
      </c>
      <c r="M9">
        <v>7.183561643835619E-2</v>
      </c>
      <c r="N9">
        <v>5.6000000000000015E-2</v>
      </c>
      <c r="O9">
        <v>5.1335616438356171E-2</v>
      </c>
      <c r="Q9">
        <v>0.13635616438356163</v>
      </c>
      <c r="R9">
        <v>6.9152054794520523E-2</v>
      </c>
      <c r="S9">
        <v>6.0749999999999992E-2</v>
      </c>
      <c r="T9">
        <v>7.4999999999999983E-2</v>
      </c>
      <c r="U9">
        <v>9.0000000000000024E-2</v>
      </c>
    </row>
    <row r="10" spans="2:21" hidden="1" x14ac:dyDescent="0.35">
      <c r="B10" t="s">
        <v>41</v>
      </c>
      <c r="C10">
        <v>0.1103835616438356</v>
      </c>
      <c r="D10">
        <v>0.10000000000000002</v>
      </c>
      <c r="G10">
        <v>9.1986301369862994E-2</v>
      </c>
      <c r="H10">
        <v>7.0071917808219197E-2</v>
      </c>
      <c r="I10">
        <v>6.4870392956593623E-2</v>
      </c>
      <c r="J10">
        <v>3.6000000000000004E-2</v>
      </c>
      <c r="K10">
        <v>2.4669905511387327E-2</v>
      </c>
      <c r="M10">
        <v>9.8068306571267291E-2</v>
      </c>
      <c r="N10">
        <v>4.8000000000000001E-2</v>
      </c>
      <c r="O10">
        <v>8.8835616438356149E-2</v>
      </c>
      <c r="P10">
        <v>8.1000000000000016E-2</v>
      </c>
      <c r="R10">
        <v>6.9054657534246583E-2</v>
      </c>
      <c r="S10">
        <v>6.3941556321703785E-2</v>
      </c>
      <c r="T10">
        <v>5.000000000000001E-2</v>
      </c>
    </row>
    <row r="11" spans="2:21" hidden="1" x14ac:dyDescent="0.35">
      <c r="B11" t="s">
        <v>42</v>
      </c>
      <c r="C11">
        <v>9.6315068493150711E-3</v>
      </c>
      <c r="D11">
        <v>1.7100000000000004E-2</v>
      </c>
      <c r="E11">
        <v>1.0400494087477462E-2</v>
      </c>
      <c r="F11">
        <v>3.3499999999999988E-2</v>
      </c>
      <c r="G11">
        <v>9.1328328767123282E-2</v>
      </c>
      <c r="H11">
        <v>2.602602739726028E-2</v>
      </c>
      <c r="I11">
        <v>1.6310839396951601E-2</v>
      </c>
      <c r="J11">
        <v>3.0000000000000009E-2</v>
      </c>
      <c r="K11">
        <v>9.8679622045549334E-4</v>
      </c>
      <c r="M11">
        <v>2.0613698630136991E-2</v>
      </c>
      <c r="N11">
        <v>1.2E-2</v>
      </c>
      <c r="O11">
        <v>4.1999999999999997E-3</v>
      </c>
      <c r="P11">
        <v>5.6699999999999997E-3</v>
      </c>
      <c r="R11">
        <v>1.2986301369863012E-2</v>
      </c>
      <c r="T11">
        <v>6.8999999999999978E-2</v>
      </c>
      <c r="U11">
        <v>2.7525000000000011E-2</v>
      </c>
    </row>
    <row r="12" spans="2:21" hidden="1" x14ac:dyDescent="0.35">
      <c r="B12" t="s">
        <v>43</v>
      </c>
      <c r="C12">
        <v>4.8049315068493172E-2</v>
      </c>
      <c r="E12">
        <v>0.13728652195470251</v>
      </c>
      <c r="F12">
        <v>1.2520327536597004E-2</v>
      </c>
      <c r="G12">
        <v>4.3287671232876697E-2</v>
      </c>
      <c r="H12">
        <v>5.6815068493150676E-2</v>
      </c>
      <c r="I12">
        <v>8.975063123591762E-3</v>
      </c>
      <c r="J12">
        <v>2.0000000000000004E-2</v>
      </c>
      <c r="K12">
        <v>1.2334952755693664E-2</v>
      </c>
      <c r="L12">
        <v>9.4250030859172565E-2</v>
      </c>
      <c r="M12">
        <v>6.2465753424657544E-2</v>
      </c>
      <c r="N12">
        <v>2.9315068493150687E-2</v>
      </c>
      <c r="O12">
        <v>1.6232876712328762E-2</v>
      </c>
      <c r="Q12">
        <v>1.0821917808219176E-2</v>
      </c>
      <c r="R12">
        <v>9.739726027397257E-3</v>
      </c>
      <c r="S12">
        <v>1.0000000000000002E-2</v>
      </c>
      <c r="T12">
        <v>1.2500000000000002E-3</v>
      </c>
      <c r="U12">
        <v>4.0000000000000008E-2</v>
      </c>
    </row>
    <row r="13" spans="2:21" hidden="1" x14ac:dyDescent="0.35"/>
    <row r="14" spans="2:21" hidden="1" x14ac:dyDescent="0.35">
      <c r="B14" t="s">
        <v>5</v>
      </c>
      <c r="C14">
        <v>8.2191780821917804E-2</v>
      </c>
      <c r="D14">
        <v>0.16438356164383561</v>
      </c>
      <c r="E14">
        <v>8.2191780821917804E-2</v>
      </c>
      <c r="F14">
        <v>0</v>
      </c>
      <c r="G14">
        <v>8.2191780821917804E-2</v>
      </c>
      <c r="H14">
        <v>8.2191780821917804E-2</v>
      </c>
      <c r="I14">
        <v>0.13608393969515983</v>
      </c>
      <c r="J14">
        <v>0.16438356164383566</v>
      </c>
      <c r="K14">
        <v>0.16438356164383555</v>
      </c>
      <c r="L14">
        <v>0</v>
      </c>
      <c r="M14">
        <v>4.1095890410958909E-2</v>
      </c>
      <c r="N14">
        <v>8.2191780821917804E-2</v>
      </c>
      <c r="O14">
        <v>8.2191780821917776E-2</v>
      </c>
      <c r="P14">
        <v>0.16438356164383561</v>
      </c>
      <c r="Q14">
        <v>8.2191780821917762E-2</v>
      </c>
      <c r="R14">
        <v>8.2191780821917776E-2</v>
      </c>
      <c r="S14">
        <v>4.1095890410958902E-2</v>
      </c>
      <c r="T14">
        <v>8.2191780821917804E-2</v>
      </c>
      <c r="U14">
        <v>8.2191780821917776E-2</v>
      </c>
    </row>
    <row r="15" spans="2:21" hidden="1" x14ac:dyDescent="0.35">
      <c r="B15" t="s">
        <v>4</v>
      </c>
      <c r="C15">
        <v>3.8356164383561632E-2</v>
      </c>
      <c r="D15">
        <v>5.4794520547945202E-2</v>
      </c>
      <c r="E15">
        <v>0.1095890410958904</v>
      </c>
      <c r="F15">
        <v>4.1095890410958909E-2</v>
      </c>
      <c r="G15">
        <v>4.1095890410958902E-2</v>
      </c>
      <c r="H15">
        <v>3.8356164383561632E-2</v>
      </c>
      <c r="I15">
        <v>4.1095890410958888E-2</v>
      </c>
      <c r="J15">
        <v>4.1095890410958916E-2</v>
      </c>
      <c r="K15">
        <v>5.4794520547945202E-2</v>
      </c>
      <c r="L15">
        <v>3.8356164383561632E-2</v>
      </c>
      <c r="M15">
        <v>3.8356164383561632E-2</v>
      </c>
      <c r="N15">
        <v>8.2191780821917804E-2</v>
      </c>
      <c r="O15">
        <v>8.2191780821917776E-2</v>
      </c>
      <c r="P15">
        <v>8.2191780821917804E-2</v>
      </c>
      <c r="Q15">
        <v>3.2876712328767113E-2</v>
      </c>
      <c r="R15">
        <v>4.9315068493150697E-2</v>
      </c>
      <c r="S15">
        <v>6.5753424657534226E-2</v>
      </c>
      <c r="T15">
        <v>5.7534246575342472E-2</v>
      </c>
      <c r="U15">
        <v>5.205479452054794E-2</v>
      </c>
    </row>
    <row r="16" spans="2:21" hidden="1" x14ac:dyDescent="0.35">
      <c r="B16" t="s">
        <v>45</v>
      </c>
      <c r="C16">
        <v>0.41095890410958902</v>
      </c>
      <c r="D16">
        <v>0.41095890410958902</v>
      </c>
      <c r="E16">
        <v>0.15780821917808213</v>
      </c>
      <c r="F16">
        <v>0.41095890410958902</v>
      </c>
      <c r="G16">
        <v>0.30136986301369867</v>
      </c>
      <c r="H16">
        <v>0.29041095890410956</v>
      </c>
      <c r="I16">
        <v>0.41095890410958902</v>
      </c>
      <c r="J16">
        <v>0.41095890410958902</v>
      </c>
      <c r="K16">
        <v>0.41095890410958902</v>
      </c>
      <c r="L16">
        <v>0.19178082191780815</v>
      </c>
      <c r="M16">
        <v>0.52054794520547942</v>
      </c>
      <c r="N16">
        <v>0.3561643835616437</v>
      </c>
      <c r="O16">
        <v>0.32602739726027402</v>
      </c>
      <c r="P16">
        <v>0.61643835616438369</v>
      </c>
      <c r="Q16">
        <v>0.20547945205479451</v>
      </c>
      <c r="R16">
        <v>0.31506849315068491</v>
      </c>
      <c r="S16">
        <v>0.41095890410958902</v>
      </c>
      <c r="T16">
        <v>0.49041095890410952</v>
      </c>
      <c r="U16">
        <v>0.41095890410958902</v>
      </c>
    </row>
    <row r="17" spans="1:21" hidden="1" x14ac:dyDescent="0.35">
      <c r="B17" t="s">
        <v>46</v>
      </c>
      <c r="C17">
        <v>0.16438356164383561</v>
      </c>
      <c r="D17">
        <v>0.24657534246575347</v>
      </c>
      <c r="E17">
        <v>0.11506849315068494</v>
      </c>
      <c r="F17">
        <v>8.2191780821917818E-2</v>
      </c>
      <c r="G17">
        <v>2.0547945205479451E-2</v>
      </c>
      <c r="H17">
        <v>8.2191780821917804E-2</v>
      </c>
      <c r="I17">
        <v>0</v>
      </c>
      <c r="J17">
        <v>0</v>
      </c>
      <c r="K17">
        <v>8.2191780821917776E-2</v>
      </c>
      <c r="L17">
        <v>7.6712328767123264E-2</v>
      </c>
      <c r="M17">
        <v>0</v>
      </c>
      <c r="N17">
        <v>0</v>
      </c>
      <c r="O17">
        <v>0</v>
      </c>
      <c r="P17">
        <v>0</v>
      </c>
      <c r="Q17">
        <v>0.12328767123287673</v>
      </c>
      <c r="R17">
        <v>7.6712328767123264E-2</v>
      </c>
      <c r="S17">
        <v>0</v>
      </c>
      <c r="T17">
        <v>0</v>
      </c>
      <c r="U17">
        <v>0</v>
      </c>
    </row>
    <row r="18" spans="1:21" hidden="1" x14ac:dyDescent="0.35"/>
    <row r="19" spans="1:21" hidden="1" x14ac:dyDescent="0.35">
      <c r="B19" t="s">
        <v>47</v>
      </c>
      <c r="C19">
        <v>8.2191780821917804E-2</v>
      </c>
      <c r="D19">
        <v>8.2191780821917804E-2</v>
      </c>
      <c r="E19">
        <v>3.1561643835616424E-2</v>
      </c>
      <c r="F19">
        <v>8.2191780821917804E-2</v>
      </c>
      <c r="G19">
        <v>6.0273972602739735E-2</v>
      </c>
      <c r="H19">
        <v>5.8082191780821912E-2</v>
      </c>
      <c r="I19">
        <v>8.2191780821917804E-2</v>
      </c>
      <c r="J19">
        <v>8.2191780821917804E-2</v>
      </c>
      <c r="K19">
        <v>8.2191780821917804E-2</v>
      </c>
      <c r="L19">
        <v>3.8356164383561632E-2</v>
      </c>
      <c r="M19">
        <v>0.10410958904109588</v>
      </c>
      <c r="N19">
        <v>7.1232876712328697E-2</v>
      </c>
      <c r="O19">
        <v>6.5205479452054793E-2</v>
      </c>
      <c r="P19">
        <v>0.12328767123287673</v>
      </c>
      <c r="Q19">
        <v>4.1095890410958902E-2</v>
      </c>
      <c r="R19">
        <v>6.3013698630136977E-2</v>
      </c>
      <c r="S19">
        <v>8.2191780821917804E-2</v>
      </c>
      <c r="T19">
        <v>9.8082191780821906E-2</v>
      </c>
      <c r="U19">
        <v>8.2191780821917804E-2</v>
      </c>
    </row>
    <row r="20" spans="1:21" hidden="1" x14ac:dyDescent="0.35">
      <c r="B20" t="s">
        <v>48</v>
      </c>
      <c r="C20">
        <v>3.287671232876712E-2</v>
      </c>
      <c r="D20">
        <v>4.9315068493150691E-2</v>
      </c>
      <c r="E20">
        <v>2.301369863013699E-2</v>
      </c>
      <c r="F20">
        <v>1.6438356164383564E-2</v>
      </c>
      <c r="G20">
        <v>4.10958904109589E-3</v>
      </c>
      <c r="H20">
        <v>1.643835616438356E-2</v>
      </c>
      <c r="I20">
        <v>0</v>
      </c>
      <c r="J20">
        <v>0</v>
      </c>
      <c r="K20">
        <v>1.6438356164383557E-2</v>
      </c>
      <c r="L20">
        <v>1.5342465753424652E-2</v>
      </c>
      <c r="M20">
        <v>0</v>
      </c>
      <c r="N20">
        <v>0</v>
      </c>
      <c r="O20">
        <v>0</v>
      </c>
      <c r="P20">
        <v>0</v>
      </c>
      <c r="Q20">
        <v>2.4657534246575345E-2</v>
      </c>
      <c r="R20">
        <v>1.5342465753424652E-2</v>
      </c>
      <c r="S20">
        <v>0</v>
      </c>
      <c r="T20">
        <v>0</v>
      </c>
      <c r="U20">
        <v>0</v>
      </c>
    </row>
    <row r="21" spans="1:21" hidden="1" x14ac:dyDescent="0.35"/>
    <row r="22" spans="1:21" x14ac:dyDescent="0.35">
      <c r="B22" s="5" t="s">
        <v>49</v>
      </c>
    </row>
    <row r="24" spans="1:21" x14ac:dyDescent="0.35">
      <c r="B24" s="905"/>
      <c r="C24" s="911" t="s">
        <v>2</v>
      </c>
      <c r="D24" s="911" t="s">
        <v>3</v>
      </c>
      <c r="E24" s="911" t="s">
        <v>4</v>
      </c>
      <c r="F24" s="911" t="s">
        <v>5</v>
      </c>
      <c r="G24" s="915" t="s">
        <v>6</v>
      </c>
      <c r="H24" s="915"/>
      <c r="I24" s="911" t="s">
        <v>7</v>
      </c>
      <c r="J24" s="911" t="s">
        <v>8</v>
      </c>
    </row>
    <row r="25" spans="1:21" x14ac:dyDescent="0.35">
      <c r="B25" s="906"/>
      <c r="C25" s="912"/>
      <c r="D25" s="912"/>
      <c r="E25" s="912"/>
      <c r="F25" s="912"/>
      <c r="G25" s="459" t="s">
        <v>9</v>
      </c>
      <c r="H25" s="459" t="s">
        <v>10</v>
      </c>
      <c r="I25" s="912"/>
      <c r="J25" s="912"/>
    </row>
    <row r="26" spans="1:21" x14ac:dyDescent="0.35">
      <c r="A26" s="193"/>
      <c r="B26" t="s">
        <v>11</v>
      </c>
      <c r="C26" s="3">
        <v>0.19858219178082198</v>
      </c>
      <c r="D26" s="3">
        <v>0.27812328767123284</v>
      </c>
      <c r="E26" s="3">
        <v>3.8356164383561632E-2</v>
      </c>
      <c r="F26" s="3">
        <v>8.2191780821917804E-2</v>
      </c>
      <c r="G26" s="3">
        <v>8.2191780821917804E-2</v>
      </c>
      <c r="H26" s="3">
        <v>3.287671232876712E-2</v>
      </c>
      <c r="I26" s="3">
        <v>0.71232191780821918</v>
      </c>
      <c r="J26" s="91">
        <v>0.47</v>
      </c>
      <c r="K26" s="193"/>
    </row>
    <row r="27" spans="1:21" x14ac:dyDescent="0.35">
      <c r="B27" t="s">
        <v>12</v>
      </c>
      <c r="C27" s="9">
        <v>9.1679407564991822E-2</v>
      </c>
      <c r="D27" s="9">
        <v>0.35569689779172942</v>
      </c>
      <c r="E27" s="9">
        <v>0.1095890410958904</v>
      </c>
      <c r="F27" s="9">
        <v>8.2191780821917804E-2</v>
      </c>
      <c r="G27" s="9">
        <v>3.1561643835616424E-2</v>
      </c>
      <c r="H27" s="9">
        <v>2.301369863013699E-2</v>
      </c>
      <c r="I27" s="9">
        <v>0.69373246974028291</v>
      </c>
      <c r="J27" s="3">
        <v>0.47</v>
      </c>
    </row>
    <row r="28" spans="1:21" x14ac:dyDescent="0.35">
      <c r="B28" t="s">
        <v>14</v>
      </c>
      <c r="C28" s="9">
        <v>0.19887166665976036</v>
      </c>
      <c r="D28" s="9">
        <v>0.19525000000000006</v>
      </c>
      <c r="E28" s="9">
        <v>5.7534246575342472E-2</v>
      </c>
      <c r="F28" s="9">
        <v>8.2191780821917804E-2</v>
      </c>
      <c r="G28" s="9">
        <v>9.8082191780821906E-2</v>
      </c>
      <c r="H28" s="9">
        <v>0</v>
      </c>
      <c r="I28" s="9">
        <v>0.6319298858378426</v>
      </c>
      <c r="J28" s="3">
        <v>0.47</v>
      </c>
    </row>
    <row r="29" spans="1:21" x14ac:dyDescent="0.35">
      <c r="B29" t="s">
        <v>13</v>
      </c>
      <c r="C29" s="9">
        <v>0.12709999999999999</v>
      </c>
      <c r="D29" s="9">
        <v>0.14710000000000001</v>
      </c>
      <c r="E29" s="9">
        <v>5.4794520547945202E-2</v>
      </c>
      <c r="F29" s="9">
        <v>0.16438356164383561</v>
      </c>
      <c r="G29" s="9">
        <v>8.2191780821917804E-2</v>
      </c>
      <c r="H29" s="9">
        <v>4.9315068493150691E-2</v>
      </c>
      <c r="I29" s="9">
        <v>0.62488493150684932</v>
      </c>
      <c r="J29" s="3">
        <v>0.47</v>
      </c>
    </row>
    <row r="30" spans="1:21" x14ac:dyDescent="0.35">
      <c r="B30" t="s">
        <v>15</v>
      </c>
      <c r="C30" s="9">
        <v>7.2522161871009863E-2</v>
      </c>
      <c r="D30" s="9">
        <v>0.35646531506849305</v>
      </c>
      <c r="E30" s="9">
        <v>4.1095890410958902E-2</v>
      </c>
      <c r="F30" s="9">
        <v>8.2191780821917804E-2</v>
      </c>
      <c r="G30" s="9">
        <v>6.0273972602739735E-2</v>
      </c>
      <c r="H30" s="9">
        <v>4.10958904109589E-3</v>
      </c>
      <c r="I30" s="9">
        <v>0.61665870981621518</v>
      </c>
      <c r="J30" s="3">
        <v>0.47</v>
      </c>
    </row>
    <row r="31" spans="1:21" x14ac:dyDescent="0.35">
      <c r="B31" t="s">
        <v>16</v>
      </c>
      <c r="C31" s="9">
        <v>0.11699999999999997</v>
      </c>
      <c r="D31" s="9">
        <v>8.6670000000000025E-2</v>
      </c>
      <c r="E31" s="9">
        <v>8.2191780821917804E-2</v>
      </c>
      <c r="F31" s="9">
        <v>0.16438356164383561</v>
      </c>
      <c r="G31" s="9">
        <v>0.12328767123287673</v>
      </c>
      <c r="H31" s="9">
        <v>0</v>
      </c>
      <c r="I31" s="9">
        <v>0.57353301369863019</v>
      </c>
      <c r="J31" s="3">
        <v>0.47</v>
      </c>
    </row>
    <row r="32" spans="1:21" x14ac:dyDescent="0.35">
      <c r="B32" t="s">
        <v>19</v>
      </c>
      <c r="C32" s="9">
        <v>0.12294520547945206</v>
      </c>
      <c r="D32" s="9">
        <v>0.16060410958904112</v>
      </c>
      <c r="E32" s="9">
        <v>8.2191780821917776E-2</v>
      </c>
      <c r="F32" s="9">
        <v>8.2191780821917776E-2</v>
      </c>
      <c r="G32" s="9">
        <v>6.5205479452054793E-2</v>
      </c>
      <c r="H32" s="9">
        <v>0</v>
      </c>
      <c r="I32" s="9">
        <v>0.51313835616438352</v>
      </c>
      <c r="J32" s="3">
        <v>0.47</v>
      </c>
    </row>
    <row r="33" spans="1:11" x14ac:dyDescent="0.35">
      <c r="B33" t="s">
        <v>17</v>
      </c>
      <c r="C33" s="9">
        <v>0.10735993230119259</v>
      </c>
      <c r="D33" s="9">
        <v>0.12537489760768694</v>
      </c>
      <c r="E33" s="9">
        <v>4.1095890410958888E-2</v>
      </c>
      <c r="F33" s="9">
        <v>0.13608393969515983</v>
      </c>
      <c r="G33" s="9">
        <v>8.2191780821917804E-2</v>
      </c>
      <c r="H33" s="9">
        <v>0</v>
      </c>
      <c r="I33" s="9">
        <v>0.49210644083691601</v>
      </c>
      <c r="J33" s="3">
        <v>0.47</v>
      </c>
    </row>
    <row r="34" spans="1:11" x14ac:dyDescent="0.35">
      <c r="B34" t="s">
        <v>18</v>
      </c>
      <c r="C34" s="9">
        <v>6.9465890410958894E-2</v>
      </c>
      <c r="D34" s="9">
        <v>0.20154671232876717</v>
      </c>
      <c r="E34" s="9">
        <v>3.8356164383561632E-2</v>
      </c>
      <c r="F34" s="9">
        <v>8.2191780821917804E-2</v>
      </c>
      <c r="G34" s="9">
        <v>5.8082191780821912E-2</v>
      </c>
      <c r="H34" s="9">
        <v>1.643835616438356E-2</v>
      </c>
      <c r="I34" s="9">
        <v>0.46608109589041097</v>
      </c>
      <c r="J34" s="3">
        <v>0.47</v>
      </c>
    </row>
    <row r="35" spans="1:11" x14ac:dyDescent="0.35">
      <c r="B35" t="s">
        <v>24</v>
      </c>
      <c r="C35" s="11">
        <v>2.5723726792496716E-2</v>
      </c>
      <c r="D35" s="11">
        <v>0.25298337506441798</v>
      </c>
      <c r="E35" s="11">
        <v>3.8356164383561632E-2</v>
      </c>
      <c r="F35" s="11">
        <v>4.1095890410958909E-2</v>
      </c>
      <c r="G35" s="11">
        <v>0.10410958904109588</v>
      </c>
      <c r="H35" s="11">
        <v>0</v>
      </c>
      <c r="I35" s="11">
        <v>0.46226874569253118</v>
      </c>
      <c r="J35" s="12">
        <v>0.47</v>
      </c>
    </row>
    <row r="36" spans="1:11" x14ac:dyDescent="0.35">
      <c r="B36" t="s">
        <v>21</v>
      </c>
      <c r="C36" s="11">
        <v>4.4470000000000003E-2</v>
      </c>
      <c r="D36" s="11">
        <v>0.11903000000000001</v>
      </c>
      <c r="E36" s="11">
        <v>4.1095890410958916E-2</v>
      </c>
      <c r="F36" s="11">
        <v>0.16438356164383566</v>
      </c>
      <c r="G36" s="11">
        <v>8.2191780821917804E-2</v>
      </c>
      <c r="H36" s="11">
        <v>0</v>
      </c>
      <c r="I36" s="11">
        <v>0.4511712328767124</v>
      </c>
      <c r="J36" s="12">
        <v>0.47</v>
      </c>
    </row>
    <row r="37" spans="1:11" x14ac:dyDescent="0.35">
      <c r="B37" t="s">
        <v>22</v>
      </c>
      <c r="C37" s="11">
        <v>6.0000000000000032E-2</v>
      </c>
      <c r="D37" s="11">
        <v>0.15752500000000003</v>
      </c>
      <c r="E37" s="11">
        <v>5.205479452054794E-2</v>
      </c>
      <c r="F37" s="11">
        <v>8.2191780821917776E-2</v>
      </c>
      <c r="G37" s="11">
        <v>8.2191780821917804E-2</v>
      </c>
      <c r="H37" s="11">
        <v>0</v>
      </c>
      <c r="I37" s="13">
        <v>0.43396335616438353</v>
      </c>
      <c r="J37" s="12">
        <v>0.47</v>
      </c>
    </row>
    <row r="38" spans="1:11" x14ac:dyDescent="0.35">
      <c r="B38" t="s">
        <v>23</v>
      </c>
      <c r="C38" s="11">
        <v>0.05</v>
      </c>
      <c r="D38" s="11">
        <v>0.14531506849315071</v>
      </c>
      <c r="E38" s="11">
        <v>8.2191780821917804E-2</v>
      </c>
      <c r="F38" s="11">
        <v>8.2191780821917804E-2</v>
      </c>
      <c r="G38" s="11">
        <v>7.1232876712328697E-2</v>
      </c>
      <c r="H38" s="11">
        <v>0</v>
      </c>
      <c r="I38" s="13">
        <v>0.43093150684931503</v>
      </c>
      <c r="J38" s="12">
        <v>0.47</v>
      </c>
    </row>
    <row r="39" spans="1:11" x14ac:dyDescent="0.35">
      <c r="B39" t="s">
        <v>26</v>
      </c>
      <c r="C39" s="11">
        <v>5.8048767123287673E-2</v>
      </c>
      <c r="D39" s="11">
        <v>0.16093273972602745</v>
      </c>
      <c r="E39" s="11">
        <v>4.9315068493150697E-2</v>
      </c>
      <c r="F39" s="11">
        <v>8.2191780821917776E-2</v>
      </c>
      <c r="G39" s="11">
        <v>6.3013698630136977E-2</v>
      </c>
      <c r="H39" s="11">
        <v>1.5342465753424652E-2</v>
      </c>
      <c r="I39" s="13">
        <v>0.42884452054794514</v>
      </c>
      <c r="J39" s="12">
        <v>0.47</v>
      </c>
    </row>
    <row r="40" spans="1:11" x14ac:dyDescent="0.35">
      <c r="B40" t="s">
        <v>20</v>
      </c>
      <c r="C40" s="11">
        <v>8.7657534246575311E-2</v>
      </c>
      <c r="D40" s="11">
        <v>0.1471780821917808</v>
      </c>
      <c r="E40" s="11">
        <v>3.2876712328767113E-2</v>
      </c>
      <c r="F40" s="11">
        <v>8.2191780821917762E-2</v>
      </c>
      <c r="G40" s="11">
        <v>4.1095890410958902E-2</v>
      </c>
      <c r="H40" s="11">
        <v>2.4657534246575345E-2</v>
      </c>
      <c r="I40" s="13">
        <v>0.4156575342465752</v>
      </c>
      <c r="J40" s="12">
        <v>0.47</v>
      </c>
    </row>
    <row r="41" spans="1:11" x14ac:dyDescent="0.35">
      <c r="B41" t="s">
        <v>25</v>
      </c>
      <c r="C41" s="9">
        <v>8.1826622528681531E-2</v>
      </c>
      <c r="D41" s="9">
        <v>0.13469155632170379</v>
      </c>
      <c r="E41" s="9">
        <v>6.5753424657534226E-2</v>
      </c>
      <c r="F41" s="9">
        <v>4.1095890410958902E-2</v>
      </c>
      <c r="G41" s="9">
        <v>8.2191780821917804E-2</v>
      </c>
      <c r="H41" s="9">
        <v>0</v>
      </c>
      <c r="I41" s="9">
        <v>0.40555927474079628</v>
      </c>
      <c r="J41" s="3">
        <v>0.47</v>
      </c>
    </row>
    <row r="42" spans="1:11" x14ac:dyDescent="0.35">
      <c r="B42" t="s">
        <v>27</v>
      </c>
      <c r="C42" s="9">
        <v>2.4669905511387327E-2</v>
      </c>
      <c r="D42" s="9">
        <v>4.785961669209142E-2</v>
      </c>
      <c r="E42" s="9">
        <v>5.4794520547945202E-2</v>
      </c>
      <c r="F42" s="9">
        <v>0.16438356164383555</v>
      </c>
      <c r="G42" s="9">
        <v>8.2191780821917804E-2</v>
      </c>
      <c r="H42" s="9">
        <v>1.6438356164383557E-2</v>
      </c>
      <c r="I42" s="9">
        <v>0.39033774138156085</v>
      </c>
      <c r="J42" s="3">
        <v>0.47</v>
      </c>
    </row>
    <row r="43" spans="1:11" x14ac:dyDescent="0.35">
      <c r="B43" t="s">
        <v>28</v>
      </c>
      <c r="C43" s="9">
        <v>0.18960348742778027</v>
      </c>
      <c r="D43" s="9">
        <v>4.602032753659701E-2</v>
      </c>
      <c r="E43" s="9">
        <v>4.1095890410958909E-2</v>
      </c>
      <c r="F43" s="9">
        <v>0</v>
      </c>
      <c r="G43" s="9">
        <v>8.2191780821917804E-2</v>
      </c>
      <c r="H43" s="9">
        <v>1.6438356164383564E-2</v>
      </c>
      <c r="I43" s="9">
        <v>0.37534984236163754</v>
      </c>
      <c r="J43" s="3">
        <v>0.47</v>
      </c>
    </row>
    <row r="44" spans="1:11" x14ac:dyDescent="0.35">
      <c r="B44" t="s">
        <v>29</v>
      </c>
      <c r="C44" s="9">
        <v>6.6936494505293015E-2</v>
      </c>
      <c r="D44" s="9">
        <v>0.11924900222008619</v>
      </c>
      <c r="E44" s="9">
        <v>3.8356164383561632E-2</v>
      </c>
      <c r="F44" s="9">
        <v>0</v>
      </c>
      <c r="G44" s="9">
        <v>3.8356164383561632E-2</v>
      </c>
      <c r="H44" s="9">
        <v>1.5342465753424652E-2</v>
      </c>
      <c r="I44" s="9">
        <v>0.27824029124592708</v>
      </c>
      <c r="J44" s="3">
        <v>0.47</v>
      </c>
    </row>
    <row r="45" spans="1:11" x14ac:dyDescent="0.35">
      <c r="B45" t="s">
        <v>30</v>
      </c>
      <c r="C45" s="3">
        <v>9.0069550010344293E-2</v>
      </c>
      <c r="D45" s="3">
        <v>0.10476030901090666</v>
      </c>
      <c r="E45" s="3">
        <v>0</v>
      </c>
      <c r="F45" s="3">
        <v>3.7433155080213901E-2</v>
      </c>
      <c r="G45" s="3">
        <v>3.8888888888888896E-2</v>
      </c>
      <c r="H45" s="3">
        <v>0</v>
      </c>
      <c r="I45" s="1">
        <v>0.27115190299035374</v>
      </c>
      <c r="J45" s="3">
        <v>0.47</v>
      </c>
    </row>
    <row r="46" spans="1:11" x14ac:dyDescent="0.35">
      <c r="A46" s="176"/>
      <c r="B46" s="176" t="s">
        <v>31</v>
      </c>
      <c r="C46" s="92">
        <v>5.6000000000000001E-2</v>
      </c>
      <c r="D46" s="92">
        <v>8.2000000000000003E-2</v>
      </c>
      <c r="E46" s="92">
        <v>0</v>
      </c>
      <c r="F46" s="92">
        <v>3.7433155080213901E-2</v>
      </c>
      <c r="G46" s="92">
        <v>6.25E-2</v>
      </c>
      <c r="H46" s="92">
        <v>0</v>
      </c>
      <c r="I46" s="194">
        <v>0.22548977877303394</v>
      </c>
      <c r="J46" s="92">
        <v>0.47</v>
      </c>
      <c r="K46" s="176"/>
    </row>
    <row r="72" spans="2:13" x14ac:dyDescent="0.35">
      <c r="B72" s="8" t="s">
        <v>32</v>
      </c>
    </row>
    <row r="73" spans="2:13" ht="15" customHeight="1" x14ac:dyDescent="0.35">
      <c r="B73" s="913" t="s">
        <v>33</v>
      </c>
      <c r="C73" s="913"/>
      <c r="D73" s="913"/>
      <c r="E73" s="913"/>
      <c r="F73" s="913"/>
      <c r="G73" s="913"/>
      <c r="H73" s="913"/>
      <c r="I73" s="10"/>
      <c r="J73" s="10"/>
      <c r="K73" s="10"/>
      <c r="L73" s="10"/>
      <c r="M73" s="10"/>
    </row>
    <row r="74" spans="2:13" x14ac:dyDescent="0.35">
      <c r="B74" s="913"/>
      <c r="C74" s="913"/>
      <c r="D74" s="913"/>
      <c r="E74" s="913"/>
      <c r="F74" s="913"/>
      <c r="G74" s="913"/>
      <c r="H74" s="913"/>
    </row>
  </sheetData>
  <sortState xmlns:xlrd2="http://schemas.microsoft.com/office/spreadsheetml/2017/richdata2" ref="B26:I46">
    <sortCondition descending="1" ref="I26:I46"/>
  </sortState>
  <mergeCells count="9">
    <mergeCell ref="I24:I25"/>
    <mergeCell ref="J24:J25"/>
    <mergeCell ref="B73:H74"/>
    <mergeCell ref="B24:B25"/>
    <mergeCell ref="C24:C25"/>
    <mergeCell ref="D24:D25"/>
    <mergeCell ref="E24:E25"/>
    <mergeCell ref="F24:F25"/>
    <mergeCell ref="G24:H24"/>
  </mergeCells>
  <pageMargins left="0.7" right="0.7" top="0.75" bottom="0.75" header="0.3" footer="0.3"/>
  <pageSetup orientation="portrait" verticalDpi="0" r:id="rId1"/>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B70239-95CD-4AD2-9E52-B720550AA10C}">
  <dimension ref="A1:X57"/>
  <sheetViews>
    <sheetView showGridLines="0" topLeftCell="A32" zoomScale="39" zoomScaleNormal="25" workbookViewId="0">
      <selection activeCell="T53" sqref="T53"/>
    </sheetView>
  </sheetViews>
  <sheetFormatPr defaultColWidth="9.90625" defaultRowHeight="14.5" x14ac:dyDescent="0.35"/>
  <cols>
    <col min="1" max="2" width="14.7265625" customWidth="1"/>
    <col min="3" max="3" width="13.1796875" customWidth="1"/>
    <col min="6" max="6" width="13.6328125" customWidth="1"/>
    <col min="7" max="7" width="13.453125" customWidth="1"/>
    <col min="8" max="8" width="15.36328125" customWidth="1"/>
    <col min="11" max="11" width="9.90625" customWidth="1"/>
    <col min="13" max="13" width="14.7265625" customWidth="1"/>
    <col min="14" max="14" width="16.08984375" customWidth="1"/>
    <col min="15" max="15" width="15" customWidth="1"/>
    <col min="16" max="16" width="14.7265625" customWidth="1"/>
    <col min="17" max="17" width="13.90625" customWidth="1"/>
    <col min="19" max="19" width="15.26953125" customWidth="1"/>
  </cols>
  <sheetData>
    <row r="1" spans="1:21" ht="18.5" x14ac:dyDescent="0.45">
      <c r="A1" s="21" t="s">
        <v>621</v>
      </c>
      <c r="B1" s="21"/>
    </row>
    <row r="2" spans="1:21" x14ac:dyDescent="0.35">
      <c r="A2" t="s">
        <v>624</v>
      </c>
    </row>
    <row r="4" spans="1:21" s="33" customFormat="1" ht="15" customHeight="1" x14ac:dyDescent="0.35">
      <c r="A4" s="937"/>
      <c r="B4" s="188"/>
      <c r="C4" s="916" t="s">
        <v>68</v>
      </c>
      <c r="D4" s="916"/>
      <c r="E4" s="916"/>
      <c r="F4" s="916"/>
      <c r="G4" s="916"/>
      <c r="H4" s="916"/>
      <c r="I4" s="916"/>
      <c r="J4" s="916"/>
      <c r="K4" s="916"/>
      <c r="L4" s="941"/>
      <c r="M4" s="936" t="s">
        <v>69</v>
      </c>
      <c r="N4" s="937"/>
      <c r="O4" s="940" t="s">
        <v>70</v>
      </c>
      <c r="P4" s="916"/>
      <c r="Q4" s="916"/>
      <c r="R4" s="916"/>
    </row>
    <row r="5" spans="1:21" s="33" customFormat="1" x14ac:dyDescent="0.35">
      <c r="A5" s="985"/>
      <c r="B5" s="932" t="s">
        <v>68</v>
      </c>
      <c r="C5" s="940" t="s">
        <v>72</v>
      </c>
      <c r="D5" s="916"/>
      <c r="E5" s="916"/>
      <c r="F5" s="916"/>
      <c r="G5" s="941"/>
      <c r="H5" s="940" t="s">
        <v>71</v>
      </c>
      <c r="I5" s="916"/>
      <c r="J5" s="916"/>
      <c r="K5" s="916"/>
      <c r="L5" s="941"/>
      <c r="M5" s="938"/>
      <c r="N5" s="939"/>
      <c r="O5" s="940" t="s">
        <v>74</v>
      </c>
      <c r="P5" s="941"/>
      <c r="Q5" s="942" t="s">
        <v>73</v>
      </c>
      <c r="R5" s="943"/>
    </row>
    <row r="6" spans="1:21" s="33" customFormat="1" ht="52" x14ac:dyDescent="0.35">
      <c r="A6" s="939"/>
      <c r="B6" s="934"/>
      <c r="C6" s="458" t="s">
        <v>75</v>
      </c>
      <c r="D6" s="458" t="s">
        <v>76</v>
      </c>
      <c r="E6" s="458" t="s">
        <v>77</v>
      </c>
      <c r="F6" s="458" t="s">
        <v>78</v>
      </c>
      <c r="G6" s="458" t="s">
        <v>79</v>
      </c>
      <c r="H6" s="35" t="s">
        <v>75</v>
      </c>
      <c r="I6" s="458" t="s">
        <v>76</v>
      </c>
      <c r="J6" s="458" t="s">
        <v>77</v>
      </c>
      <c r="K6" s="458" t="s">
        <v>78</v>
      </c>
      <c r="L6" s="458" t="s">
        <v>79</v>
      </c>
      <c r="M6" s="35" t="s">
        <v>5</v>
      </c>
      <c r="N6" s="36" t="s">
        <v>4</v>
      </c>
      <c r="O6" s="35" t="s">
        <v>80</v>
      </c>
      <c r="P6" s="36" t="s">
        <v>81</v>
      </c>
      <c r="Q6" s="458" t="s">
        <v>80</v>
      </c>
      <c r="R6" s="458" t="s">
        <v>81</v>
      </c>
      <c r="S6" s="901" t="s">
        <v>147</v>
      </c>
      <c r="T6" s="901" t="s">
        <v>148</v>
      </c>
    </row>
    <row r="7" spans="1:21" s="23" customFormat="1" x14ac:dyDescent="0.35">
      <c r="A7" s="463" t="s">
        <v>11</v>
      </c>
      <c r="B7" s="601">
        <v>0.45407255997371015</v>
      </c>
      <c r="C7" s="37">
        <v>0.18396648044692737</v>
      </c>
      <c r="D7" s="464">
        <v>0.11903713440683536</v>
      </c>
      <c r="E7" s="464">
        <v>6.4929346040092012E-2</v>
      </c>
      <c r="F7" s="464">
        <v>0</v>
      </c>
      <c r="G7" s="464">
        <v>0</v>
      </c>
      <c r="H7" s="37">
        <v>0.27010607952678278</v>
      </c>
      <c r="I7" s="464">
        <v>0.11654817614196517</v>
      </c>
      <c r="J7" s="464">
        <v>8.2135622740716396E-2</v>
      </c>
      <c r="K7" s="464">
        <v>1.0821557673348671E-2</v>
      </c>
      <c r="L7" s="464">
        <v>6.060072297075255E-2</v>
      </c>
      <c r="M7" s="521">
        <v>8.2155767334866903E-2</v>
      </c>
      <c r="N7" s="520">
        <v>3.8339358089604557E-2</v>
      </c>
      <c r="O7" s="521">
        <v>8.2155767334866917E-2</v>
      </c>
      <c r="P7" s="521">
        <v>3.2862306933946761E-2</v>
      </c>
      <c r="Q7" s="465">
        <v>0.41077883667433457</v>
      </c>
      <c r="R7" s="465">
        <v>0.16431153466973381</v>
      </c>
      <c r="S7" s="902">
        <v>0.68958575966699531</v>
      </c>
      <c r="T7" s="903">
        <v>0.24790176617664533</v>
      </c>
      <c r="U7" s="213"/>
    </row>
    <row r="8" spans="1:21" s="23" customFormat="1" x14ac:dyDescent="0.35">
      <c r="A8" s="23" t="s">
        <v>13</v>
      </c>
      <c r="B8" s="602">
        <v>0.2742</v>
      </c>
      <c r="C8" s="39">
        <v>0.12709999999999999</v>
      </c>
      <c r="D8" s="518">
        <v>0.12709999999999999</v>
      </c>
      <c r="E8" s="518">
        <v>0</v>
      </c>
      <c r="F8" s="518">
        <v>0</v>
      </c>
      <c r="G8" s="518">
        <v>0</v>
      </c>
      <c r="H8" s="39">
        <v>0.14710000000000001</v>
      </c>
      <c r="I8" s="518">
        <v>2.9999999999999995E-2</v>
      </c>
      <c r="J8" s="518">
        <v>0.1</v>
      </c>
      <c r="K8" s="518">
        <v>1.7100000000000001E-2</v>
      </c>
      <c r="L8" s="518">
        <v>0</v>
      </c>
      <c r="M8" s="522">
        <v>0.16431153466973381</v>
      </c>
      <c r="N8" s="523">
        <v>5.4770511556577944E-2</v>
      </c>
      <c r="O8" s="522">
        <v>8.2155767334866917E-2</v>
      </c>
      <c r="P8" s="523">
        <v>4.9293460400920149E-2</v>
      </c>
      <c r="Q8" s="61">
        <v>0.41077883667433457</v>
      </c>
      <c r="R8" s="61">
        <v>0.24646730200460074</v>
      </c>
      <c r="S8" s="902">
        <v>0.62473127396209882</v>
      </c>
      <c r="T8" s="903">
        <v>1.0517713542044675</v>
      </c>
      <c r="U8" s="213"/>
    </row>
    <row r="9" spans="1:21" s="23" customFormat="1" x14ac:dyDescent="0.35">
      <c r="A9" s="23" t="s">
        <v>12</v>
      </c>
      <c r="B9" s="602">
        <v>0.46532697995399275</v>
      </c>
      <c r="C9" s="39">
        <v>9.7394019060138018E-2</v>
      </c>
      <c r="D9" s="518">
        <v>9.7394019060138018E-2</v>
      </c>
      <c r="E9" s="518">
        <v>0</v>
      </c>
      <c r="F9" s="518">
        <v>0</v>
      </c>
      <c r="G9" s="518">
        <v>0</v>
      </c>
      <c r="H9" s="39">
        <v>0.36793296089385474</v>
      </c>
      <c r="I9" s="518">
        <v>0.21643115346697339</v>
      </c>
      <c r="J9" s="518">
        <v>0</v>
      </c>
      <c r="K9" s="518">
        <v>1.0821557673348669E-2</v>
      </c>
      <c r="L9" s="518">
        <v>0.14068024975353269</v>
      </c>
      <c r="M9" s="522">
        <v>8.2155767334866903E-2</v>
      </c>
      <c r="N9" s="523">
        <v>0.10954102311315589</v>
      </c>
      <c r="O9" s="522">
        <v>3.1547814656588895E-2</v>
      </c>
      <c r="P9" s="523">
        <v>2.4646730200460074E-2</v>
      </c>
      <c r="Q9" s="61">
        <v>0.15773907328294448</v>
      </c>
      <c r="R9" s="61">
        <v>0.12323365100230037</v>
      </c>
      <c r="S9" s="902">
        <v>0.71321831525906454</v>
      </c>
      <c r="T9" s="903">
        <v>0.28376292518362423</v>
      </c>
      <c r="U9" s="213"/>
    </row>
    <row r="10" spans="1:21" s="23" customFormat="1" x14ac:dyDescent="0.35">
      <c r="A10" s="23" t="s">
        <v>28</v>
      </c>
      <c r="B10" s="602">
        <v>0.25180000000000002</v>
      </c>
      <c r="C10" s="39">
        <v>0.191</v>
      </c>
      <c r="D10" s="518">
        <v>0.1</v>
      </c>
      <c r="E10" s="518">
        <v>7.0000000000000007E-2</v>
      </c>
      <c r="F10" s="518">
        <v>0</v>
      </c>
      <c r="G10" s="518">
        <v>2.1000000000000001E-2</v>
      </c>
      <c r="H10" s="39">
        <v>6.0799999999999993E-2</v>
      </c>
      <c r="I10" s="518">
        <v>0.01</v>
      </c>
      <c r="J10" s="518">
        <v>0</v>
      </c>
      <c r="K10" s="518">
        <v>8.9999999999999993E-3</v>
      </c>
      <c r="L10" s="518">
        <v>4.1799999999999997E-2</v>
      </c>
      <c r="M10" s="522">
        <v>0</v>
      </c>
      <c r="N10" s="523">
        <v>4.1077883667433458E-2</v>
      </c>
      <c r="O10" s="522">
        <v>8.2155767334866917E-2</v>
      </c>
      <c r="P10" s="523">
        <v>1.6431153466973381E-2</v>
      </c>
      <c r="Q10" s="61">
        <v>0.41077883667433457</v>
      </c>
      <c r="R10" s="61">
        <v>8.2155767334866903E-2</v>
      </c>
      <c r="S10" s="902">
        <v>0.39146480446927379</v>
      </c>
      <c r="T10" s="903">
        <v>0.28595183681808745</v>
      </c>
      <c r="U10" s="213"/>
    </row>
    <row r="11" spans="1:21" s="23" customFormat="1" x14ac:dyDescent="0.35">
      <c r="A11" s="23" t="s">
        <v>15</v>
      </c>
      <c r="B11" s="602">
        <v>0.35053894183371676</v>
      </c>
      <c r="C11" s="39">
        <v>0.08</v>
      </c>
      <c r="D11" s="518">
        <v>0.04</v>
      </c>
      <c r="E11" s="518">
        <v>0.04</v>
      </c>
      <c r="F11" s="518">
        <v>0</v>
      </c>
      <c r="G11" s="518">
        <v>0</v>
      </c>
      <c r="H11" s="39">
        <v>0.27053894183371674</v>
      </c>
      <c r="I11" s="518">
        <v>0.12985869208018402</v>
      </c>
      <c r="J11" s="518">
        <v>0</v>
      </c>
      <c r="K11" s="518">
        <v>7.5750903713440688E-3</v>
      </c>
      <c r="L11" s="518">
        <v>0.13310515938218861</v>
      </c>
      <c r="M11" s="522">
        <v>8.2155767334866917E-2</v>
      </c>
      <c r="N11" s="523">
        <v>4.1077883667433451E-2</v>
      </c>
      <c r="O11" s="522">
        <v>6.0247562712235726E-2</v>
      </c>
      <c r="P11" s="523">
        <v>4.107788366743346E-3</v>
      </c>
      <c r="Q11" s="61">
        <v>0.30123781356117862</v>
      </c>
      <c r="R11" s="61">
        <v>2.0538941833716729E-2</v>
      </c>
      <c r="S11" s="902">
        <v>0.53812794391499619</v>
      </c>
      <c r="T11" s="903">
        <v>0.41324820159505515</v>
      </c>
      <c r="U11" s="213"/>
    </row>
    <row r="12" spans="1:21" s="23" customFormat="1" x14ac:dyDescent="0.35">
      <c r="A12" s="23" t="s">
        <v>18</v>
      </c>
      <c r="B12" s="602">
        <v>0.41522316792638847</v>
      </c>
      <c r="C12" s="39">
        <v>0.12661222477817943</v>
      </c>
      <c r="D12" s="518">
        <v>5.6272099901413089E-2</v>
      </c>
      <c r="E12" s="518">
        <v>5.951856720341768E-2</v>
      </c>
      <c r="F12" s="518">
        <v>0</v>
      </c>
      <c r="G12" s="518">
        <v>1.0821557673348669E-2</v>
      </c>
      <c r="H12" s="39">
        <v>0.28861094314820901</v>
      </c>
      <c r="I12" s="518">
        <v>9.3822905027932946E-2</v>
      </c>
      <c r="J12" s="518">
        <v>0.10009940847847519</v>
      </c>
      <c r="K12" s="518">
        <v>0</v>
      </c>
      <c r="L12" s="518">
        <v>9.4688629641800859E-2</v>
      </c>
      <c r="M12" s="522">
        <v>8.2155767334866917E-2</v>
      </c>
      <c r="N12" s="523">
        <v>3.8339358089604557E-2</v>
      </c>
      <c r="O12" s="522">
        <v>5.8166283273085775E-2</v>
      </c>
      <c r="P12" s="523">
        <v>1.6431153466973381E-2</v>
      </c>
      <c r="Q12" s="61">
        <v>0.29083141636542886</v>
      </c>
      <c r="R12" s="61">
        <v>8.2155767334866903E-2</v>
      </c>
      <c r="S12" s="902">
        <v>0.61031573009091911</v>
      </c>
      <c r="T12" s="903">
        <v>0.38411060243614786</v>
      </c>
      <c r="U12" s="213"/>
    </row>
    <row r="13" spans="1:21" s="23" customFormat="1" x14ac:dyDescent="0.35">
      <c r="A13" s="23" t="s">
        <v>17</v>
      </c>
      <c r="B13" s="602">
        <v>0.31308046</v>
      </c>
      <c r="C13" s="39">
        <v>0.10226790000000001</v>
      </c>
      <c r="D13" s="518">
        <v>7.1858080000000005E-2</v>
      </c>
      <c r="E13" s="518">
        <v>0</v>
      </c>
      <c r="F13" s="518">
        <v>0</v>
      </c>
      <c r="G13" s="518">
        <v>3.0409820000000001E-2</v>
      </c>
      <c r="H13" s="39">
        <v>0.21081255999999998</v>
      </c>
      <c r="I13" s="518">
        <v>4.1340040000000002E-2</v>
      </c>
      <c r="J13" s="518">
        <v>5.5841520000000006E-2</v>
      </c>
      <c r="K13" s="518">
        <v>4.1123600000000007E-3</v>
      </c>
      <c r="L13" s="518">
        <v>0.10951864</v>
      </c>
      <c r="M13" s="522">
        <v>0.1368192460977512</v>
      </c>
      <c r="N13" s="523">
        <v>4.1666666666666664E-2</v>
      </c>
      <c r="O13" s="522">
        <v>8.2155767334866917E-2</v>
      </c>
      <c r="P13" s="523">
        <v>0</v>
      </c>
      <c r="Q13" s="61">
        <v>0.41077883667433457</v>
      </c>
      <c r="R13" s="61">
        <v>0</v>
      </c>
      <c r="S13" s="902">
        <v>0.57372214009928479</v>
      </c>
      <c r="T13" s="903">
        <v>0.63939770779225513</v>
      </c>
      <c r="U13" s="213"/>
    </row>
    <row r="14" spans="1:21" s="23" customFormat="1" x14ac:dyDescent="0.35">
      <c r="A14" s="23" t="s">
        <v>21</v>
      </c>
      <c r="B14" s="602">
        <v>0.17500000000000002</v>
      </c>
      <c r="C14" s="39">
        <v>4.8300000000000003E-2</v>
      </c>
      <c r="D14" s="518">
        <v>1.83E-2</v>
      </c>
      <c r="E14" s="518">
        <v>0.02</v>
      </c>
      <c r="F14" s="518">
        <v>0.01</v>
      </c>
      <c r="G14" s="518">
        <v>0</v>
      </c>
      <c r="H14" s="39">
        <v>0.12670000000000001</v>
      </c>
      <c r="I14" s="518">
        <v>3.6700000000000003E-2</v>
      </c>
      <c r="J14" s="518">
        <v>0.04</v>
      </c>
      <c r="K14" s="518">
        <v>2.9999999999999995E-2</v>
      </c>
      <c r="L14" s="518">
        <v>0.02</v>
      </c>
      <c r="M14" s="522">
        <v>0.16431153466973381</v>
      </c>
      <c r="N14" s="523">
        <v>4.1077883667433451E-2</v>
      </c>
      <c r="O14" s="522">
        <v>8.2155767334866917E-2</v>
      </c>
      <c r="P14" s="523">
        <v>0</v>
      </c>
      <c r="Q14" s="61">
        <v>0.41077883667433457</v>
      </c>
      <c r="R14" s="61">
        <v>0</v>
      </c>
      <c r="S14" s="902">
        <v>0.46254518567203418</v>
      </c>
      <c r="T14" s="903">
        <v>0.49630713547474392</v>
      </c>
      <c r="U14" s="213"/>
    </row>
    <row r="15" spans="1:21" s="23" customFormat="1" x14ac:dyDescent="0.35">
      <c r="A15" s="23" t="s">
        <v>27</v>
      </c>
      <c r="B15" s="602">
        <v>0.14626682241906644</v>
      </c>
      <c r="C15" s="39">
        <v>0.05</v>
      </c>
      <c r="D15" s="518">
        <v>2.5000000000000001E-2</v>
      </c>
      <c r="E15" s="518">
        <v>2.5000000000000001E-2</v>
      </c>
      <c r="F15" s="518">
        <v>0</v>
      </c>
      <c r="G15" s="518">
        <v>0</v>
      </c>
      <c r="H15" s="39">
        <v>9.6266822419066436E-2</v>
      </c>
      <c r="I15" s="518">
        <v>3.5000000000000003E-2</v>
      </c>
      <c r="J15" s="518">
        <v>0.05</v>
      </c>
      <c r="K15" s="518">
        <v>2E-3</v>
      </c>
      <c r="L15" s="518">
        <v>9.2668224190664231E-3</v>
      </c>
      <c r="M15" s="522">
        <v>0.16431153466973381</v>
      </c>
      <c r="N15" s="523">
        <v>5.477051155657793E-2</v>
      </c>
      <c r="O15" s="522">
        <v>8.2155767334866917E-2</v>
      </c>
      <c r="P15" s="523">
        <v>1.6431153466973381E-2</v>
      </c>
      <c r="Q15" s="61">
        <v>0.41077883667433457</v>
      </c>
      <c r="R15" s="61">
        <v>8.2155767334866903E-2</v>
      </c>
      <c r="S15" s="902">
        <v>0.46393578944721847</v>
      </c>
      <c r="T15" s="903">
        <v>1.0976604283307396</v>
      </c>
      <c r="U15" s="213"/>
    </row>
    <row r="16" spans="1:21" s="23" customFormat="1" x14ac:dyDescent="0.35">
      <c r="A16" s="23" t="s">
        <v>24</v>
      </c>
      <c r="B16" s="602">
        <v>0.25582933067250613</v>
      </c>
      <c r="C16" s="39">
        <v>2.2281748628490104E-2</v>
      </c>
      <c r="D16" s="518">
        <v>1.1718750000000002E-2</v>
      </c>
      <c r="E16" s="518">
        <v>1.0562998628490104E-2</v>
      </c>
      <c r="F16" s="518">
        <v>0</v>
      </c>
      <c r="G16" s="518">
        <v>0</v>
      </c>
      <c r="H16" s="39">
        <v>0.23354758204401604</v>
      </c>
      <c r="I16" s="518">
        <v>8.0697916666666675E-2</v>
      </c>
      <c r="J16" s="518">
        <v>6.9724665377349365E-2</v>
      </c>
      <c r="K16" s="518">
        <v>2.0625000000000004E-2</v>
      </c>
      <c r="L16" s="518">
        <v>6.2500000000000014E-2</v>
      </c>
      <c r="M16" s="522">
        <v>4.1666666666666664E-2</v>
      </c>
      <c r="N16" s="523">
        <v>5.4770511556577937E-2</v>
      </c>
      <c r="O16" s="522">
        <v>0.10406397195749809</v>
      </c>
      <c r="P16" s="523">
        <v>0</v>
      </c>
      <c r="Q16" s="61">
        <v>0.5203198597874904</v>
      </c>
      <c r="R16" s="61">
        <v>0</v>
      </c>
      <c r="S16" s="902">
        <v>0.45633048085324884</v>
      </c>
      <c r="T16" s="903">
        <v>0.27004966584037526</v>
      </c>
      <c r="U16" s="213"/>
    </row>
    <row r="17" spans="1:24" s="23" customFormat="1" x14ac:dyDescent="0.35">
      <c r="A17" s="23" t="s">
        <v>29</v>
      </c>
      <c r="B17" s="602">
        <v>0.19500000000000001</v>
      </c>
      <c r="C17" s="39">
        <v>7.0000000000000007E-2</v>
      </c>
      <c r="D17" s="518">
        <v>0.03</v>
      </c>
      <c r="E17" s="518">
        <v>0</v>
      </c>
      <c r="F17" s="518">
        <v>0</v>
      </c>
      <c r="G17" s="518">
        <v>0.04</v>
      </c>
      <c r="H17" s="39">
        <v>0.125</v>
      </c>
      <c r="I17" s="518">
        <v>0.03</v>
      </c>
      <c r="J17" s="518">
        <v>0</v>
      </c>
      <c r="K17" s="518">
        <v>0</v>
      </c>
      <c r="L17" s="518">
        <v>9.5000000000000001E-2</v>
      </c>
      <c r="M17" s="522">
        <v>0</v>
      </c>
      <c r="N17" s="523">
        <v>3.8339358089604564E-2</v>
      </c>
      <c r="O17" s="522">
        <v>3.8339358089604564E-2</v>
      </c>
      <c r="P17" s="523">
        <v>1.5335743235841826E-2</v>
      </c>
      <c r="Q17" s="61">
        <v>0.19169679044802282</v>
      </c>
      <c r="R17" s="61">
        <v>7.6678716179209128E-2</v>
      </c>
      <c r="S17" s="902">
        <v>0.28701445941505099</v>
      </c>
      <c r="T17" s="903">
        <v>0.53885286645565866</v>
      </c>
      <c r="U17" s="213"/>
    </row>
    <row r="18" spans="1:24" s="23" customFormat="1" hidden="1" x14ac:dyDescent="0.35">
      <c r="A18" s="23" t="s">
        <v>23</v>
      </c>
      <c r="B18" s="821">
        <v>0.31600000000000006</v>
      </c>
      <c r="C18" s="39">
        <v>7.1000000000000008E-2</v>
      </c>
      <c r="D18" s="518">
        <v>4.8000000000000001E-2</v>
      </c>
      <c r="E18" s="518">
        <v>2.3E-2</v>
      </c>
      <c r="F18" s="518">
        <v>0</v>
      </c>
      <c r="G18" s="518">
        <v>0</v>
      </c>
      <c r="H18" s="39">
        <v>0.24500000000000002</v>
      </c>
      <c r="I18" s="518">
        <v>0.13500000000000001</v>
      </c>
      <c r="J18" s="518">
        <v>0.06</v>
      </c>
      <c r="K18" s="518">
        <v>1.4999999999999999E-2</v>
      </c>
      <c r="L18" s="518">
        <v>3.5000000000000003E-2</v>
      </c>
      <c r="M18" s="522">
        <v>8.2155767334866917E-2</v>
      </c>
      <c r="N18" s="523">
        <v>8.2155767334866917E-2</v>
      </c>
      <c r="O18" s="522">
        <v>7.2222222222222215E-2</v>
      </c>
      <c r="P18" s="523">
        <v>0</v>
      </c>
      <c r="Q18" s="61">
        <v>0.36111111111111105</v>
      </c>
      <c r="R18" s="61">
        <v>0</v>
      </c>
      <c r="S18" s="902">
        <v>0.55253375689195605</v>
      </c>
      <c r="T18" s="903">
        <v>0.76950897276837948</v>
      </c>
      <c r="U18" s="213"/>
    </row>
    <row r="19" spans="1:24" s="23" customFormat="1" x14ac:dyDescent="0.35">
      <c r="A19" s="23" t="s">
        <v>19</v>
      </c>
      <c r="B19" s="602">
        <v>0.29976913900755836</v>
      </c>
      <c r="C19" s="39">
        <v>0.11706861375835252</v>
      </c>
      <c r="D19" s="518">
        <v>9.854166666666668E-2</v>
      </c>
      <c r="E19" s="518">
        <v>5.0000000000000001E-3</v>
      </c>
      <c r="F19" s="518">
        <v>0</v>
      </c>
      <c r="G19" s="518">
        <v>1.3526947091685837E-2</v>
      </c>
      <c r="H19" s="39">
        <v>0.18270052524920585</v>
      </c>
      <c r="I19" s="518">
        <v>6.1458333333333337E-2</v>
      </c>
      <c r="J19" s="518">
        <v>0.08</v>
      </c>
      <c r="K19" s="518">
        <v>4.1999999999999997E-3</v>
      </c>
      <c r="L19" s="518">
        <v>3.7042191915872491E-2</v>
      </c>
      <c r="M19" s="522">
        <v>8.2155767334866917E-2</v>
      </c>
      <c r="N19" s="523">
        <v>8.2155767334866917E-2</v>
      </c>
      <c r="O19" s="522">
        <v>6.5176908752327747E-2</v>
      </c>
      <c r="P19" s="523">
        <v>0</v>
      </c>
      <c r="Q19" s="61">
        <v>0.32588454376163872</v>
      </c>
      <c r="R19" s="61">
        <v>0</v>
      </c>
      <c r="S19" s="902">
        <v>0.52925758242961995</v>
      </c>
      <c r="T19" s="903">
        <v>0.29882481180297166</v>
      </c>
      <c r="U19" s="213"/>
    </row>
    <row r="20" spans="1:24" s="23" customFormat="1" x14ac:dyDescent="0.35">
      <c r="A20" s="23" t="s">
        <v>16</v>
      </c>
      <c r="B20" s="602">
        <v>0.3476604995070654</v>
      </c>
      <c r="C20" s="39">
        <v>0.1513604995070654</v>
      </c>
      <c r="D20" s="518">
        <v>0.1513604995070654</v>
      </c>
      <c r="E20" s="518">
        <v>0</v>
      </c>
      <c r="F20" s="518">
        <v>0</v>
      </c>
      <c r="G20" s="518">
        <v>0</v>
      </c>
      <c r="H20" s="39">
        <v>0.1963</v>
      </c>
      <c r="I20" s="518">
        <v>0</v>
      </c>
      <c r="J20" s="518">
        <v>0.09</v>
      </c>
      <c r="K20" s="518">
        <v>6.3E-3</v>
      </c>
      <c r="L20" s="518">
        <v>0.1</v>
      </c>
      <c r="M20" s="522">
        <v>0.16431153466973378</v>
      </c>
      <c r="N20" s="523">
        <v>8.2155767334866889E-2</v>
      </c>
      <c r="O20" s="522">
        <v>0.12323365100230035</v>
      </c>
      <c r="P20" s="523">
        <v>0</v>
      </c>
      <c r="Q20" s="61">
        <v>0.61616825501150174</v>
      </c>
      <c r="R20" s="61">
        <v>0</v>
      </c>
      <c r="S20" s="902">
        <v>0.71736145251396644</v>
      </c>
      <c r="T20" s="903">
        <v>0.40925806039776336</v>
      </c>
      <c r="U20" s="213"/>
    </row>
    <row r="21" spans="1:24" s="23" customFormat="1" x14ac:dyDescent="0.35">
      <c r="A21" s="23" t="s">
        <v>20</v>
      </c>
      <c r="B21" s="602">
        <v>0.28136049950706543</v>
      </c>
      <c r="C21" s="39">
        <v>9.7394019060138032E-2</v>
      </c>
      <c r="D21" s="518">
        <v>9.7394019060138032E-2</v>
      </c>
      <c r="E21" s="518">
        <v>0</v>
      </c>
      <c r="F21" s="518">
        <v>0</v>
      </c>
      <c r="G21" s="518">
        <v>0</v>
      </c>
      <c r="H21" s="39">
        <v>0.18396648044692743</v>
      </c>
      <c r="I21" s="518">
        <v>0.15150180742688141</v>
      </c>
      <c r="J21" s="518">
        <v>0</v>
      </c>
      <c r="K21" s="518">
        <v>0</v>
      </c>
      <c r="L21" s="518">
        <v>3.2464673020046013E-2</v>
      </c>
      <c r="M21" s="522">
        <v>8.2155767334866917E-2</v>
      </c>
      <c r="N21" s="523">
        <v>3.2862306933946761E-2</v>
      </c>
      <c r="O21" s="522">
        <v>4.1077883667433451E-2</v>
      </c>
      <c r="P21" s="523">
        <v>2.4646730200460074E-2</v>
      </c>
      <c r="Q21" s="61">
        <v>0.20538941833716726</v>
      </c>
      <c r="R21" s="61">
        <v>0.12323365100230037</v>
      </c>
      <c r="S21" s="902">
        <v>0.46210318764377267</v>
      </c>
      <c r="T21" s="903">
        <v>0.5300022334526695</v>
      </c>
      <c r="U21" s="213"/>
    </row>
    <row r="22" spans="1:24" s="23" customFormat="1" x14ac:dyDescent="0.35">
      <c r="A22" s="23" t="s">
        <v>26</v>
      </c>
      <c r="B22" s="602">
        <v>0.24467541899441342</v>
      </c>
      <c r="C22" s="39">
        <v>6.9366184686164969E-2</v>
      </c>
      <c r="D22" s="518">
        <v>3.1057870522510682E-2</v>
      </c>
      <c r="E22" s="518">
        <v>3.2897535326979956E-2</v>
      </c>
      <c r="F22" s="518">
        <v>0</v>
      </c>
      <c r="G22" s="518">
        <v>5.4107788366743355E-3</v>
      </c>
      <c r="H22" s="39">
        <v>0.17530923430824844</v>
      </c>
      <c r="I22" s="518">
        <v>7.6833059480775553E-2</v>
      </c>
      <c r="J22" s="518">
        <v>7.6833059480775553E-2</v>
      </c>
      <c r="K22" s="518">
        <v>1.0821557673348671E-2</v>
      </c>
      <c r="L22" s="518">
        <v>1.0821557673348671E-2</v>
      </c>
      <c r="M22" s="522">
        <v>8.2155767334866917E-2</v>
      </c>
      <c r="N22" s="523">
        <v>4.9293460400920142E-2</v>
      </c>
      <c r="O22" s="522">
        <v>6.2986088290064635E-2</v>
      </c>
      <c r="P22" s="523">
        <v>1.5335743235841826E-2</v>
      </c>
      <c r="Q22" s="61">
        <v>0.31493044145032317</v>
      </c>
      <c r="R22" s="61">
        <v>7.6678716179209128E-2</v>
      </c>
      <c r="S22" s="902">
        <v>0.45444647825610696</v>
      </c>
      <c r="T22" s="903">
        <v>0.27662807917631527</v>
      </c>
      <c r="U22" s="213"/>
    </row>
    <row r="23" spans="1:24" s="23" customFormat="1" x14ac:dyDescent="0.35">
      <c r="A23" s="23" t="s">
        <v>25</v>
      </c>
      <c r="B23" s="602">
        <v>0.27499999999999997</v>
      </c>
      <c r="C23" s="39">
        <v>0.10249999999999999</v>
      </c>
      <c r="D23" s="518">
        <v>7.2499999999999995E-2</v>
      </c>
      <c r="E23" s="518">
        <v>0.03</v>
      </c>
      <c r="F23" s="518">
        <v>0</v>
      </c>
      <c r="G23" s="518">
        <v>0</v>
      </c>
      <c r="H23" s="39">
        <v>0.17249999999999999</v>
      </c>
      <c r="I23" s="518">
        <v>8.7499999999999994E-2</v>
      </c>
      <c r="J23" s="518">
        <v>7.4999999999999997E-2</v>
      </c>
      <c r="K23" s="518">
        <v>0</v>
      </c>
      <c r="L23" s="518">
        <v>0.01</v>
      </c>
      <c r="M23" s="522">
        <v>5.203198597874905E-2</v>
      </c>
      <c r="N23" s="523">
        <v>5.203198597874905E-2</v>
      </c>
      <c r="O23" s="522">
        <v>8.2155767334866917E-2</v>
      </c>
      <c r="P23" s="523">
        <v>0</v>
      </c>
      <c r="Q23" s="61">
        <v>0.41077883667433457</v>
      </c>
      <c r="R23" s="61">
        <v>0</v>
      </c>
      <c r="S23" s="902">
        <v>0.46121973929236498</v>
      </c>
      <c r="T23" s="903">
        <v>0.53847148828894043</v>
      </c>
      <c r="U23" s="213"/>
    </row>
    <row r="24" spans="1:24" s="23" customFormat="1" x14ac:dyDescent="0.35">
      <c r="A24" s="23" t="s">
        <v>31</v>
      </c>
      <c r="B24" s="602">
        <v>0.13200000000000001</v>
      </c>
      <c r="C24" s="39">
        <v>4.3999999999999997E-2</v>
      </c>
      <c r="D24" s="518">
        <v>4.3999999999999997E-2</v>
      </c>
      <c r="E24" s="518">
        <v>0</v>
      </c>
      <c r="F24" s="518">
        <v>0</v>
      </c>
      <c r="G24" s="518">
        <v>0</v>
      </c>
      <c r="H24" s="39">
        <v>8.7999999999999995E-2</v>
      </c>
      <c r="I24" s="518">
        <v>8.7999999999999995E-2</v>
      </c>
      <c r="J24" s="518">
        <v>0</v>
      </c>
      <c r="K24" s="518">
        <v>0</v>
      </c>
      <c r="L24" s="518">
        <v>0</v>
      </c>
      <c r="M24" s="522">
        <v>0</v>
      </c>
      <c r="N24" s="523">
        <v>3.833935808960455E-2</v>
      </c>
      <c r="O24" s="522">
        <v>4.1077883667433451E-2</v>
      </c>
      <c r="P24" s="523">
        <v>0</v>
      </c>
      <c r="Q24" s="61">
        <v>0.20538941833716726</v>
      </c>
      <c r="R24" s="61">
        <v>0</v>
      </c>
      <c r="S24" s="902">
        <v>0.21141724175703799</v>
      </c>
      <c r="T24" s="903">
        <v>0.18675482403440144</v>
      </c>
      <c r="U24" s="213"/>
    </row>
    <row r="25" spans="1:24" s="23" customFormat="1" x14ac:dyDescent="0.35">
      <c r="A25" s="23" t="s">
        <v>14</v>
      </c>
      <c r="B25" s="602">
        <v>0.40481259090426092</v>
      </c>
      <c r="C25" s="39">
        <v>0.20356875258681104</v>
      </c>
      <c r="D25" s="518">
        <v>0.16232336510023004</v>
      </c>
      <c r="E25" s="518">
        <v>4.0163231719246135E-2</v>
      </c>
      <c r="F25" s="518">
        <v>0</v>
      </c>
      <c r="G25" s="518">
        <v>1.0821557673348671E-3</v>
      </c>
      <c r="H25" s="39">
        <v>0.20124383831744988</v>
      </c>
      <c r="I25" s="518">
        <v>8.1161682550115022E-2</v>
      </c>
      <c r="J25" s="518">
        <v>0.05</v>
      </c>
      <c r="K25" s="518">
        <v>6.9000000000000006E-2</v>
      </c>
      <c r="L25" s="518">
        <v>1.0821557673348671E-3</v>
      </c>
      <c r="M25" s="522">
        <v>8.2155767334866917E-2</v>
      </c>
      <c r="N25" s="523">
        <v>5.7509037134406839E-2</v>
      </c>
      <c r="O25" s="522">
        <v>9.8039215686274522E-2</v>
      </c>
      <c r="P25" s="523">
        <v>0</v>
      </c>
      <c r="Q25" s="61">
        <v>0.49019607843137258</v>
      </c>
      <c r="R25" s="61">
        <v>0</v>
      </c>
      <c r="S25" s="902">
        <v>0.64251661105980917</v>
      </c>
      <c r="T25" s="903">
        <v>0.25211954012061094</v>
      </c>
      <c r="U25" s="213"/>
    </row>
    <row r="26" spans="1:24" s="23" customFormat="1" x14ac:dyDescent="0.35">
      <c r="A26" s="466" t="s">
        <v>22</v>
      </c>
      <c r="B26" s="603">
        <v>0.3075</v>
      </c>
      <c r="C26" s="41">
        <v>0.06</v>
      </c>
      <c r="D26" s="519">
        <v>0.04</v>
      </c>
      <c r="E26" s="519">
        <v>0</v>
      </c>
      <c r="F26" s="519">
        <v>0</v>
      </c>
      <c r="G26" s="519">
        <v>0.02</v>
      </c>
      <c r="H26" s="524">
        <v>0.2475</v>
      </c>
      <c r="I26" s="519">
        <v>0.18</v>
      </c>
      <c r="J26" s="519">
        <v>0</v>
      </c>
      <c r="K26" s="519">
        <v>7.4999999999999997E-3</v>
      </c>
      <c r="L26" s="519">
        <v>0.06</v>
      </c>
      <c r="M26" s="524">
        <v>8.2155767334866903E-2</v>
      </c>
      <c r="N26" s="525">
        <v>5.2031985978749043E-2</v>
      </c>
      <c r="O26" s="524">
        <v>8.2155767334866903E-2</v>
      </c>
      <c r="P26" s="525">
        <v>0</v>
      </c>
      <c r="Q26" s="467">
        <v>0.41077883667433451</v>
      </c>
      <c r="R26" s="467">
        <v>0</v>
      </c>
      <c r="S26" s="902">
        <v>0.52384352064848283</v>
      </c>
      <c r="T26" s="903"/>
      <c r="U26" s="213"/>
    </row>
    <row r="27" spans="1:24" s="23" customFormat="1" x14ac:dyDescent="0.35">
      <c r="A27" s="23" t="s">
        <v>125</v>
      </c>
      <c r="B27" s="189">
        <v>0.29416402161577604</v>
      </c>
      <c r="C27" s="189">
        <v>0.10232528644801407</v>
      </c>
      <c r="D27" s="189">
        <v>7.3360921274999852E-2</v>
      </c>
      <c r="E27" s="189">
        <v>2.0951140995696102E-2</v>
      </c>
      <c r="F27" s="189">
        <v>5.263157894736842E-4</v>
      </c>
      <c r="G27" s="189">
        <v>7.4869083878444055E-3</v>
      </c>
      <c r="H27" s="189">
        <v>0.19183873516776195</v>
      </c>
      <c r="I27" s="189">
        <v>8.1413356114464583E-2</v>
      </c>
      <c r="J27" s="189">
        <v>4.5770225056700871E-2</v>
      </c>
      <c r="K27" s="189">
        <v>1.1046164389020532E-2</v>
      </c>
      <c r="L27" s="189">
        <v>5.3608989607575964E-2</v>
      </c>
      <c r="M27" s="189">
        <v>8.564031281241602E-2</v>
      </c>
      <c r="N27" s="189">
        <v>5.2639506258251624E-2</v>
      </c>
      <c r="O27" s="189">
        <v>7.269488212809383E-2</v>
      </c>
      <c r="P27" s="189">
        <v>1.134326120921759E-2</v>
      </c>
      <c r="Q27" s="189">
        <v>0.36347441064046915</v>
      </c>
      <c r="R27" s="189">
        <v>5.6716306046087947E-2</v>
      </c>
      <c r="S27" s="902">
        <v>0.516481984023755</v>
      </c>
      <c r="T27" s="902">
        <v>0.45561519597674838</v>
      </c>
    </row>
    <row r="28" spans="1:24" s="23" customFormat="1" x14ac:dyDescent="0.35">
      <c r="A28" s="577"/>
      <c r="B28" s="189"/>
      <c r="C28" s="189"/>
      <c r="D28" s="189"/>
      <c r="E28" s="189"/>
      <c r="F28" s="189"/>
      <c r="G28" s="189"/>
      <c r="H28" s="189"/>
      <c r="I28" s="189"/>
      <c r="J28" s="189"/>
      <c r="K28" s="189"/>
      <c r="L28" s="189"/>
      <c r="M28" s="189"/>
      <c r="N28" s="189"/>
      <c r="O28" s="189"/>
      <c r="P28" s="189"/>
      <c r="Q28" s="189"/>
      <c r="R28" s="189"/>
      <c r="S28" s="902"/>
      <c r="T28" s="902"/>
    </row>
    <row r="29" spans="1:24" x14ac:dyDescent="0.35">
      <c r="H29" s="7"/>
    </row>
    <row r="30" spans="1:24" ht="18.5" x14ac:dyDescent="0.45">
      <c r="A30" s="21" t="s">
        <v>619</v>
      </c>
      <c r="B30" s="21"/>
      <c r="T30" s="25"/>
      <c r="U30" s="25"/>
      <c r="V30" s="25"/>
      <c r="W30" s="25"/>
      <c r="X30" s="25"/>
    </row>
    <row r="31" spans="1:24" ht="15" customHeight="1" x14ac:dyDescent="0.35">
      <c r="L31" s="932" t="s">
        <v>169</v>
      </c>
      <c r="M31" s="932" t="s">
        <v>151</v>
      </c>
      <c r="N31" s="932" t="s">
        <v>68</v>
      </c>
      <c r="O31" s="940" t="s">
        <v>69</v>
      </c>
      <c r="P31" s="941"/>
      <c r="Q31" s="940" t="s">
        <v>70</v>
      </c>
      <c r="R31" s="941"/>
      <c r="S31" s="27"/>
      <c r="T31" s="25"/>
      <c r="U31" s="25"/>
      <c r="V31" s="25"/>
      <c r="W31" s="25"/>
      <c r="X31" s="25"/>
    </row>
    <row r="32" spans="1:24" ht="39" x14ac:dyDescent="0.35">
      <c r="L32" s="934"/>
      <c r="M32" s="934"/>
      <c r="N32" s="934"/>
      <c r="O32" s="35" t="s">
        <v>82</v>
      </c>
      <c r="P32" s="36" t="s">
        <v>83</v>
      </c>
      <c r="Q32" s="35" t="s">
        <v>84</v>
      </c>
      <c r="R32" s="36" t="s">
        <v>85</v>
      </c>
      <c r="S32" s="458" t="s">
        <v>86</v>
      </c>
      <c r="T32" s="25"/>
      <c r="U32" s="25"/>
      <c r="V32" s="25"/>
      <c r="W32" s="25"/>
      <c r="X32" s="25"/>
    </row>
    <row r="33" spans="12:23" x14ac:dyDescent="0.35">
      <c r="L33" s="976" t="s">
        <v>620</v>
      </c>
      <c r="M33" s="976"/>
      <c r="N33" s="976"/>
      <c r="O33" s="976"/>
      <c r="P33" s="976"/>
      <c r="Q33" s="976"/>
      <c r="R33" s="976"/>
      <c r="S33" s="976"/>
      <c r="T33" s="904"/>
      <c r="U33" s="904"/>
      <c r="V33" s="904"/>
    </row>
    <row r="34" spans="12:23" x14ac:dyDescent="0.35">
      <c r="L34" s="904"/>
      <c r="M34" s="904"/>
      <c r="N34" s="904"/>
      <c r="O34" s="904"/>
      <c r="P34" s="904"/>
      <c r="Q34" s="904"/>
      <c r="R34" s="904"/>
      <c r="S34" s="904"/>
      <c r="T34" s="904"/>
      <c r="U34" s="904"/>
      <c r="V34" s="904"/>
    </row>
    <row r="35" spans="12:23" x14ac:dyDescent="0.35">
      <c r="L35" s="982" t="s">
        <v>15</v>
      </c>
      <c r="M35">
        <v>2013</v>
      </c>
      <c r="N35" s="600">
        <v>0.3467386301369863</v>
      </c>
      <c r="O35" s="600">
        <v>8.2191780821917804E-2</v>
      </c>
      <c r="P35" s="600">
        <v>4.1095890410958902E-2</v>
      </c>
      <c r="Q35" s="600">
        <v>6.0273972602739735E-2</v>
      </c>
      <c r="R35" s="600">
        <v>4.10958904109589E-3</v>
      </c>
      <c r="S35" s="606">
        <v>0.53440986301369864</v>
      </c>
      <c r="T35" s="600"/>
      <c r="U35" s="600"/>
      <c r="V35" s="600"/>
      <c r="W35" s="9"/>
    </row>
    <row r="36" spans="12:23" x14ac:dyDescent="0.35">
      <c r="L36" s="983"/>
      <c r="M36">
        <v>2023</v>
      </c>
      <c r="N36" s="600">
        <v>0.33348000000000005</v>
      </c>
      <c r="O36" s="600">
        <v>8.2155767334866917E-2</v>
      </c>
      <c r="P36" s="600">
        <v>4.1077883667433451E-2</v>
      </c>
      <c r="Q36" s="600">
        <v>6.0247562712235733E-2</v>
      </c>
      <c r="R36" s="600">
        <v>4.1077883667433443E-3</v>
      </c>
      <c r="S36" s="606">
        <v>0.52106900208127949</v>
      </c>
      <c r="T36" s="600"/>
      <c r="U36" s="600"/>
      <c r="V36" s="600"/>
      <c r="W36" s="9"/>
    </row>
    <row r="37" spans="12:23" x14ac:dyDescent="0.35">
      <c r="L37" s="984"/>
      <c r="M37">
        <v>2025</v>
      </c>
      <c r="N37" s="600">
        <v>0.35053894183371676</v>
      </c>
      <c r="O37" s="600">
        <v>8.2155767334866917E-2</v>
      </c>
      <c r="P37" s="600">
        <v>4.1077883667433451E-2</v>
      </c>
      <c r="Q37" s="600">
        <v>6.0247562712235726E-2</v>
      </c>
      <c r="R37" s="600">
        <v>4.107788366743346E-3</v>
      </c>
      <c r="S37" s="606">
        <v>0.53812794391499619</v>
      </c>
      <c r="T37" s="600"/>
      <c r="U37" s="600"/>
      <c r="V37" s="600"/>
      <c r="W37" s="9"/>
    </row>
    <row r="38" spans="12:23" x14ac:dyDescent="0.35">
      <c r="L38" s="977" t="s">
        <v>19</v>
      </c>
      <c r="M38">
        <v>2013</v>
      </c>
      <c r="N38" s="600">
        <v>0.28976913900755835</v>
      </c>
      <c r="O38" s="600">
        <v>8.2155767334866917E-2</v>
      </c>
      <c r="P38" s="600">
        <v>8.2155767334866917E-2</v>
      </c>
      <c r="Q38" s="600">
        <v>6.5176908752327747E-2</v>
      </c>
      <c r="R38" s="600">
        <v>0</v>
      </c>
      <c r="S38" s="606">
        <v>0.51925758242961995</v>
      </c>
      <c r="T38" s="600"/>
      <c r="U38" s="600"/>
      <c r="V38" s="600"/>
      <c r="W38" s="9"/>
    </row>
    <row r="39" spans="12:23" x14ac:dyDescent="0.35">
      <c r="L39" s="944"/>
      <c r="M39">
        <v>2023</v>
      </c>
      <c r="N39" s="600">
        <v>0.28976913900755835</v>
      </c>
      <c r="O39" s="600">
        <v>8.2155767334866917E-2</v>
      </c>
      <c r="P39" s="600">
        <v>8.2155767334866917E-2</v>
      </c>
      <c r="Q39" s="600">
        <v>6.5176908752327747E-2</v>
      </c>
      <c r="R39" s="600">
        <v>0</v>
      </c>
      <c r="S39" s="606">
        <v>0.51925758242961995</v>
      </c>
      <c r="T39" s="600"/>
      <c r="U39" s="600"/>
      <c r="V39" s="600"/>
      <c r="W39" s="9"/>
    </row>
    <row r="40" spans="12:23" x14ac:dyDescent="0.35">
      <c r="L40" s="978"/>
      <c r="M40">
        <v>2025</v>
      </c>
      <c r="N40" s="600">
        <v>0.29976913900755836</v>
      </c>
      <c r="O40" s="600">
        <v>8.2155767334866917E-2</v>
      </c>
      <c r="P40" s="600">
        <v>8.2155767334866917E-2</v>
      </c>
      <c r="Q40" s="600">
        <v>6.5176908752327747E-2</v>
      </c>
      <c r="R40" s="600">
        <v>0</v>
      </c>
      <c r="S40" s="606">
        <v>0.52925758242961995</v>
      </c>
      <c r="T40" s="600"/>
      <c r="U40" s="600"/>
      <c r="V40" s="600"/>
      <c r="W40" s="9"/>
    </row>
    <row r="41" spans="12:23" x14ac:dyDescent="0.35">
      <c r="L41" s="977" t="s">
        <v>125</v>
      </c>
      <c r="M41">
        <v>2013</v>
      </c>
      <c r="N41" s="600">
        <v>0.28217008007986755</v>
      </c>
      <c r="O41" s="600">
        <v>8.6652704376516898E-2</v>
      </c>
      <c r="P41" s="600">
        <v>5.2536300502432895E-2</v>
      </c>
      <c r="Q41" s="600">
        <v>7.2996574532952066E-2</v>
      </c>
      <c r="R41" s="600">
        <v>1.212445376583004E-2</v>
      </c>
      <c r="S41" s="606">
        <v>0.50648011325759945</v>
      </c>
      <c r="T41" s="600"/>
      <c r="U41" s="600"/>
      <c r="V41" s="600"/>
      <c r="W41" s="9"/>
    </row>
    <row r="42" spans="12:23" x14ac:dyDescent="0.35">
      <c r="L42" s="944"/>
      <c r="M42">
        <v>2023</v>
      </c>
      <c r="N42" s="600">
        <v>0.28744893329535542</v>
      </c>
      <c r="O42" s="600">
        <v>8.5512082729423525E-2</v>
      </c>
      <c r="P42" s="600">
        <v>5.2639506258251624E-2</v>
      </c>
      <c r="Q42" s="600">
        <v>7.2696777574780713E-2</v>
      </c>
      <c r="R42" s="600">
        <v>1.2208058760110926E-2</v>
      </c>
      <c r="S42" s="606">
        <v>0.51050535861792223</v>
      </c>
      <c r="T42" s="600"/>
      <c r="U42" s="600"/>
      <c r="V42" s="600"/>
      <c r="W42" s="9"/>
    </row>
    <row r="43" spans="12:23" x14ac:dyDescent="0.35">
      <c r="L43" s="978"/>
      <c r="M43">
        <v>2025</v>
      </c>
      <c r="N43" s="600">
        <v>0.29416402161577604</v>
      </c>
      <c r="O43" s="600">
        <v>8.564031281241602E-2</v>
      </c>
      <c r="P43" s="600">
        <v>5.2639506258251624E-2</v>
      </c>
      <c r="Q43" s="600">
        <v>7.269488212809383E-2</v>
      </c>
      <c r="R43" s="600">
        <v>1.134326120921759E-2</v>
      </c>
      <c r="S43" s="606">
        <v>0.51648198402375511</v>
      </c>
      <c r="T43" s="600"/>
      <c r="U43" s="600"/>
      <c r="V43" s="600"/>
      <c r="W43" s="9"/>
    </row>
    <row r="44" spans="12:23" x14ac:dyDescent="0.35">
      <c r="L44" s="977" t="s">
        <v>24</v>
      </c>
      <c r="M44">
        <v>2013</v>
      </c>
      <c r="N44" s="600">
        <v>0.22755808969748248</v>
      </c>
      <c r="O44" s="600">
        <v>4.1666666666666664E-2</v>
      </c>
      <c r="P44" s="600">
        <v>3.888888888888889E-2</v>
      </c>
      <c r="Q44" s="600">
        <v>0.10406397195749809</v>
      </c>
      <c r="R44" s="600">
        <v>0</v>
      </c>
      <c r="S44" s="606">
        <v>0.41217761721053614</v>
      </c>
      <c r="T44" s="600"/>
      <c r="U44" s="600"/>
      <c r="V44" s="600"/>
      <c r="W44" s="9"/>
    </row>
    <row r="45" spans="12:23" x14ac:dyDescent="0.35">
      <c r="L45" s="944"/>
      <c r="M45">
        <v>2023</v>
      </c>
      <c r="N45" s="600">
        <v>0.23999312292980507</v>
      </c>
      <c r="O45" s="600">
        <v>4.1666666666666664E-2</v>
      </c>
      <c r="P45" s="600">
        <v>5.4770511556577937E-2</v>
      </c>
      <c r="Q45" s="600">
        <v>0.10406397195749809</v>
      </c>
      <c r="R45" s="600">
        <v>0</v>
      </c>
      <c r="S45" s="606">
        <v>0.44049427311054778</v>
      </c>
      <c r="T45" s="600"/>
      <c r="U45" s="600"/>
      <c r="V45" s="600"/>
      <c r="W45" s="9"/>
    </row>
    <row r="46" spans="12:23" x14ac:dyDescent="0.35">
      <c r="L46" s="978"/>
      <c r="M46">
        <v>2025</v>
      </c>
      <c r="N46" s="600">
        <v>0.25582933067250613</v>
      </c>
      <c r="O46" s="600">
        <v>4.1666666666666664E-2</v>
      </c>
      <c r="P46" s="600">
        <v>5.4770511556577937E-2</v>
      </c>
      <c r="Q46" s="600">
        <v>0.10406397195749809</v>
      </c>
      <c r="R46" s="600">
        <v>0</v>
      </c>
      <c r="S46" s="606">
        <v>0.45633048085324879</v>
      </c>
      <c r="T46" s="600"/>
      <c r="U46" s="600"/>
      <c r="V46" s="600"/>
      <c r="W46" s="9"/>
    </row>
    <row r="47" spans="12:23" x14ac:dyDescent="0.35">
      <c r="L47" s="977" t="s">
        <v>22</v>
      </c>
      <c r="M47">
        <v>2013</v>
      </c>
      <c r="N47" s="600">
        <v>0.21752500000000002</v>
      </c>
      <c r="O47" s="600">
        <v>8.2191780821917804E-2</v>
      </c>
      <c r="P47" s="600">
        <v>5.2054794520547946E-2</v>
      </c>
      <c r="Q47" s="600">
        <v>8.2191780821917804E-2</v>
      </c>
      <c r="R47" s="600">
        <v>0</v>
      </c>
      <c r="S47" s="606">
        <v>0.43396335616438358</v>
      </c>
      <c r="T47" s="600"/>
      <c r="U47" s="600"/>
      <c r="V47" s="600"/>
      <c r="W47" s="9"/>
    </row>
    <row r="48" spans="12:23" x14ac:dyDescent="0.35">
      <c r="L48" s="944"/>
      <c r="M48">
        <v>2023</v>
      </c>
      <c r="N48" s="600">
        <v>0.2175</v>
      </c>
      <c r="O48" s="600">
        <v>8.2155767334866903E-2</v>
      </c>
      <c r="P48" s="600">
        <v>5.2031985978749043E-2</v>
      </c>
      <c r="Q48" s="600">
        <v>8.2155767334866903E-2</v>
      </c>
      <c r="R48" s="600">
        <v>0</v>
      </c>
      <c r="S48" s="606">
        <v>0.43384352064848281</v>
      </c>
      <c r="T48" s="600"/>
      <c r="U48" s="600"/>
      <c r="V48" s="600"/>
      <c r="W48" s="9"/>
    </row>
    <row r="49" spans="12:23" x14ac:dyDescent="0.35">
      <c r="L49" s="978"/>
      <c r="M49">
        <v>2025</v>
      </c>
      <c r="N49" s="600">
        <v>0.3075</v>
      </c>
      <c r="O49" s="600">
        <v>8.2155767334866903E-2</v>
      </c>
      <c r="P49" s="600">
        <v>5.2031985978749043E-2</v>
      </c>
      <c r="Q49" s="600">
        <v>8.2155767334866903E-2</v>
      </c>
      <c r="R49" s="600">
        <v>0</v>
      </c>
      <c r="S49" s="606">
        <v>0.52384352064848283</v>
      </c>
      <c r="T49" s="600"/>
      <c r="U49" s="600"/>
      <c r="V49" s="600"/>
      <c r="W49" s="9"/>
    </row>
    <row r="50" spans="12:23" x14ac:dyDescent="0.35">
      <c r="L50" s="977" t="s">
        <v>27</v>
      </c>
      <c r="M50">
        <v>2013</v>
      </c>
      <c r="N50" s="600">
        <v>0.14700000000000002</v>
      </c>
      <c r="O50" s="600">
        <v>0.16431153466973381</v>
      </c>
      <c r="P50" s="600">
        <v>5.4770511556577951E-2</v>
      </c>
      <c r="Q50" s="600">
        <v>8.2155767334866917E-2</v>
      </c>
      <c r="R50" s="600">
        <v>3.2862306933946761E-2</v>
      </c>
      <c r="S50" s="606">
        <v>0.42514657639073372</v>
      </c>
      <c r="T50" s="600"/>
      <c r="U50" s="600"/>
      <c r="V50" s="600"/>
      <c r="W50" s="9"/>
    </row>
    <row r="51" spans="12:23" x14ac:dyDescent="0.35">
      <c r="L51" s="944"/>
      <c r="M51">
        <v>2023</v>
      </c>
      <c r="N51" s="600">
        <v>0.14700000000000002</v>
      </c>
      <c r="O51" s="600">
        <v>0.16431153466973381</v>
      </c>
      <c r="P51" s="600">
        <v>5.4770511556577944E-2</v>
      </c>
      <c r="Q51" s="600">
        <v>8.2155767334866917E-2</v>
      </c>
      <c r="R51" s="600">
        <v>1.6431153466973381E-2</v>
      </c>
      <c r="S51" s="606">
        <v>0.46466896702815208</v>
      </c>
      <c r="T51" s="600"/>
      <c r="U51" s="600"/>
      <c r="V51" s="600"/>
      <c r="W51" s="9"/>
    </row>
    <row r="52" spans="12:23" x14ac:dyDescent="0.35">
      <c r="L52" s="978"/>
      <c r="M52">
        <v>2025</v>
      </c>
      <c r="N52" s="600">
        <v>0.14626682241906644</v>
      </c>
      <c r="O52" s="600">
        <v>0.16431153466973381</v>
      </c>
      <c r="P52" s="600">
        <v>5.477051155657793E-2</v>
      </c>
      <c r="Q52" s="600">
        <v>8.2155767334866917E-2</v>
      </c>
      <c r="R52" s="600">
        <v>1.6431153466973381E-2</v>
      </c>
      <c r="S52" s="606">
        <v>0.46393578944721842</v>
      </c>
      <c r="T52" s="600"/>
      <c r="U52" s="600"/>
      <c r="V52" s="600"/>
      <c r="W52" s="9"/>
    </row>
    <row r="53" spans="12:23" x14ac:dyDescent="0.35">
      <c r="L53" s="979" t="s">
        <v>28</v>
      </c>
      <c r="M53">
        <v>2013</v>
      </c>
      <c r="N53" s="600">
        <v>0.2369</v>
      </c>
      <c r="O53" s="600">
        <v>0</v>
      </c>
      <c r="P53" s="600">
        <v>4.1095890410958902E-2</v>
      </c>
      <c r="Q53" s="600">
        <v>8.2191780821917804E-2</v>
      </c>
      <c r="R53" s="600">
        <v>1.643835616438356E-2</v>
      </c>
      <c r="S53" s="606">
        <v>0.37662602739726025</v>
      </c>
      <c r="T53" s="600"/>
      <c r="U53" s="600"/>
      <c r="V53" s="600"/>
      <c r="W53" s="9"/>
    </row>
    <row r="54" spans="12:23" x14ac:dyDescent="0.35">
      <c r="L54" s="980"/>
      <c r="M54">
        <v>2023</v>
      </c>
      <c r="N54" s="600">
        <v>0.23899999999999999</v>
      </c>
      <c r="O54" s="600">
        <v>0</v>
      </c>
      <c r="P54" s="600">
        <v>4.1077883667433451E-2</v>
      </c>
      <c r="Q54" s="600">
        <v>8.215576733486693E-2</v>
      </c>
      <c r="R54" s="600">
        <v>1.6431153466973381E-2</v>
      </c>
      <c r="S54" s="606">
        <v>0.37866480446927381</v>
      </c>
      <c r="T54" s="600"/>
      <c r="U54" s="600"/>
      <c r="V54" s="600"/>
      <c r="W54" s="9"/>
    </row>
    <row r="55" spans="12:23" x14ac:dyDescent="0.35">
      <c r="L55" s="981"/>
      <c r="M55">
        <v>2025</v>
      </c>
      <c r="N55" s="600">
        <v>0.25180000000000002</v>
      </c>
      <c r="O55" s="600">
        <v>0</v>
      </c>
      <c r="P55" s="600">
        <v>4.1077883667433458E-2</v>
      </c>
      <c r="Q55" s="600">
        <v>8.2155767334866917E-2</v>
      </c>
      <c r="R55" s="600">
        <v>1.6431153466973381E-2</v>
      </c>
      <c r="S55" s="606">
        <v>0.39146480446927379</v>
      </c>
      <c r="T55" s="600"/>
      <c r="U55" s="600"/>
      <c r="V55" s="600"/>
      <c r="W55" s="9"/>
    </row>
    <row r="56" spans="12:23" x14ac:dyDescent="0.35">
      <c r="N56" s="600"/>
      <c r="O56" s="600"/>
      <c r="P56" s="600"/>
      <c r="Q56" s="600"/>
      <c r="R56" s="600"/>
      <c r="S56" s="600"/>
      <c r="T56" s="600"/>
      <c r="U56" s="600"/>
      <c r="V56" s="600"/>
    </row>
    <row r="57" spans="12:23" x14ac:dyDescent="0.35">
      <c r="N57" s="600"/>
      <c r="O57" s="600"/>
      <c r="P57" s="600"/>
      <c r="Q57" s="600"/>
      <c r="R57" s="600"/>
      <c r="S57" s="600"/>
      <c r="T57" s="600"/>
      <c r="U57" s="600"/>
      <c r="V57" s="600"/>
    </row>
  </sheetData>
  <mergeCells count="22">
    <mergeCell ref="A4:A6"/>
    <mergeCell ref="C4:L4"/>
    <mergeCell ref="M4:N5"/>
    <mergeCell ref="O4:R4"/>
    <mergeCell ref="B5:B6"/>
    <mergeCell ref="C5:G5"/>
    <mergeCell ref="H5:L5"/>
    <mergeCell ref="O5:P5"/>
    <mergeCell ref="Q5:R5"/>
    <mergeCell ref="L47:L49"/>
    <mergeCell ref="L50:L52"/>
    <mergeCell ref="L53:L55"/>
    <mergeCell ref="M31:M32"/>
    <mergeCell ref="L35:L37"/>
    <mergeCell ref="L38:L40"/>
    <mergeCell ref="L41:L43"/>
    <mergeCell ref="L44:L46"/>
    <mergeCell ref="N31:N32"/>
    <mergeCell ref="O31:P31"/>
    <mergeCell ref="Q31:R31"/>
    <mergeCell ref="L31:L32"/>
    <mergeCell ref="L33:S33"/>
  </mergeCells>
  <pageMargins left="0.7" right="0.7" top="0.75" bottom="0.75" header="0.3" footer="0.3"/>
  <pageSetup orientation="portrait" r:id="rId1"/>
  <drawing r:id="rId2"/>
  <legacyDrawing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837F2A-9BF8-42C6-B812-E501FA47B798}">
  <dimension ref="C3:Q24"/>
  <sheetViews>
    <sheetView topLeftCell="A40" zoomScale="70" zoomScaleNormal="70" workbookViewId="0">
      <selection activeCell="C8" sqref="C8"/>
    </sheetView>
  </sheetViews>
  <sheetFormatPr defaultColWidth="11.36328125" defaultRowHeight="14" x14ac:dyDescent="0.3"/>
  <cols>
    <col min="1" max="16384" width="11.36328125" style="221"/>
  </cols>
  <sheetData>
    <row r="3" spans="3:17" x14ac:dyDescent="0.3">
      <c r="D3" s="990" t="s">
        <v>134</v>
      </c>
      <c r="E3" s="992" t="s">
        <v>135</v>
      </c>
      <c r="F3" s="992" t="s">
        <v>136</v>
      </c>
      <c r="G3" s="994"/>
      <c r="H3" s="996" t="s">
        <v>137</v>
      </c>
      <c r="I3" s="997"/>
      <c r="J3" s="997"/>
      <c r="K3" s="996" t="s">
        <v>138</v>
      </c>
      <c r="L3" s="997"/>
      <c r="M3" s="998"/>
      <c r="N3" s="986" t="s">
        <v>82</v>
      </c>
      <c r="O3" s="988" t="s">
        <v>95</v>
      </c>
      <c r="P3" s="927" t="s">
        <v>96</v>
      </c>
      <c r="Q3" s="919" t="s">
        <v>81</v>
      </c>
    </row>
    <row r="4" spans="3:17" x14ac:dyDescent="0.3">
      <c r="D4" s="991"/>
      <c r="E4" s="993"/>
      <c r="F4" s="993"/>
      <c r="G4" s="995"/>
      <c r="H4" s="222" t="s">
        <v>77</v>
      </c>
      <c r="I4" s="222" t="s">
        <v>139</v>
      </c>
      <c r="J4" s="223" t="s">
        <v>79</v>
      </c>
      <c r="K4" s="224" t="s">
        <v>77</v>
      </c>
      <c r="L4" s="222" t="s">
        <v>139</v>
      </c>
      <c r="M4" s="223" t="s">
        <v>79</v>
      </c>
      <c r="N4" s="987"/>
      <c r="O4" s="989"/>
      <c r="P4" s="928"/>
      <c r="Q4" s="920"/>
    </row>
    <row r="5" spans="3:17" x14ac:dyDescent="0.3">
      <c r="C5" s="253" t="s">
        <v>11</v>
      </c>
      <c r="D5" s="227">
        <v>1126.0285838025084</v>
      </c>
      <c r="E5" s="228">
        <v>0.11</v>
      </c>
      <c r="F5" s="228">
        <v>0.1077</v>
      </c>
      <c r="G5" s="229"/>
      <c r="H5" s="228">
        <v>0.03</v>
      </c>
      <c r="I5" s="372">
        <v>0</v>
      </c>
      <c r="J5" s="373">
        <v>0</v>
      </c>
      <c r="K5" s="230">
        <f>(0.06+0.047)</f>
        <v>0.107</v>
      </c>
      <c r="L5" s="231">
        <v>2.9000000000000001E-2</v>
      </c>
      <c r="M5" s="229">
        <v>4.7E-2</v>
      </c>
      <c r="N5" s="232">
        <v>8.2191780821917804E-2</v>
      </c>
      <c r="O5" s="233">
        <v>3.8356164383561639E-2</v>
      </c>
      <c r="P5" s="234">
        <v>0.41666666666666669</v>
      </c>
      <c r="Q5" s="235">
        <v>0.16666666666666666</v>
      </c>
    </row>
    <row r="6" spans="3:17" x14ac:dyDescent="0.3">
      <c r="C6" s="252" t="s">
        <v>13</v>
      </c>
      <c r="D6" s="227">
        <v>992.43697478991669</v>
      </c>
      <c r="E6" s="228">
        <v>0.12709999999999999</v>
      </c>
      <c r="F6" s="228">
        <v>0.03</v>
      </c>
      <c r="G6" s="229"/>
      <c r="H6" s="228">
        <v>0</v>
      </c>
      <c r="I6" s="372">
        <v>0</v>
      </c>
      <c r="J6" s="373">
        <v>0</v>
      </c>
      <c r="K6" s="230">
        <v>0.1</v>
      </c>
      <c r="L6" s="231">
        <v>1.7100000000000001E-2</v>
      </c>
      <c r="M6" s="229"/>
      <c r="N6" s="232">
        <v>0.16438356164383561</v>
      </c>
      <c r="O6" s="233">
        <v>5.4794520547945209E-2</v>
      </c>
      <c r="P6" s="236">
        <v>8.3333333333333329E-2</v>
      </c>
      <c r="Q6" s="237">
        <v>0.05</v>
      </c>
    </row>
    <row r="7" spans="3:17" x14ac:dyDescent="0.3">
      <c r="C7" s="252"/>
      <c r="D7" s="238"/>
      <c r="E7" s="239"/>
      <c r="F7" s="228"/>
      <c r="G7" s="229"/>
      <c r="H7" s="228"/>
      <c r="I7" s="372"/>
      <c r="J7" s="373"/>
      <c r="K7" s="230"/>
      <c r="L7" s="231"/>
      <c r="M7" s="229"/>
      <c r="N7" s="232"/>
      <c r="O7" s="233"/>
      <c r="P7" s="240"/>
      <c r="Q7" s="241"/>
    </row>
    <row r="8" spans="3:17" x14ac:dyDescent="0.3">
      <c r="C8" s="252"/>
      <c r="D8" s="238"/>
      <c r="E8" s="239"/>
      <c r="F8" s="228"/>
      <c r="G8" s="229"/>
      <c r="H8" s="228"/>
      <c r="I8" s="372"/>
      <c r="J8" s="373"/>
      <c r="K8" s="230"/>
      <c r="L8" s="231"/>
      <c r="M8" s="229"/>
      <c r="N8" s="232"/>
      <c r="O8" s="233"/>
      <c r="P8" s="242"/>
      <c r="Q8" s="237"/>
    </row>
    <row r="9" spans="3:17" x14ac:dyDescent="0.3">
      <c r="C9" s="252"/>
      <c r="D9" s="227"/>
      <c r="E9" s="228"/>
      <c r="F9" s="228"/>
      <c r="G9" s="229"/>
      <c r="H9" s="228"/>
      <c r="I9" s="372"/>
      <c r="J9" s="373"/>
      <c r="K9" s="230"/>
      <c r="L9" s="231"/>
      <c r="M9" s="229"/>
      <c r="N9" s="232"/>
      <c r="O9" s="233"/>
      <c r="P9" s="242"/>
      <c r="Q9" s="237"/>
    </row>
    <row r="10" spans="3:17" x14ac:dyDescent="0.3">
      <c r="C10" s="252" t="s">
        <v>18</v>
      </c>
      <c r="D10" s="227">
        <v>1090.2938390092879</v>
      </c>
      <c r="E10" s="228">
        <f>0.042+0.01</f>
        <v>5.2000000000000005E-2</v>
      </c>
      <c r="F10" s="228">
        <f>0.0542+0.0325</f>
        <v>8.6699999999999999E-2</v>
      </c>
      <c r="G10" s="229"/>
      <c r="H10" s="228">
        <v>5.5E-2</v>
      </c>
      <c r="I10" s="372">
        <v>0</v>
      </c>
      <c r="J10" s="373">
        <f>0.02+0.0035+0.0036+0.001</f>
        <v>2.81E-2</v>
      </c>
      <c r="K10" s="230">
        <v>9.2499999999999999E-2</v>
      </c>
      <c r="L10" s="231">
        <v>0</v>
      </c>
      <c r="M10" s="229">
        <f>0.015+0.05+0.0025+0.015+0.005</f>
        <v>8.7500000000000008E-2</v>
      </c>
      <c r="N10" s="232">
        <v>8.2191780821917804E-2</v>
      </c>
      <c r="O10" s="233">
        <v>3.8356164383561646E-2</v>
      </c>
      <c r="P10" s="236">
        <v>5.8999999999999997E-2</v>
      </c>
      <c r="Q10" s="243">
        <v>1.6666666666666666E-2</v>
      </c>
    </row>
    <row r="11" spans="3:17" x14ac:dyDescent="0.3">
      <c r="C11" s="252" t="s">
        <v>17</v>
      </c>
      <c r="D11" s="227">
        <v>1097.5609756097563</v>
      </c>
      <c r="E11" s="228">
        <v>6.6400000000000001E-2</v>
      </c>
      <c r="F11" s="228">
        <v>3.8199999999999998E-2</v>
      </c>
      <c r="G11" s="229"/>
      <c r="H11" s="228">
        <v>0</v>
      </c>
      <c r="I11" s="372">
        <v>0</v>
      </c>
      <c r="J11" s="373">
        <v>0</v>
      </c>
      <c r="K11" s="230">
        <v>5.16E-2</v>
      </c>
      <c r="L11" s="231">
        <v>3.8E-3</v>
      </c>
      <c r="M11" s="229">
        <f>0.01+0.0035+0.0044</f>
        <v>1.7899999999999999E-2</v>
      </c>
      <c r="N11" s="232">
        <v>0.16552511415525112</v>
      </c>
      <c r="O11" s="233">
        <v>4.1095890410958909E-2</v>
      </c>
      <c r="P11" s="236">
        <v>8.3333333333333343E-2</v>
      </c>
      <c r="Q11" s="237">
        <v>0</v>
      </c>
    </row>
    <row r="12" spans="3:17" x14ac:dyDescent="0.3">
      <c r="C12" s="252" t="s">
        <v>21</v>
      </c>
      <c r="D12" s="227">
        <v>1057.7027863777091</v>
      </c>
      <c r="E12" s="228">
        <v>1.83E-2</v>
      </c>
      <c r="F12" s="228">
        <v>3.6700000000000003E-2</v>
      </c>
      <c r="G12" s="229"/>
      <c r="H12" s="228">
        <v>0.02</v>
      </c>
      <c r="I12" s="372">
        <v>0.01</v>
      </c>
      <c r="J12" s="373">
        <v>0</v>
      </c>
      <c r="K12" s="230">
        <v>0.04</v>
      </c>
      <c r="L12" s="231">
        <v>0.03</v>
      </c>
      <c r="M12" s="229">
        <f>0.01+0.01</f>
        <v>0.02</v>
      </c>
      <c r="N12" s="232">
        <v>0.16438356164383561</v>
      </c>
      <c r="O12" s="233">
        <v>4.1095890410958902E-2</v>
      </c>
      <c r="P12" s="236">
        <v>8.3333333333333343E-2</v>
      </c>
      <c r="Q12" s="244">
        <v>0</v>
      </c>
    </row>
    <row r="13" spans="3:17" x14ac:dyDescent="0.3">
      <c r="C13" s="252"/>
      <c r="D13" s="227"/>
      <c r="E13" s="228"/>
      <c r="F13" s="228"/>
      <c r="G13" s="229"/>
      <c r="H13" s="228"/>
      <c r="I13" s="372"/>
      <c r="J13" s="373"/>
      <c r="K13" s="230"/>
      <c r="L13" s="231"/>
      <c r="M13" s="229"/>
      <c r="N13" s="232"/>
      <c r="O13" s="233"/>
      <c r="P13" s="242"/>
      <c r="Q13" s="237"/>
    </row>
    <row r="14" spans="3:17" x14ac:dyDescent="0.3">
      <c r="C14" s="252"/>
      <c r="D14" s="227"/>
      <c r="E14" s="228"/>
      <c r="F14" s="228"/>
      <c r="G14" s="229"/>
      <c r="H14" s="228"/>
      <c r="I14" s="372"/>
      <c r="J14" s="373"/>
      <c r="K14" s="230"/>
      <c r="L14" s="231"/>
      <c r="M14" s="229"/>
      <c r="N14" s="232"/>
      <c r="O14" s="233"/>
      <c r="P14" s="242"/>
      <c r="Q14" s="237"/>
    </row>
    <row r="15" spans="3:17" x14ac:dyDescent="0.3">
      <c r="C15" s="252" t="s">
        <v>24</v>
      </c>
      <c r="D15" s="227">
        <v>848.83720930232573</v>
      </c>
      <c r="E15" s="228">
        <v>1.7500000000000002E-2</v>
      </c>
      <c r="F15" s="228">
        <v>6.9000000000000006E-2</v>
      </c>
      <c r="G15" s="229"/>
      <c r="H15" s="228">
        <f>0.01+0.004</f>
        <v>1.4E-2</v>
      </c>
      <c r="I15" s="372">
        <v>0</v>
      </c>
      <c r="J15" s="373">
        <v>0</v>
      </c>
      <c r="K15" s="230">
        <f>0.0175+0.204+0.01</f>
        <v>0.23149999999999998</v>
      </c>
      <c r="L15" s="231">
        <v>1.9800000000000002E-2</v>
      </c>
      <c r="M15" s="229">
        <f>0.01+0.05</f>
        <v>6.0000000000000005E-2</v>
      </c>
      <c r="N15" s="232">
        <v>4.1095890410958902E-2</v>
      </c>
      <c r="O15" s="233">
        <v>3.8356164383561639E-2</v>
      </c>
      <c r="P15" s="245">
        <v>0.1056</v>
      </c>
      <c r="Q15" s="237">
        <v>0</v>
      </c>
    </row>
    <row r="16" spans="3:17" x14ac:dyDescent="0.3">
      <c r="C16" s="252"/>
      <c r="D16" s="227"/>
      <c r="E16" s="228"/>
      <c r="F16" s="228"/>
      <c r="G16" s="229"/>
      <c r="H16" s="228"/>
      <c r="I16" s="372"/>
      <c r="J16" s="373"/>
      <c r="K16" s="230"/>
      <c r="L16" s="231"/>
      <c r="M16" s="229"/>
      <c r="N16" s="232"/>
      <c r="O16" s="233"/>
      <c r="P16" s="242"/>
      <c r="Q16" s="237"/>
    </row>
    <row r="17" spans="3:17" x14ac:dyDescent="0.3">
      <c r="C17" s="252" t="s">
        <v>19</v>
      </c>
      <c r="D17" s="227">
        <v>1227.6808510638298</v>
      </c>
      <c r="E17" s="228">
        <v>9.2499999999999999E-2</v>
      </c>
      <c r="F17" s="228">
        <v>4.2500000000000003E-2</v>
      </c>
      <c r="G17" s="229"/>
      <c r="H17" s="228">
        <v>5.0000000000000001E-3</v>
      </c>
      <c r="I17" s="372">
        <v>0</v>
      </c>
      <c r="J17" s="373">
        <v>1.2500000000000001E-2</v>
      </c>
      <c r="K17" s="230">
        <v>0.08</v>
      </c>
      <c r="L17" s="231">
        <v>4.1999999999999997E-3</v>
      </c>
      <c r="M17" s="229">
        <v>1.4999999999999999E-2</v>
      </c>
      <c r="N17" s="232">
        <v>0.16438356164383561</v>
      </c>
      <c r="O17" s="233">
        <v>8.2191780821917804E-2</v>
      </c>
      <c r="P17" s="245">
        <v>6.6111111111111107E-2</v>
      </c>
      <c r="Q17" s="237">
        <v>0</v>
      </c>
    </row>
    <row r="18" spans="3:17" x14ac:dyDescent="0.3">
      <c r="C18" s="252"/>
      <c r="D18" s="227"/>
      <c r="E18" s="228"/>
      <c r="F18" s="228"/>
      <c r="G18" s="229"/>
      <c r="H18" s="228"/>
      <c r="I18" s="372"/>
      <c r="J18" s="373"/>
      <c r="K18" s="230"/>
      <c r="L18" s="231"/>
      <c r="M18" s="229"/>
      <c r="N18" s="232"/>
      <c r="O18" s="233"/>
      <c r="P18" s="242"/>
      <c r="Q18" s="237"/>
    </row>
    <row r="19" spans="3:17" x14ac:dyDescent="0.3">
      <c r="C19" s="252" t="s">
        <v>20</v>
      </c>
      <c r="D19" s="227">
        <v>1001.0411005044745</v>
      </c>
      <c r="E19" s="228">
        <v>0.09</v>
      </c>
      <c r="F19" s="228">
        <v>0.14000000000000001</v>
      </c>
      <c r="G19" s="229"/>
      <c r="H19" s="228">
        <v>0</v>
      </c>
      <c r="I19" s="372">
        <v>0</v>
      </c>
      <c r="J19" s="373">
        <v>0</v>
      </c>
      <c r="K19" s="230">
        <v>0</v>
      </c>
      <c r="L19" s="231">
        <v>0</v>
      </c>
      <c r="M19" s="229">
        <v>0.03</v>
      </c>
      <c r="N19" s="232">
        <v>8.2191780821917804E-2</v>
      </c>
      <c r="O19" s="233">
        <v>3.2876712328767127E-2</v>
      </c>
      <c r="P19" s="242">
        <v>4.1666666666666664E-2</v>
      </c>
      <c r="Q19" s="237">
        <v>2.4999999999999998E-2</v>
      </c>
    </row>
    <row r="20" spans="3:17" x14ac:dyDescent="0.3">
      <c r="C20" s="252" t="s">
        <v>26</v>
      </c>
      <c r="D20" s="227">
        <v>1040.3319148936171</v>
      </c>
      <c r="E20" s="228">
        <v>2.87E-2</v>
      </c>
      <c r="F20" s="228">
        <v>7.0999999999999994E-2</v>
      </c>
      <c r="G20" s="229"/>
      <c r="H20" s="228">
        <v>3.04E-2</v>
      </c>
      <c r="I20" s="372">
        <v>0</v>
      </c>
      <c r="J20" s="373">
        <v>5.0000000000000001E-3</v>
      </c>
      <c r="K20" s="230">
        <v>7.0999999999999994E-2</v>
      </c>
      <c r="L20" s="231">
        <v>0.01</v>
      </c>
      <c r="M20" s="229">
        <v>0.01</v>
      </c>
      <c r="N20" s="232">
        <v>8.2191780821917804E-2</v>
      </c>
      <c r="O20" s="233">
        <v>4.9315068493150684E-2</v>
      </c>
      <c r="P20" s="242">
        <v>6.3888888888888898E-2</v>
      </c>
      <c r="Q20" s="237">
        <v>1.5555555555555555E-2</v>
      </c>
    </row>
    <row r="21" spans="3:17" x14ac:dyDescent="0.3">
      <c r="C21" s="252" t="s">
        <v>25</v>
      </c>
      <c r="D21" s="227">
        <v>848.83720930232573</v>
      </c>
      <c r="E21" s="228">
        <v>6.25E-2</v>
      </c>
      <c r="F21" s="228">
        <v>6.7500000000000004E-2</v>
      </c>
      <c r="G21" s="229"/>
      <c r="H21" s="228">
        <v>0.03</v>
      </c>
      <c r="I21" s="372">
        <v>0</v>
      </c>
      <c r="J21" s="373">
        <v>0</v>
      </c>
      <c r="K21" s="230">
        <v>7.4999999999999997E-2</v>
      </c>
      <c r="L21" s="231">
        <v>0</v>
      </c>
      <c r="M21" s="229">
        <v>0.01</v>
      </c>
      <c r="N21" s="232">
        <v>4.1095890410958902E-2</v>
      </c>
      <c r="O21" s="233">
        <v>6.575342465753424E-2</v>
      </c>
      <c r="P21" s="242">
        <v>8.3333333333333329E-2</v>
      </c>
      <c r="Q21" s="237">
        <v>0</v>
      </c>
    </row>
    <row r="22" spans="3:17" x14ac:dyDescent="0.3">
      <c r="C22" s="252" t="s">
        <v>14</v>
      </c>
      <c r="D22" s="246">
        <v>820.64541213063751</v>
      </c>
      <c r="E22" s="247">
        <v>0.15</v>
      </c>
      <c r="F22" s="247">
        <v>7.4999999999999997E-2</v>
      </c>
      <c r="G22" s="248"/>
      <c r="H22" s="247">
        <v>0.03</v>
      </c>
      <c r="I22" s="374">
        <v>0</v>
      </c>
      <c r="J22" s="375">
        <v>1E-3</v>
      </c>
      <c r="K22" s="249">
        <v>0.05</v>
      </c>
      <c r="L22" s="247">
        <v>6.9000000000000006E-2</v>
      </c>
      <c r="M22" s="248">
        <v>0.1</v>
      </c>
      <c r="N22" s="232">
        <v>8.2191780821917804E-2</v>
      </c>
      <c r="O22" s="233">
        <v>5.7534246575342465E-2</v>
      </c>
      <c r="P22" s="250">
        <v>9.9444444444444446E-2</v>
      </c>
      <c r="Q22" s="251">
        <v>0</v>
      </c>
    </row>
    <row r="23" spans="3:17" x14ac:dyDescent="0.3">
      <c r="C23" s="252"/>
      <c r="D23" s="252"/>
      <c r="E23" s="252"/>
      <c r="F23" s="252"/>
      <c r="G23" s="252"/>
      <c r="H23" s="253"/>
      <c r="I23" s="252"/>
      <c r="J23" s="252"/>
      <c r="K23" s="252"/>
      <c r="L23" s="252"/>
      <c r="M23" s="252"/>
      <c r="N23" s="254"/>
      <c r="O23" s="254"/>
      <c r="P23" s="252"/>
      <c r="Q23" s="252"/>
    </row>
    <row r="24" spans="3:17" x14ac:dyDescent="0.3">
      <c r="C24" s="278"/>
    </row>
  </sheetData>
  <mergeCells count="9">
    <mergeCell ref="Q3:Q4"/>
    <mergeCell ref="N3:N4"/>
    <mergeCell ref="O3:O4"/>
    <mergeCell ref="P3:P4"/>
    <mergeCell ref="D3:D4"/>
    <mergeCell ref="E3:E4"/>
    <mergeCell ref="F3:G4"/>
    <mergeCell ref="H3:J3"/>
    <mergeCell ref="K3:M3"/>
  </mergeCell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I73"/>
  <sheetViews>
    <sheetView workbookViewId="0"/>
  </sheetViews>
  <sheetFormatPr defaultColWidth="9.1796875" defaultRowHeight="14.5" x14ac:dyDescent="0.35"/>
  <cols>
    <col min="1" max="1" width="28.90625" customWidth="1"/>
    <col min="2" max="6" width="10.54296875" customWidth="1"/>
  </cols>
  <sheetData>
    <row r="1" spans="1:6" ht="18.5" x14ac:dyDescent="0.45">
      <c r="A1" s="21" t="s">
        <v>240</v>
      </c>
    </row>
    <row r="2" spans="1:6" x14ac:dyDescent="0.35">
      <c r="A2" t="s">
        <v>241</v>
      </c>
    </row>
    <row r="3" spans="1:6" hidden="1" x14ac:dyDescent="0.35">
      <c r="B3" t="s">
        <v>25</v>
      </c>
      <c r="C3" t="s">
        <v>31</v>
      </c>
      <c r="E3" t="s">
        <v>14</v>
      </c>
      <c r="F3" t="s">
        <v>22</v>
      </c>
    </row>
    <row r="4" spans="1:6" hidden="1" x14ac:dyDescent="0.35">
      <c r="A4" t="s">
        <v>166</v>
      </c>
      <c r="B4" s="29">
        <v>19369.410535282801</v>
      </c>
      <c r="C4" s="29">
        <v>69279.42526894639</v>
      </c>
      <c r="D4" s="29"/>
      <c r="E4" s="29">
        <v>41717.517890633171</v>
      </c>
      <c r="F4" s="29">
        <v>43705.439247906645</v>
      </c>
    </row>
    <row r="5" spans="1:6" hidden="1" x14ac:dyDescent="0.35">
      <c r="A5" t="s">
        <v>89</v>
      </c>
      <c r="B5" s="29">
        <v>0.49299999999999999</v>
      </c>
      <c r="C5" s="29">
        <v>3.839</v>
      </c>
      <c r="D5" s="29"/>
      <c r="E5" s="29">
        <v>17.292999999999999</v>
      </c>
      <c r="F5" s="29">
        <v>3.9550000000000001</v>
      </c>
    </row>
    <row r="6" spans="1:6" hidden="1" x14ac:dyDescent="0.35">
      <c r="A6" t="s">
        <v>167</v>
      </c>
      <c r="B6" s="29">
        <v>4596.3488843813384</v>
      </c>
      <c r="C6" s="29">
        <v>6772.6074498567341</v>
      </c>
      <c r="D6" s="29"/>
      <c r="E6" s="29">
        <v>5495.8653790551089</v>
      </c>
      <c r="F6" s="29">
        <v>8225.2844500632109</v>
      </c>
    </row>
    <row r="7" spans="1:6" hidden="1" x14ac:dyDescent="0.35">
      <c r="B7" s="29"/>
      <c r="C7" s="29"/>
      <c r="D7" s="29"/>
      <c r="E7" s="29"/>
      <c r="F7" s="29"/>
    </row>
    <row r="8" spans="1:6" hidden="1" x14ac:dyDescent="0.35">
      <c r="A8" t="s">
        <v>60</v>
      </c>
      <c r="B8" s="9">
        <v>0.23729936830079326</v>
      </c>
      <c r="C8" s="9">
        <v>9.7757846915806731E-2</v>
      </c>
      <c r="D8" s="9"/>
      <c r="E8" s="9">
        <v>0.13173998974395107</v>
      </c>
      <c r="F8" s="9">
        <v>0.18819818749349776</v>
      </c>
    </row>
    <row r="9" spans="1:6" hidden="1" x14ac:dyDescent="0.35">
      <c r="A9" s="14" t="s">
        <v>39</v>
      </c>
      <c r="B9" s="9">
        <v>2.1950191567823379E-2</v>
      </c>
      <c r="C9" s="9">
        <v>5.4646552354316964E-3</v>
      </c>
      <c r="D9" s="9"/>
      <c r="E9" s="9">
        <v>2.5853972987250395E-2</v>
      </c>
      <c r="F9" s="9">
        <v>1.1291891249609869E-2</v>
      </c>
    </row>
    <row r="10" spans="1:6" hidden="1" x14ac:dyDescent="0.35">
      <c r="A10" t="s">
        <v>40</v>
      </c>
      <c r="B10" s="9">
        <v>1.4831210518799579E-2</v>
      </c>
      <c r="C10" s="9">
        <v>3.8516532428624121E-3</v>
      </c>
      <c r="D10" s="9"/>
      <c r="E10" s="9">
        <v>1.9760998461592662E-2</v>
      </c>
      <c r="F10" s="9">
        <v>7.527927499739912E-3</v>
      </c>
    </row>
    <row r="11" spans="1:6" hidden="1" x14ac:dyDescent="0.35">
      <c r="A11" t="s">
        <v>41</v>
      </c>
      <c r="B11" s="9">
        <v>7.1189810490237988E-3</v>
      </c>
      <c r="C11" s="9">
        <v>1.6130019925692839E-3</v>
      </c>
      <c r="D11" s="9"/>
      <c r="E11" s="9">
        <v>5.9282995384777968E-3</v>
      </c>
      <c r="F11" s="9">
        <v>0</v>
      </c>
    </row>
    <row r="12" spans="1:6" hidden="1" x14ac:dyDescent="0.35">
      <c r="A12" t="s">
        <v>42</v>
      </c>
      <c r="B12" s="9">
        <v>0</v>
      </c>
      <c r="C12" s="9"/>
      <c r="D12" s="9"/>
      <c r="E12" s="9">
        <v>0</v>
      </c>
      <c r="F12" s="9">
        <v>9.40990937467489E-4</v>
      </c>
    </row>
    <row r="13" spans="1:6" hidden="1" x14ac:dyDescent="0.35">
      <c r="A13" t="s">
        <v>43</v>
      </c>
      <c r="B13" s="9">
        <v>0</v>
      </c>
      <c r="C13" s="9"/>
      <c r="D13" s="9"/>
      <c r="E13" s="9">
        <v>1.6467498717993883E-4</v>
      </c>
      <c r="F13" s="9">
        <v>2.8229728124024673E-3</v>
      </c>
    </row>
    <row r="14" spans="1:6" hidden="1" x14ac:dyDescent="0.35">
      <c r="A14" s="14" t="s">
        <v>44</v>
      </c>
      <c r="B14" s="9">
        <v>3.618815366587097E-2</v>
      </c>
      <c r="C14" s="9">
        <v>7.7033064857248241E-3</v>
      </c>
      <c r="D14" s="9"/>
      <c r="E14" s="9">
        <v>2.5722232997506447E-2</v>
      </c>
      <c r="F14" s="9">
        <v>2.9645919484913238E-2</v>
      </c>
    </row>
    <row r="15" spans="1:6" hidden="1" x14ac:dyDescent="0.35">
      <c r="A15" t="s">
        <v>40</v>
      </c>
      <c r="B15" s="9">
        <v>1.6017707360303546E-2</v>
      </c>
      <c r="C15" s="9">
        <v>7.7033064857248241E-3</v>
      </c>
      <c r="D15" s="9"/>
      <c r="E15" s="9">
        <v>9.8804992307963309E-3</v>
      </c>
      <c r="F15" s="9">
        <v>1.6937836874414802E-2</v>
      </c>
    </row>
    <row r="16" spans="1:6" hidden="1" x14ac:dyDescent="0.35">
      <c r="A16" t="s">
        <v>41</v>
      </c>
      <c r="B16" s="9">
        <v>1.7797452622559495E-2</v>
      </c>
      <c r="C16" s="9"/>
      <c r="D16" s="9"/>
      <c r="E16" s="9">
        <v>6.5869994871975536E-3</v>
      </c>
      <c r="F16" s="9">
        <v>0</v>
      </c>
    </row>
    <row r="17" spans="1:9" hidden="1" x14ac:dyDescent="0.35">
      <c r="A17" t="s">
        <v>42</v>
      </c>
      <c r="B17" s="9">
        <v>0</v>
      </c>
      <c r="C17" s="9"/>
      <c r="D17" s="9"/>
      <c r="E17" s="9">
        <v>9.0900592923326244E-3</v>
      </c>
      <c r="F17" s="9">
        <v>5.180155110758527E-3</v>
      </c>
    </row>
    <row r="18" spans="1:9" hidden="1" x14ac:dyDescent="0.35">
      <c r="A18" t="s">
        <v>43</v>
      </c>
      <c r="B18" s="9">
        <v>2.3729936830079327E-3</v>
      </c>
      <c r="C18" s="9"/>
      <c r="D18" s="9"/>
      <c r="E18" s="9">
        <v>1.6467498717993883E-4</v>
      </c>
      <c r="F18" s="9">
        <v>7.527927499739912E-3</v>
      </c>
    </row>
    <row r="19" spans="1:9" hidden="1" x14ac:dyDescent="0.35">
      <c r="B19" s="9"/>
      <c r="C19" s="9"/>
      <c r="D19" s="9"/>
      <c r="E19" s="9"/>
      <c r="F19" s="9"/>
    </row>
    <row r="20" spans="1:9" hidden="1" x14ac:dyDescent="0.35">
      <c r="A20" t="s">
        <v>5</v>
      </c>
      <c r="B20" s="9">
        <v>9.7520288342791746E-3</v>
      </c>
      <c r="C20" s="9"/>
      <c r="D20" s="9"/>
      <c r="E20" s="9">
        <v>1.0827944362516526E-2</v>
      </c>
      <c r="F20" s="9">
        <v>1.5468344177547761E-2</v>
      </c>
    </row>
    <row r="21" spans="1:9" hidden="1" x14ac:dyDescent="0.35">
      <c r="A21" t="s">
        <v>4</v>
      </c>
      <c r="B21" s="9">
        <v>1.560324613484668E-2</v>
      </c>
      <c r="C21" s="9">
        <v>3.749616046085738E-3</v>
      </c>
      <c r="D21" s="9"/>
      <c r="E21" s="9">
        <v>7.5795610537615684E-3</v>
      </c>
      <c r="F21" s="9">
        <v>9.7966179791135824E-3</v>
      </c>
    </row>
    <row r="22" spans="1:9" hidden="1" x14ac:dyDescent="0.35">
      <c r="A22" t="s">
        <v>45</v>
      </c>
      <c r="B22" s="9">
        <v>9.752028834279175E-2</v>
      </c>
      <c r="C22" s="9">
        <v>2.222986655893687E-2</v>
      </c>
      <c r="D22" s="9"/>
      <c r="E22" s="9">
        <v>6.4606734696348603E-2</v>
      </c>
      <c r="F22" s="9">
        <v>7.7341720887738802E-2</v>
      </c>
    </row>
    <row r="23" spans="1:9" hidden="1" x14ac:dyDescent="0.35">
      <c r="A23" t="s">
        <v>46</v>
      </c>
      <c r="B23" s="9">
        <v>0</v>
      </c>
      <c r="C23" s="9"/>
      <c r="D23" s="9"/>
      <c r="E23" s="9">
        <v>0</v>
      </c>
      <c r="F23" s="9">
        <v>0</v>
      </c>
    </row>
    <row r="24" spans="1:9" hidden="1" x14ac:dyDescent="0.35">
      <c r="B24" s="9"/>
      <c r="C24" s="9"/>
      <c r="D24" s="9"/>
      <c r="E24" s="9"/>
      <c r="F24" s="9"/>
    </row>
    <row r="25" spans="1:9" hidden="1" x14ac:dyDescent="0.35">
      <c r="A25" t="s">
        <v>47</v>
      </c>
      <c r="B25" s="9">
        <v>1.9504057668558349E-2</v>
      </c>
      <c r="C25" s="9">
        <v>7.4992320921714762E-4</v>
      </c>
      <c r="D25" s="9"/>
      <c r="E25" s="9">
        <v>1.2921346939269721E-2</v>
      </c>
      <c r="F25" s="9">
        <v>1.546834417754776E-2</v>
      </c>
    </row>
    <row r="26" spans="1:9" hidden="1" x14ac:dyDescent="0.35">
      <c r="A26" t="s">
        <v>48</v>
      </c>
      <c r="B26" s="9">
        <v>0</v>
      </c>
      <c r="C26" s="9">
        <v>4.4459733117873743E-3</v>
      </c>
      <c r="D26" s="9"/>
      <c r="E26" s="9">
        <v>0</v>
      </c>
      <c r="F26" s="9">
        <v>0</v>
      </c>
    </row>
    <row r="28" spans="1:9" s="25" customFormat="1" ht="12.75" customHeight="1" x14ac:dyDescent="0.35">
      <c r="A28" s="937"/>
      <c r="B28" s="940" t="s">
        <v>70</v>
      </c>
      <c r="C28" s="916"/>
      <c r="D28" s="916"/>
      <c r="E28" s="916"/>
      <c r="F28" s="916"/>
    </row>
    <row r="29" spans="1:9" s="25" customFormat="1" ht="25.5" customHeight="1" x14ac:dyDescent="0.35">
      <c r="A29" s="939"/>
      <c r="B29" s="940" t="s">
        <v>73</v>
      </c>
      <c r="C29" s="941"/>
      <c r="D29" s="15"/>
      <c r="E29" s="916" t="s">
        <v>74</v>
      </c>
      <c r="F29" s="916"/>
    </row>
    <row r="30" spans="1:9" s="25" customFormat="1" ht="52" x14ac:dyDescent="0.35">
      <c r="A30" s="458"/>
      <c r="B30" s="35" t="s">
        <v>80</v>
      </c>
      <c r="C30" s="36" t="s">
        <v>81</v>
      </c>
      <c r="D30" s="458" t="s">
        <v>187</v>
      </c>
      <c r="E30" s="458" t="s">
        <v>80</v>
      </c>
      <c r="F30" s="458" t="s">
        <v>81</v>
      </c>
    </row>
    <row r="31" spans="1:9" x14ac:dyDescent="0.35">
      <c r="A31" s="193" t="s">
        <v>27</v>
      </c>
      <c r="B31" s="48">
        <v>0.27924089315484057</v>
      </c>
      <c r="C31" s="49">
        <v>5.5848178630968109E-2</v>
      </c>
      <c r="D31" s="91">
        <v>0.33508907178580871</v>
      </c>
      <c r="E31" s="91">
        <v>5.5848178630968116E-2</v>
      </c>
      <c r="F31" s="91">
        <v>1.1169635726193622E-2</v>
      </c>
      <c r="G31" s="7">
        <v>6.701781435716174E-2</v>
      </c>
      <c r="I31" s="5" t="s">
        <v>73</v>
      </c>
    </row>
    <row r="32" spans="1:9" x14ac:dyDescent="0.35">
      <c r="A32" t="s">
        <v>13</v>
      </c>
      <c r="B32" s="50">
        <v>0.13668895578164175</v>
      </c>
      <c r="C32" s="68">
        <v>8.2013373468985046E-2</v>
      </c>
      <c r="D32" s="3">
        <v>0.2187023292506268</v>
      </c>
      <c r="E32" s="3">
        <v>2.733779115632835E-2</v>
      </c>
      <c r="F32" s="3">
        <v>1.6402674693797008E-2</v>
      </c>
      <c r="G32" s="7">
        <v>4.3740465850125358E-2</v>
      </c>
    </row>
    <row r="33" spans="1:7" x14ac:dyDescent="0.35">
      <c r="A33" t="s">
        <v>21</v>
      </c>
      <c r="B33" s="50">
        <v>0.17717065922192476</v>
      </c>
      <c r="C33" s="51">
        <v>0</v>
      </c>
      <c r="D33" s="3">
        <v>0.17717065922192476</v>
      </c>
      <c r="E33" s="3">
        <v>3.5434131844384952E-2</v>
      </c>
      <c r="F33" s="3">
        <v>0</v>
      </c>
      <c r="G33" s="7">
        <v>3.5434131844384952E-2</v>
      </c>
    </row>
    <row r="34" spans="1:7" x14ac:dyDescent="0.35">
      <c r="A34" t="s">
        <v>16</v>
      </c>
      <c r="B34" s="50">
        <v>0.1628106400795242</v>
      </c>
      <c r="C34" s="51">
        <v>0</v>
      </c>
      <c r="D34" s="3">
        <v>0.1628106400795242</v>
      </c>
      <c r="E34" s="3">
        <v>3.2562128015904843E-2</v>
      </c>
      <c r="F34" s="3">
        <v>0</v>
      </c>
      <c r="G34" s="7">
        <v>3.2562128015904843E-2</v>
      </c>
    </row>
    <row r="35" spans="1:7" x14ac:dyDescent="0.35">
      <c r="A35" t="s">
        <v>20</v>
      </c>
      <c r="B35" s="50">
        <v>9.7229014902745631E-2</v>
      </c>
      <c r="C35" s="51">
        <v>5.8337408941647378E-2</v>
      </c>
      <c r="D35" s="3">
        <v>0.15556642384439301</v>
      </c>
      <c r="E35" s="3">
        <v>1.9445802980549126E-2</v>
      </c>
      <c r="F35" s="3">
        <v>1.1667481788329475E-2</v>
      </c>
      <c r="G35" s="7">
        <v>3.1113284768878601E-2</v>
      </c>
    </row>
    <row r="36" spans="1:7" x14ac:dyDescent="0.35">
      <c r="A36" t="s">
        <v>23</v>
      </c>
      <c r="B36" s="50">
        <v>0.15532989075404877</v>
      </c>
      <c r="C36" s="51">
        <v>0</v>
      </c>
      <c r="D36" s="3">
        <v>0.15532989075404877</v>
      </c>
      <c r="E36" s="3">
        <v>3.1065978150809755E-2</v>
      </c>
      <c r="F36" s="3">
        <v>0</v>
      </c>
      <c r="G36" s="7">
        <v>3.1065978150809755E-2</v>
      </c>
    </row>
    <row r="37" spans="1:7" x14ac:dyDescent="0.35">
      <c r="A37" t="s">
        <v>17</v>
      </c>
      <c r="B37" s="50">
        <v>0.1197156778891839</v>
      </c>
      <c r="C37" s="51">
        <v>0</v>
      </c>
      <c r="D37" s="3">
        <v>0.1197156778891839</v>
      </c>
      <c r="E37" s="3">
        <v>2.3943135577836779E-2</v>
      </c>
      <c r="F37" s="3">
        <v>0</v>
      </c>
      <c r="G37" s="7">
        <v>2.3943135577836779E-2</v>
      </c>
    </row>
    <row r="38" spans="1:7" x14ac:dyDescent="0.35">
      <c r="A38" t="s">
        <v>11</v>
      </c>
      <c r="B38" s="50">
        <v>8.3748423803330044E-2</v>
      </c>
      <c r="C38" s="51">
        <v>3.3499369521332027E-2</v>
      </c>
      <c r="D38" s="3">
        <v>0.11724779332466206</v>
      </c>
      <c r="E38" s="3">
        <v>1.674968476066601E-2</v>
      </c>
      <c r="F38" s="3">
        <v>6.6998739042664051E-3</v>
      </c>
      <c r="G38" s="7">
        <v>2.3449558664932417E-2</v>
      </c>
    </row>
    <row r="39" spans="1:7" x14ac:dyDescent="0.35">
      <c r="A39" t="s">
        <v>18</v>
      </c>
      <c r="B39" s="50">
        <v>8.320797027696876E-2</v>
      </c>
      <c r="C39" s="51">
        <v>2.3549425550085497E-2</v>
      </c>
      <c r="D39" s="3">
        <v>0.10675739582705426</v>
      </c>
      <c r="E39" s="3">
        <v>1.6641594055393751E-2</v>
      </c>
      <c r="F39" s="3">
        <v>4.7098851100170992E-3</v>
      </c>
      <c r="G39" s="7">
        <v>2.1351479165410851E-2</v>
      </c>
    </row>
    <row r="40" spans="1:7" s="60" customFormat="1" x14ac:dyDescent="0.35">
      <c r="A40" t="s">
        <v>25</v>
      </c>
      <c r="B40" s="50">
        <v>9.752028834279175E-2</v>
      </c>
      <c r="C40" s="51">
        <v>0</v>
      </c>
      <c r="D40" s="3">
        <v>9.752028834279175E-2</v>
      </c>
      <c r="E40" s="3">
        <v>1.9504057668558349E-2</v>
      </c>
      <c r="F40" s="3">
        <v>0</v>
      </c>
      <c r="G40" s="7">
        <v>1.9504057668558349E-2</v>
      </c>
    </row>
    <row r="41" spans="1:7" x14ac:dyDescent="0.35">
      <c r="A41" t="s">
        <v>22</v>
      </c>
      <c r="B41" s="50">
        <v>7.7341720887738802E-2</v>
      </c>
      <c r="C41" s="51">
        <v>0</v>
      </c>
      <c r="D41" s="3">
        <v>7.7341720887738802E-2</v>
      </c>
      <c r="E41" s="3">
        <v>1.546834417754776E-2</v>
      </c>
      <c r="F41" s="3">
        <v>0</v>
      </c>
      <c r="G41" s="7">
        <v>1.546834417754776E-2</v>
      </c>
    </row>
    <row r="42" spans="1:7" x14ac:dyDescent="0.35">
      <c r="A42" t="s">
        <v>28</v>
      </c>
      <c r="B42" s="50">
        <v>6.1126741402671811E-2</v>
      </c>
      <c r="C42" s="51">
        <v>1.2225348280534362E-2</v>
      </c>
      <c r="D42" s="3">
        <v>7.3352089683206168E-2</v>
      </c>
      <c r="E42" s="3">
        <v>1.2225348280534362E-2</v>
      </c>
      <c r="F42" s="3">
        <v>2.4450696561068722E-3</v>
      </c>
      <c r="G42" s="7">
        <v>1.4670417936641235E-2</v>
      </c>
    </row>
    <row r="43" spans="1:7" x14ac:dyDescent="0.35">
      <c r="A43" t="s">
        <v>19</v>
      </c>
      <c r="B43" s="50">
        <v>7.2799498012281472E-2</v>
      </c>
      <c r="C43" s="51">
        <v>0</v>
      </c>
      <c r="D43" s="3">
        <v>7.2799498012281472E-2</v>
      </c>
      <c r="E43" s="3">
        <v>1.4559899602456294E-2</v>
      </c>
      <c r="F43" s="3">
        <v>0</v>
      </c>
      <c r="G43" s="7">
        <v>1.4559899602456294E-2</v>
      </c>
    </row>
    <row r="44" spans="1:7" x14ac:dyDescent="0.35">
      <c r="A44" t="s">
        <v>15</v>
      </c>
      <c r="B44" s="50">
        <v>6.4819632445263217E-2</v>
      </c>
      <c r="C44" s="51">
        <v>4.4195203939952207E-3</v>
      </c>
      <c r="D44" s="3">
        <v>6.9239152839258439E-2</v>
      </c>
      <c r="E44" s="3">
        <v>1.2963926489052643E-2</v>
      </c>
      <c r="F44" s="3">
        <v>8.8390407879904414E-4</v>
      </c>
      <c r="G44" s="7">
        <v>1.3847830567851688E-2</v>
      </c>
    </row>
    <row r="45" spans="1:7" x14ac:dyDescent="0.35">
      <c r="A45" t="s">
        <v>14</v>
      </c>
      <c r="B45" s="50">
        <v>6.4606734696348603E-2</v>
      </c>
      <c r="C45" s="51">
        <v>0</v>
      </c>
      <c r="D45" s="3">
        <v>6.4606734696348603E-2</v>
      </c>
      <c r="E45" s="3">
        <v>1.2921346939269721E-2</v>
      </c>
      <c r="F45" s="3">
        <v>0</v>
      </c>
      <c r="G45" s="7">
        <v>1.2921346939269721E-2</v>
      </c>
    </row>
    <row r="46" spans="1:7" x14ac:dyDescent="0.35">
      <c r="A46" t="s">
        <v>29</v>
      </c>
      <c r="B46" s="50">
        <v>4.1497233030246584E-2</v>
      </c>
      <c r="C46" s="51">
        <v>1.659889321209863E-2</v>
      </c>
      <c r="D46" s="3">
        <v>5.8096126242345211E-2</v>
      </c>
      <c r="E46" s="3">
        <v>8.2994466060493169E-3</v>
      </c>
      <c r="F46" s="3">
        <v>3.3197786424197261E-3</v>
      </c>
      <c r="G46" s="7">
        <v>1.1619225248469043E-2</v>
      </c>
    </row>
    <row r="47" spans="1:7" x14ac:dyDescent="0.35">
      <c r="A47" t="s">
        <v>26</v>
      </c>
      <c r="B47" s="50">
        <v>4.0011442066433277E-2</v>
      </c>
      <c r="C47" s="51">
        <v>9.7419163292185376E-3</v>
      </c>
      <c r="D47" s="3">
        <v>4.9753358395651814E-2</v>
      </c>
      <c r="E47" s="3">
        <v>8.0022884132866547E-3</v>
      </c>
      <c r="F47" s="3">
        <v>1.9483832658437074E-3</v>
      </c>
      <c r="G47" s="7">
        <v>9.9506716791303625E-3</v>
      </c>
    </row>
    <row r="48" spans="1:7" x14ac:dyDescent="0.35">
      <c r="A48" t="s">
        <v>12</v>
      </c>
      <c r="B48" s="50">
        <v>2.4487468990578892E-2</v>
      </c>
      <c r="C48" s="51">
        <v>1.7855446138963778E-2</v>
      </c>
      <c r="D48" s="3">
        <v>4.234291512954267E-2</v>
      </c>
      <c r="E48" s="3">
        <v>4.8974937981157785E-3</v>
      </c>
      <c r="F48" s="3">
        <v>3.5710892277927555E-3</v>
      </c>
      <c r="G48" s="7">
        <v>8.468583025908534E-3</v>
      </c>
    </row>
    <row r="49" spans="1:9" x14ac:dyDescent="0.35">
      <c r="A49" t="s">
        <v>24</v>
      </c>
      <c r="B49" s="50">
        <v>3.9594427255182765E-2</v>
      </c>
      <c r="C49" s="51">
        <v>0</v>
      </c>
      <c r="D49" s="3">
        <v>3.9594427255182765E-2</v>
      </c>
      <c r="E49" s="3">
        <v>7.9188854510365524E-3</v>
      </c>
      <c r="F49" s="3">
        <v>0</v>
      </c>
      <c r="G49" s="7">
        <v>7.9188854510365524E-3</v>
      </c>
    </row>
    <row r="50" spans="1:9" x14ac:dyDescent="0.35">
      <c r="A50" s="176" t="s">
        <v>31</v>
      </c>
      <c r="B50" s="52">
        <v>2.222986655893687E-2</v>
      </c>
      <c r="C50" s="53"/>
      <c r="D50" s="92">
        <v>2.222986655893687E-2</v>
      </c>
      <c r="E50" s="92">
        <v>4.4459733117873743E-3</v>
      </c>
      <c r="F50" s="92">
        <v>0</v>
      </c>
      <c r="G50" s="7">
        <v>4.4459733117873743E-3</v>
      </c>
    </row>
    <row r="51" spans="1:9" x14ac:dyDescent="0.35">
      <c r="B51" s="2">
        <f>+AVERAGE(B31:B50)</f>
        <v>9.5058858977634109E-2</v>
      </c>
      <c r="C51" s="2">
        <f>+AVERAGE(C31:C50)</f>
        <v>1.6530993708833087E-2</v>
      </c>
      <c r="D51" s="7">
        <f>+AVERAGE(D31:D50)</f>
        <v>0.11076330300102558</v>
      </c>
      <c r="E51" s="7"/>
      <c r="F51" s="7"/>
      <c r="G51" s="7">
        <f>+AVERAGE(G31:G50)</f>
        <v>2.2152660600205109E-2</v>
      </c>
    </row>
    <row r="53" spans="1:9" ht="15" customHeight="1" x14ac:dyDescent="0.35">
      <c r="A53" s="977"/>
    </row>
    <row r="54" spans="1:9" x14ac:dyDescent="0.35">
      <c r="A54" s="978"/>
      <c r="I54" s="5" t="s">
        <v>74</v>
      </c>
    </row>
    <row r="55" spans="1:9" x14ac:dyDescent="0.35">
      <c r="A55" s="91"/>
    </row>
    <row r="56" spans="1:9" x14ac:dyDescent="0.35">
      <c r="A56" s="3"/>
    </row>
    <row r="57" spans="1:9" x14ac:dyDescent="0.35">
      <c r="A57" s="3"/>
    </row>
    <row r="58" spans="1:9" x14ac:dyDescent="0.35">
      <c r="A58" s="3"/>
    </row>
    <row r="59" spans="1:9" x14ac:dyDescent="0.35">
      <c r="A59" s="3"/>
    </row>
    <row r="60" spans="1:9" x14ac:dyDescent="0.35">
      <c r="A60" s="3"/>
    </row>
    <row r="61" spans="1:9" x14ac:dyDescent="0.35">
      <c r="A61" s="3"/>
    </row>
    <row r="62" spans="1:9" x14ac:dyDescent="0.35">
      <c r="A62" s="3"/>
    </row>
    <row r="63" spans="1:9" x14ac:dyDescent="0.35">
      <c r="A63" s="3"/>
    </row>
    <row r="64" spans="1:9" x14ac:dyDescent="0.35">
      <c r="A64" s="3"/>
    </row>
    <row r="65" spans="1:1" x14ac:dyDescent="0.35">
      <c r="A65" s="3"/>
    </row>
    <row r="66" spans="1:1" x14ac:dyDescent="0.35">
      <c r="A66" s="3"/>
    </row>
    <row r="67" spans="1:1" x14ac:dyDescent="0.35">
      <c r="A67" s="3"/>
    </row>
    <row r="68" spans="1:1" x14ac:dyDescent="0.35">
      <c r="A68" s="3"/>
    </row>
    <row r="69" spans="1:1" x14ac:dyDescent="0.35">
      <c r="A69" s="3"/>
    </row>
    <row r="70" spans="1:1" x14ac:dyDescent="0.35">
      <c r="A70" s="3"/>
    </row>
    <row r="71" spans="1:1" x14ac:dyDescent="0.35">
      <c r="A71" s="3"/>
    </row>
    <row r="72" spans="1:1" x14ac:dyDescent="0.35">
      <c r="A72" s="3"/>
    </row>
    <row r="73" spans="1:1" x14ac:dyDescent="0.35">
      <c r="A73" s="3"/>
    </row>
  </sheetData>
  <sortState xmlns:xlrd2="http://schemas.microsoft.com/office/spreadsheetml/2017/richdata2" ref="A31:G50">
    <sortCondition descending="1" ref="D31:D50"/>
  </sortState>
  <mergeCells count="5">
    <mergeCell ref="A53:A54"/>
    <mergeCell ref="A28:A29"/>
    <mergeCell ref="B28:F28"/>
    <mergeCell ref="B29:C29"/>
    <mergeCell ref="E29:F29"/>
  </mergeCell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3:H46"/>
  <sheetViews>
    <sheetView workbookViewId="0"/>
  </sheetViews>
  <sheetFormatPr defaultColWidth="11.36328125" defaultRowHeight="14.5" x14ac:dyDescent="0.35"/>
  <sheetData>
    <row r="3" spans="1:8" ht="60" x14ac:dyDescent="0.35">
      <c r="A3" s="75"/>
      <c r="B3" s="87" t="s">
        <v>239</v>
      </c>
      <c r="C3" s="75"/>
      <c r="D3" s="75"/>
      <c r="E3" s="87" t="s">
        <v>242</v>
      </c>
      <c r="F3" s="75"/>
      <c r="G3" s="75"/>
      <c r="H3" s="87" t="s">
        <v>232</v>
      </c>
    </row>
    <row r="4" spans="1:8" x14ac:dyDescent="0.35">
      <c r="A4" s="79" t="s">
        <v>26</v>
      </c>
      <c r="B4" s="80">
        <v>0.46666666865348816</v>
      </c>
      <c r="C4" s="77"/>
      <c r="D4" s="78" t="s">
        <v>16</v>
      </c>
      <c r="E4" s="76">
        <v>0</v>
      </c>
      <c r="F4" s="77"/>
      <c r="G4" s="78" t="s">
        <v>17</v>
      </c>
      <c r="H4" s="76">
        <v>0</v>
      </c>
    </row>
    <row r="5" spans="1:8" x14ac:dyDescent="0.35">
      <c r="A5" s="79" t="s">
        <v>21</v>
      </c>
      <c r="B5" s="80">
        <v>0.53333336114883423</v>
      </c>
      <c r="C5" s="74"/>
      <c r="D5" s="81" t="s">
        <v>22</v>
      </c>
      <c r="E5" s="80">
        <v>0</v>
      </c>
      <c r="F5" s="74"/>
      <c r="G5" s="81" t="s">
        <v>21</v>
      </c>
      <c r="H5" s="80">
        <v>0</v>
      </c>
    </row>
    <row r="6" spans="1:8" x14ac:dyDescent="0.35">
      <c r="A6" s="79" t="s">
        <v>25</v>
      </c>
      <c r="B6" s="80">
        <v>0.60000002384185791</v>
      </c>
      <c r="C6" s="74"/>
      <c r="D6" s="81" t="s">
        <v>19</v>
      </c>
      <c r="E6" s="80">
        <v>9.5238097012042999E-2</v>
      </c>
      <c r="F6" s="74"/>
      <c r="G6" s="81" t="s">
        <v>23</v>
      </c>
      <c r="H6" s="80">
        <v>0</v>
      </c>
    </row>
    <row r="7" spans="1:8" x14ac:dyDescent="0.35">
      <c r="A7" s="79" t="s">
        <v>30</v>
      </c>
      <c r="B7" s="80">
        <v>0.60000002384185791</v>
      </c>
      <c r="C7" s="74"/>
      <c r="D7" s="81" t="s">
        <v>27</v>
      </c>
      <c r="E7" s="80">
        <v>0.3333333432674408</v>
      </c>
      <c r="F7" s="74"/>
      <c r="G7" s="81" t="s">
        <v>12</v>
      </c>
      <c r="H7" s="80">
        <v>0.33333333333333298</v>
      </c>
    </row>
    <row r="8" spans="1:8" x14ac:dyDescent="0.35">
      <c r="A8" s="79" t="s">
        <v>18</v>
      </c>
      <c r="B8" s="80">
        <v>0.66666668653488159</v>
      </c>
      <c r="C8" s="74"/>
      <c r="D8" s="81" t="s">
        <v>24</v>
      </c>
      <c r="E8" s="80">
        <v>0.44444444444444398</v>
      </c>
      <c r="F8" s="74"/>
      <c r="G8" s="81" t="s">
        <v>24</v>
      </c>
      <c r="H8" s="80">
        <v>0.33333333333333298</v>
      </c>
    </row>
    <row r="9" spans="1:8" x14ac:dyDescent="0.35">
      <c r="A9" s="79" t="s">
        <v>17</v>
      </c>
      <c r="B9" s="80">
        <v>0.66666668653488159</v>
      </c>
      <c r="C9" s="74"/>
      <c r="D9" s="81" t="s">
        <v>13</v>
      </c>
      <c r="E9" s="80">
        <v>0.47619050741195679</v>
      </c>
      <c r="F9" s="74"/>
      <c r="G9" s="81" t="s">
        <v>18</v>
      </c>
      <c r="H9" s="80">
        <v>0.3333333432674408</v>
      </c>
    </row>
    <row r="10" spans="1:8" x14ac:dyDescent="0.35">
      <c r="A10" s="79" t="s">
        <v>12</v>
      </c>
      <c r="B10" s="80">
        <v>0.73333333333333262</v>
      </c>
      <c r="C10" s="74"/>
      <c r="D10" s="81" t="s">
        <v>30</v>
      </c>
      <c r="E10" s="80">
        <v>0.47619050741195679</v>
      </c>
      <c r="F10" s="74"/>
      <c r="G10" s="81" t="s">
        <v>25</v>
      </c>
      <c r="H10" s="80">
        <v>0.3333333432674408</v>
      </c>
    </row>
    <row r="11" spans="1:8" x14ac:dyDescent="0.35">
      <c r="A11" s="79" t="s">
        <v>29</v>
      </c>
      <c r="B11" s="80">
        <v>0.80000001192092896</v>
      </c>
      <c r="C11" s="74"/>
      <c r="D11" s="81" t="s">
        <v>29</v>
      </c>
      <c r="E11" s="80">
        <v>0.49206352233886719</v>
      </c>
      <c r="F11" s="74"/>
      <c r="G11" s="81" t="s">
        <v>29</v>
      </c>
      <c r="H11" s="80">
        <v>0.3333333432674408</v>
      </c>
    </row>
    <row r="12" spans="1:8" x14ac:dyDescent="0.35">
      <c r="A12" s="79" t="s">
        <v>14</v>
      </c>
      <c r="B12" s="80">
        <v>0.80000001192092896</v>
      </c>
      <c r="C12" s="74"/>
      <c r="D12" s="81" t="s">
        <v>15</v>
      </c>
      <c r="E12" s="80">
        <v>0.53968256711959839</v>
      </c>
      <c r="F12" s="74"/>
      <c r="G12" s="81" t="s">
        <v>27</v>
      </c>
      <c r="H12" s="80">
        <v>0.3333333432674408</v>
      </c>
    </row>
    <row r="13" spans="1:8" x14ac:dyDescent="0.35">
      <c r="A13" s="79" t="s">
        <v>15</v>
      </c>
      <c r="B13" s="80">
        <v>0.80000001192092896</v>
      </c>
      <c r="C13" s="74"/>
      <c r="D13" s="81" t="s">
        <v>243</v>
      </c>
      <c r="E13" s="80">
        <v>0.55555558204650879</v>
      </c>
      <c r="F13" s="74"/>
      <c r="G13" s="81" t="s">
        <v>30</v>
      </c>
      <c r="H13" s="80">
        <v>0.3333333432674408</v>
      </c>
    </row>
    <row r="14" spans="1:8" x14ac:dyDescent="0.35">
      <c r="A14" s="79" t="s">
        <v>11</v>
      </c>
      <c r="B14" s="80">
        <v>0.80000001192092896</v>
      </c>
      <c r="C14" s="74"/>
      <c r="D14" s="81" t="s">
        <v>20</v>
      </c>
      <c r="E14" s="80">
        <v>0.57142859697341919</v>
      </c>
      <c r="F14" s="74"/>
      <c r="G14" s="81" t="s">
        <v>20</v>
      </c>
      <c r="H14" s="80">
        <v>0.3333333432674408</v>
      </c>
    </row>
    <row r="15" spans="1:8" x14ac:dyDescent="0.35">
      <c r="A15" s="79" t="s">
        <v>23</v>
      </c>
      <c r="B15" s="80">
        <v>0.80000001192092896</v>
      </c>
      <c r="C15" s="74"/>
      <c r="D15" s="81" t="s">
        <v>23</v>
      </c>
      <c r="E15" s="80">
        <v>0.57142859697341919</v>
      </c>
      <c r="F15" s="74"/>
      <c r="G15" s="81" t="s">
        <v>15</v>
      </c>
      <c r="H15" s="80">
        <v>0.3333333432674408</v>
      </c>
    </row>
    <row r="16" spans="1:8" x14ac:dyDescent="0.35">
      <c r="A16" s="79" t="s">
        <v>243</v>
      </c>
      <c r="B16" s="80">
        <v>0.80000001192092896</v>
      </c>
      <c r="C16" s="74"/>
      <c r="D16" s="81" t="s">
        <v>125</v>
      </c>
      <c r="E16" s="80">
        <v>0.5941043258873423</v>
      </c>
      <c r="F16" s="74"/>
      <c r="G16" s="81" t="s">
        <v>11</v>
      </c>
      <c r="H16" s="80">
        <v>0.3333333432674408</v>
      </c>
    </row>
    <row r="17" spans="1:8" x14ac:dyDescent="0.35">
      <c r="A17" s="79" t="s">
        <v>244</v>
      </c>
      <c r="B17" s="80">
        <v>0.93015873838984764</v>
      </c>
      <c r="C17" s="74"/>
      <c r="D17" s="81" t="s">
        <v>245</v>
      </c>
      <c r="E17" s="80">
        <v>0.60052911652748109</v>
      </c>
      <c r="F17" s="74"/>
      <c r="G17" s="81" t="s">
        <v>243</v>
      </c>
      <c r="H17" s="80">
        <v>0.3888888955116272</v>
      </c>
    </row>
    <row r="18" spans="1:8" x14ac:dyDescent="0.35">
      <c r="A18" s="79" t="s">
        <v>16</v>
      </c>
      <c r="B18" s="80">
        <v>0.93333333730697632</v>
      </c>
      <c r="C18" s="74"/>
      <c r="D18" s="81" t="s">
        <v>246</v>
      </c>
      <c r="E18" s="80">
        <v>0.60317462682723999</v>
      </c>
      <c r="F18" s="74"/>
      <c r="G18" s="81" t="s">
        <v>125</v>
      </c>
      <c r="H18" s="80">
        <v>0.46031746788630407</v>
      </c>
    </row>
    <row r="19" spans="1:8" x14ac:dyDescent="0.35">
      <c r="A19" s="79" t="s">
        <v>245</v>
      </c>
      <c r="B19" s="80">
        <v>0.95185185946800077</v>
      </c>
      <c r="C19" s="74"/>
      <c r="D19" s="81" t="s">
        <v>14</v>
      </c>
      <c r="E19" s="80">
        <v>0.63492065668106079</v>
      </c>
      <c r="F19" s="74"/>
      <c r="G19" s="81" t="s">
        <v>245</v>
      </c>
      <c r="H19" s="80">
        <v>0.47222222994875018</v>
      </c>
    </row>
    <row r="20" spans="1:8" x14ac:dyDescent="0.35">
      <c r="A20" s="79" t="s">
        <v>246</v>
      </c>
      <c r="B20" s="80">
        <v>1</v>
      </c>
      <c r="C20" s="74"/>
      <c r="D20" s="81" t="s">
        <v>18</v>
      </c>
      <c r="E20" s="80">
        <v>0.68253970146179199</v>
      </c>
      <c r="F20" s="74"/>
      <c r="G20" s="81" t="s">
        <v>246</v>
      </c>
      <c r="H20" s="82">
        <v>0.5</v>
      </c>
    </row>
    <row r="21" spans="1:8" x14ac:dyDescent="0.35">
      <c r="A21" s="79" t="s">
        <v>20</v>
      </c>
      <c r="B21" s="80">
        <v>1</v>
      </c>
      <c r="C21" s="74"/>
      <c r="D21" s="81" t="s">
        <v>25</v>
      </c>
      <c r="E21" s="80">
        <v>0.76190477609634399</v>
      </c>
      <c r="F21" s="74"/>
      <c r="G21" s="81" t="s">
        <v>14</v>
      </c>
      <c r="H21" s="80">
        <v>0.5</v>
      </c>
    </row>
    <row r="22" spans="1:8" x14ac:dyDescent="0.35">
      <c r="A22" s="79" t="s">
        <v>19</v>
      </c>
      <c r="B22" s="83">
        <v>1</v>
      </c>
      <c r="C22" s="74"/>
      <c r="D22" s="81" t="s">
        <v>12</v>
      </c>
      <c r="E22" s="83">
        <v>0.7777777777777769</v>
      </c>
      <c r="F22" s="74"/>
      <c r="G22" s="81" t="s">
        <v>13</v>
      </c>
      <c r="H22" s="80">
        <v>0.5</v>
      </c>
    </row>
    <row r="23" spans="1:8" x14ac:dyDescent="0.35">
      <c r="A23" s="79" t="s">
        <v>28</v>
      </c>
      <c r="B23" s="82">
        <v>1.0666666666666655</v>
      </c>
      <c r="C23" s="74"/>
      <c r="D23" s="81" t="s">
        <v>28</v>
      </c>
      <c r="E23" s="80">
        <v>0.79365079365079261</v>
      </c>
      <c r="F23" s="74"/>
      <c r="G23" s="81" t="s">
        <v>28</v>
      </c>
      <c r="H23" s="80">
        <v>0.66666666666666596</v>
      </c>
    </row>
    <row r="24" spans="1:8" x14ac:dyDescent="0.35">
      <c r="A24" s="80" t="s">
        <v>24</v>
      </c>
      <c r="B24" s="80">
        <v>1.1333333333333322</v>
      </c>
      <c r="C24" s="74"/>
      <c r="D24" s="74" t="s">
        <v>26</v>
      </c>
      <c r="E24" s="80">
        <v>0.8253968358039856</v>
      </c>
      <c r="F24" s="74"/>
      <c r="G24" s="81" t="s">
        <v>16</v>
      </c>
      <c r="H24" s="80">
        <v>0.66666668653488159</v>
      </c>
    </row>
    <row r="25" spans="1:8" x14ac:dyDescent="0.35">
      <c r="A25" s="80" t="s">
        <v>27</v>
      </c>
      <c r="B25" s="80">
        <v>1.3999999761581421</v>
      </c>
      <c r="C25" s="74"/>
      <c r="D25" s="74" t="s">
        <v>21</v>
      </c>
      <c r="E25" s="80">
        <v>0.88888895511627197</v>
      </c>
      <c r="F25" s="74"/>
      <c r="G25" s="74" t="s">
        <v>26</v>
      </c>
      <c r="H25" s="80">
        <v>0.66666668653488159</v>
      </c>
    </row>
    <row r="26" spans="1:8" x14ac:dyDescent="0.35">
      <c r="A26" s="80" t="s">
        <v>13</v>
      </c>
      <c r="B26" s="80">
        <v>1.7333333492279053</v>
      </c>
      <c r="C26" s="74"/>
      <c r="D26" s="74" t="s">
        <v>11</v>
      </c>
      <c r="E26" s="80">
        <v>0.9841269850730896</v>
      </c>
      <c r="F26" s="74"/>
      <c r="G26" s="74" t="s">
        <v>19</v>
      </c>
      <c r="H26" s="80">
        <v>1.3333333730697632</v>
      </c>
    </row>
    <row r="27" spans="1:8" x14ac:dyDescent="0.35">
      <c r="A27" s="84" t="s">
        <v>22</v>
      </c>
      <c r="B27" s="84">
        <v>2</v>
      </c>
      <c r="C27" s="74"/>
      <c r="D27" s="85" t="s">
        <v>17</v>
      </c>
      <c r="E27" s="84">
        <v>1.4285714626312256</v>
      </c>
      <c r="F27" s="74"/>
      <c r="G27" s="85" t="s">
        <v>22</v>
      </c>
      <c r="H27" s="84">
        <v>1.5</v>
      </c>
    </row>
    <row r="28" spans="1:8" x14ac:dyDescent="0.35">
      <c r="C28" s="74"/>
      <c r="F28" s="74"/>
    </row>
    <row r="29" spans="1:8" x14ac:dyDescent="0.35">
      <c r="A29" s="86" t="s">
        <v>247</v>
      </c>
      <c r="C29" s="74"/>
      <c r="F29" s="74"/>
      <c r="H29" s="5" t="s">
        <v>242</v>
      </c>
    </row>
    <row r="30" spans="1:8" x14ac:dyDescent="0.35">
      <c r="C30" s="85"/>
      <c r="F30" s="85"/>
    </row>
    <row r="46" spans="3:3" x14ac:dyDescent="0.35">
      <c r="C46" s="5" t="s">
        <v>232</v>
      </c>
    </row>
  </sheetData>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2:T46"/>
  <sheetViews>
    <sheetView workbookViewId="0"/>
  </sheetViews>
  <sheetFormatPr defaultColWidth="11.36328125" defaultRowHeight="14.5" x14ac:dyDescent="0.35"/>
  <sheetData>
    <row r="2" spans="1:20" x14ac:dyDescent="0.35">
      <c r="O2" t="s">
        <v>248</v>
      </c>
      <c r="P2" t="s">
        <v>249</v>
      </c>
      <c r="Q2" t="s">
        <v>250</v>
      </c>
      <c r="R2" t="s">
        <v>251</v>
      </c>
      <c r="S2" t="s">
        <v>252</v>
      </c>
      <c r="T2" t="s">
        <v>253</v>
      </c>
    </row>
    <row r="3" spans="1:20" ht="60" x14ac:dyDescent="0.35">
      <c r="A3" s="75"/>
      <c r="B3" s="87" t="s">
        <v>239</v>
      </c>
      <c r="C3" s="75"/>
      <c r="D3" s="75"/>
      <c r="E3" s="87" t="s">
        <v>242</v>
      </c>
      <c r="F3" s="75"/>
      <c r="G3" s="75"/>
      <c r="H3" s="87" t="s">
        <v>232</v>
      </c>
      <c r="I3" s="175"/>
      <c r="J3" s="175"/>
      <c r="K3" s="175"/>
      <c r="L3" s="175"/>
      <c r="Q3" s="173" t="s">
        <v>254</v>
      </c>
      <c r="R3" s="173" t="s">
        <v>232</v>
      </c>
      <c r="S3" s="173" t="s">
        <v>233</v>
      </c>
      <c r="T3" s="173" t="s">
        <v>234</v>
      </c>
    </row>
    <row r="4" spans="1:20" x14ac:dyDescent="0.35">
      <c r="A4" t="s">
        <v>26</v>
      </c>
      <c r="B4" s="172">
        <v>1.4</v>
      </c>
      <c r="C4" s="77"/>
      <c r="D4" t="s">
        <v>16</v>
      </c>
      <c r="E4" s="172">
        <v>0</v>
      </c>
      <c r="F4" s="77"/>
      <c r="G4" t="s">
        <v>17</v>
      </c>
      <c r="H4" s="172">
        <v>0</v>
      </c>
      <c r="I4" s="172"/>
      <c r="J4" s="172"/>
      <c r="K4" s="172"/>
      <c r="L4" s="172"/>
    </row>
    <row r="5" spans="1:20" x14ac:dyDescent="0.35">
      <c r="A5" t="s">
        <v>21</v>
      </c>
      <c r="B5" s="172">
        <v>1.6</v>
      </c>
      <c r="C5" s="74"/>
      <c r="D5" t="s">
        <v>22</v>
      </c>
      <c r="E5" s="172">
        <v>0</v>
      </c>
      <c r="F5" s="74"/>
      <c r="G5" t="s">
        <v>21</v>
      </c>
      <c r="H5" s="172">
        <v>0</v>
      </c>
      <c r="I5" s="172"/>
      <c r="J5" s="172"/>
      <c r="K5" s="172"/>
      <c r="L5" s="172"/>
      <c r="N5" t="s">
        <v>200</v>
      </c>
      <c r="O5" t="s">
        <v>11</v>
      </c>
      <c r="P5">
        <v>2013</v>
      </c>
      <c r="Q5" s="172">
        <v>2.1174603174603175</v>
      </c>
      <c r="R5" s="172">
        <v>1</v>
      </c>
      <c r="S5" s="172">
        <v>2.9523809523809521</v>
      </c>
      <c r="T5" s="172">
        <v>2.4000000000000004</v>
      </c>
    </row>
    <row r="6" spans="1:20" x14ac:dyDescent="0.35">
      <c r="A6" t="s">
        <v>30</v>
      </c>
      <c r="B6" s="172">
        <v>1.8000000000000003</v>
      </c>
      <c r="C6" s="74"/>
      <c r="D6" t="s">
        <v>19</v>
      </c>
      <c r="E6" s="172">
        <v>0.2857142857142857</v>
      </c>
      <c r="F6" s="74"/>
      <c r="G6" t="s">
        <v>23</v>
      </c>
      <c r="H6" s="172">
        <v>0</v>
      </c>
      <c r="I6" s="172"/>
      <c r="J6" s="172"/>
      <c r="K6" s="172"/>
      <c r="L6" s="172"/>
      <c r="N6" t="s">
        <v>255</v>
      </c>
      <c r="O6" t="s">
        <v>256</v>
      </c>
      <c r="P6">
        <v>2013</v>
      </c>
      <c r="Q6" s="172">
        <v>2.1031746031746033</v>
      </c>
      <c r="R6" s="172">
        <v>1.5</v>
      </c>
      <c r="S6" s="172">
        <v>1.8095238095238095</v>
      </c>
      <c r="T6" s="172">
        <v>3</v>
      </c>
    </row>
    <row r="7" spans="1:20" x14ac:dyDescent="0.35">
      <c r="A7" t="s">
        <v>25</v>
      </c>
      <c r="B7" s="172">
        <v>1.8000000000000003</v>
      </c>
      <c r="C7" s="74"/>
      <c r="D7" t="s">
        <v>27</v>
      </c>
      <c r="E7" s="172">
        <v>1</v>
      </c>
      <c r="F7" s="74"/>
      <c r="G7" t="s">
        <v>11</v>
      </c>
      <c r="H7" s="172">
        <v>1</v>
      </c>
      <c r="I7" s="172"/>
      <c r="J7" s="172"/>
      <c r="K7" s="172"/>
      <c r="L7" s="172"/>
      <c r="N7" t="s">
        <v>202</v>
      </c>
      <c r="O7" t="s">
        <v>13</v>
      </c>
      <c r="P7">
        <v>2013</v>
      </c>
      <c r="Q7" s="172">
        <v>2.7095238095238092</v>
      </c>
      <c r="R7" s="172">
        <v>1.5</v>
      </c>
      <c r="S7" s="172">
        <v>1.4285714285714284</v>
      </c>
      <c r="T7" s="172">
        <v>5.2</v>
      </c>
    </row>
    <row r="8" spans="1:20" x14ac:dyDescent="0.35">
      <c r="A8" t="s">
        <v>18</v>
      </c>
      <c r="B8" s="172">
        <v>2</v>
      </c>
      <c r="C8" s="74"/>
      <c r="D8" t="s">
        <v>24</v>
      </c>
      <c r="E8" s="172">
        <v>1.3333333333333333</v>
      </c>
      <c r="F8" s="74"/>
      <c r="G8" t="s">
        <v>12</v>
      </c>
      <c r="H8" s="172">
        <v>1</v>
      </c>
      <c r="I8" s="172"/>
      <c r="J8" s="172"/>
      <c r="K8" s="172"/>
      <c r="L8" s="172"/>
      <c r="N8" t="s">
        <v>257</v>
      </c>
      <c r="O8" t="s">
        <v>12</v>
      </c>
      <c r="P8">
        <v>2012</v>
      </c>
      <c r="Q8" s="172">
        <v>1.8444444444444443</v>
      </c>
      <c r="R8" s="172">
        <v>1</v>
      </c>
      <c r="S8" s="172">
        <v>2.333333333333333</v>
      </c>
      <c r="T8" s="172">
        <v>2.2000000000000002</v>
      </c>
    </row>
    <row r="9" spans="1:20" x14ac:dyDescent="0.35">
      <c r="A9" t="s">
        <v>17</v>
      </c>
      <c r="B9" s="172">
        <v>2</v>
      </c>
      <c r="C9" s="74"/>
      <c r="D9" t="s">
        <v>13</v>
      </c>
      <c r="E9" s="172">
        <v>1.4285714285714284</v>
      </c>
      <c r="F9" s="74"/>
      <c r="G9" t="s">
        <v>30</v>
      </c>
      <c r="H9" s="172">
        <v>1</v>
      </c>
      <c r="I9" s="172"/>
      <c r="J9" s="172"/>
      <c r="K9" s="172"/>
      <c r="L9" s="172"/>
      <c r="N9" t="s">
        <v>258</v>
      </c>
      <c r="O9" t="s">
        <v>30</v>
      </c>
      <c r="P9">
        <v>2013</v>
      </c>
      <c r="Q9" s="172">
        <v>1.4095238095238096</v>
      </c>
      <c r="R9" s="172">
        <v>1</v>
      </c>
      <c r="S9" s="172">
        <v>1.4285714285714284</v>
      </c>
      <c r="T9" s="172">
        <v>1.8000000000000003</v>
      </c>
    </row>
    <row r="10" spans="1:20" x14ac:dyDescent="0.35">
      <c r="A10" t="s">
        <v>12</v>
      </c>
      <c r="B10" s="172">
        <v>2.2000000000000002</v>
      </c>
      <c r="C10" s="74"/>
      <c r="D10" t="s">
        <v>30</v>
      </c>
      <c r="E10" s="172">
        <v>1.4285714285714284</v>
      </c>
      <c r="F10" s="74"/>
      <c r="G10" t="s">
        <v>15</v>
      </c>
      <c r="H10" s="172">
        <v>1</v>
      </c>
      <c r="I10" s="172"/>
      <c r="J10" s="172"/>
      <c r="K10" s="172"/>
      <c r="L10" s="172"/>
      <c r="N10" t="s">
        <v>259</v>
      </c>
      <c r="O10" t="s">
        <v>28</v>
      </c>
      <c r="P10">
        <v>2013</v>
      </c>
      <c r="Q10" s="172">
        <v>2.5269841269841269</v>
      </c>
      <c r="R10" s="172">
        <v>2</v>
      </c>
      <c r="S10" s="172">
        <v>2.3809523809523805</v>
      </c>
      <c r="T10" s="172">
        <v>3.2</v>
      </c>
    </row>
    <row r="11" spans="1:20" x14ac:dyDescent="0.35">
      <c r="A11" t="s">
        <v>11</v>
      </c>
      <c r="B11" s="172">
        <v>2.4000000000000004</v>
      </c>
      <c r="C11" s="74"/>
      <c r="D11" t="s">
        <v>29</v>
      </c>
      <c r="E11" s="172">
        <v>1.4761904761904761</v>
      </c>
      <c r="F11" s="74"/>
      <c r="G11" t="s">
        <v>18</v>
      </c>
      <c r="H11" s="172">
        <v>1</v>
      </c>
      <c r="I11" s="172"/>
      <c r="J11" s="172"/>
      <c r="K11" s="172"/>
      <c r="L11" s="172"/>
      <c r="N11" t="s">
        <v>260</v>
      </c>
      <c r="O11" t="s">
        <v>15</v>
      </c>
      <c r="P11">
        <v>2013</v>
      </c>
      <c r="Q11" s="172">
        <v>1.6730158730158731</v>
      </c>
      <c r="R11" s="172">
        <v>1</v>
      </c>
      <c r="S11" s="172">
        <v>1.6190476190476188</v>
      </c>
      <c r="T11" s="172">
        <v>2.4000000000000004</v>
      </c>
    </row>
    <row r="12" spans="1:20" x14ac:dyDescent="0.35">
      <c r="A12" t="s">
        <v>15</v>
      </c>
      <c r="B12" s="172">
        <v>2.4000000000000004</v>
      </c>
      <c r="C12" s="74"/>
      <c r="D12" s="172" t="s">
        <v>243</v>
      </c>
      <c r="E12" s="172">
        <v>1.5714285714285714</v>
      </c>
      <c r="F12" s="74"/>
      <c r="G12" t="s">
        <v>25</v>
      </c>
      <c r="H12" s="172">
        <v>1</v>
      </c>
      <c r="I12" s="172"/>
      <c r="J12" s="172"/>
      <c r="K12" s="172"/>
      <c r="L12" s="172"/>
      <c r="N12" t="s">
        <v>208</v>
      </c>
      <c r="O12" t="s">
        <v>18</v>
      </c>
      <c r="P12">
        <v>2013</v>
      </c>
      <c r="Q12" s="172">
        <v>1.6825396825396826</v>
      </c>
      <c r="R12" s="172">
        <v>1</v>
      </c>
      <c r="S12" s="172">
        <v>2.0476190476190474</v>
      </c>
      <c r="T12" s="172">
        <v>2</v>
      </c>
    </row>
    <row r="13" spans="1:20" x14ac:dyDescent="0.35">
      <c r="A13" t="s">
        <v>29</v>
      </c>
      <c r="B13" s="172">
        <v>2.4000000000000004</v>
      </c>
      <c r="C13" s="74"/>
      <c r="D13" t="s">
        <v>15</v>
      </c>
      <c r="E13" s="172">
        <v>1.6190476190476188</v>
      </c>
      <c r="F13" s="74"/>
      <c r="G13" t="s">
        <v>27</v>
      </c>
      <c r="H13" s="172">
        <v>1</v>
      </c>
      <c r="I13" s="172"/>
      <c r="J13" s="172"/>
      <c r="K13" s="172"/>
      <c r="L13" s="172"/>
      <c r="N13" t="s">
        <v>214</v>
      </c>
      <c r="O13" t="s">
        <v>26</v>
      </c>
      <c r="P13">
        <v>2013</v>
      </c>
      <c r="Q13" s="172">
        <v>1.9587301587301589</v>
      </c>
      <c r="R13" s="172">
        <v>2</v>
      </c>
      <c r="S13" s="172">
        <v>2.4761904761904763</v>
      </c>
      <c r="T13" s="172">
        <v>1.4</v>
      </c>
    </row>
    <row r="14" spans="1:20" x14ac:dyDescent="0.35">
      <c r="A14" t="s">
        <v>23</v>
      </c>
      <c r="B14" s="172">
        <v>2.4000000000000004</v>
      </c>
      <c r="C14" s="74"/>
      <c r="D14" t="s">
        <v>23</v>
      </c>
      <c r="E14" s="172">
        <v>1.7142857142857142</v>
      </c>
      <c r="F14" s="74"/>
      <c r="G14" t="s">
        <v>29</v>
      </c>
      <c r="H14" s="172">
        <v>1</v>
      </c>
      <c r="I14" s="172"/>
      <c r="J14" s="172"/>
      <c r="K14" s="172"/>
      <c r="L14" s="172"/>
      <c r="N14" t="s">
        <v>206</v>
      </c>
      <c r="O14" t="s">
        <v>17</v>
      </c>
      <c r="P14">
        <v>2013</v>
      </c>
      <c r="Q14" s="172">
        <v>2.0952380952380953</v>
      </c>
      <c r="R14" s="172">
        <v>0</v>
      </c>
      <c r="S14" s="172">
        <v>4.2857142857142856</v>
      </c>
      <c r="T14" s="172">
        <v>2</v>
      </c>
    </row>
    <row r="15" spans="1:20" x14ac:dyDescent="0.35">
      <c r="A15" t="s">
        <v>14</v>
      </c>
      <c r="B15" s="172">
        <v>2.4000000000000004</v>
      </c>
      <c r="C15" s="74"/>
      <c r="D15" t="s">
        <v>20</v>
      </c>
      <c r="E15" s="172">
        <v>1.7142857142857142</v>
      </c>
      <c r="F15" s="74"/>
      <c r="G15" t="s">
        <v>24</v>
      </c>
      <c r="H15" s="172">
        <v>1</v>
      </c>
      <c r="I15" s="172"/>
      <c r="J15" s="172"/>
      <c r="K15" s="172"/>
      <c r="L15" s="172"/>
      <c r="N15" t="s">
        <v>212</v>
      </c>
      <c r="O15" t="s">
        <v>25</v>
      </c>
      <c r="P15">
        <v>2013</v>
      </c>
      <c r="Q15" s="172">
        <v>1.6952380952380952</v>
      </c>
      <c r="R15" s="172">
        <v>1</v>
      </c>
      <c r="S15" s="172">
        <v>2.2857142857142856</v>
      </c>
      <c r="T15" s="172">
        <v>1.8000000000000003</v>
      </c>
    </row>
    <row r="16" spans="1:20" x14ac:dyDescent="0.35">
      <c r="A16" s="172" t="s">
        <v>243</v>
      </c>
      <c r="B16" s="172">
        <v>2.4000000000000004</v>
      </c>
      <c r="C16" s="74"/>
      <c r="D16" s="172" t="s">
        <v>125</v>
      </c>
      <c r="E16" s="172">
        <v>1.768707482993197</v>
      </c>
      <c r="F16" s="74"/>
      <c r="G16" t="s">
        <v>20</v>
      </c>
      <c r="H16" s="172">
        <v>1</v>
      </c>
      <c r="I16" s="172"/>
      <c r="J16" s="172"/>
      <c r="K16" s="172"/>
      <c r="L16" s="172"/>
      <c r="N16" t="s">
        <v>216</v>
      </c>
      <c r="O16" t="s">
        <v>21</v>
      </c>
      <c r="P16">
        <v>2013</v>
      </c>
      <c r="Q16" s="172">
        <v>1.4222222222222223</v>
      </c>
      <c r="R16" s="172">
        <v>0</v>
      </c>
      <c r="S16" s="172">
        <v>2.6666666666666665</v>
      </c>
      <c r="T16" s="172">
        <v>1.6</v>
      </c>
    </row>
    <row r="17" spans="1:20" x14ac:dyDescent="0.35">
      <c r="A17" s="172" t="s">
        <v>125</v>
      </c>
      <c r="B17" s="172">
        <v>2.7904761904761903</v>
      </c>
      <c r="C17" s="74"/>
      <c r="D17" s="172" t="s">
        <v>221</v>
      </c>
      <c r="E17" s="172">
        <v>1.8015873015873014</v>
      </c>
      <c r="F17" s="74"/>
      <c r="G17" s="172" t="s">
        <v>243</v>
      </c>
      <c r="H17" s="172">
        <v>1.1666666666666667</v>
      </c>
      <c r="I17" s="172"/>
      <c r="J17" s="172"/>
      <c r="K17" s="172"/>
      <c r="L17" s="172"/>
      <c r="N17" t="s">
        <v>261</v>
      </c>
      <c r="O17" t="s">
        <v>27</v>
      </c>
      <c r="P17">
        <v>2013</v>
      </c>
      <c r="Q17" s="172">
        <v>2.0666666666666669</v>
      </c>
      <c r="R17" s="172">
        <v>1</v>
      </c>
      <c r="S17" s="172">
        <v>1</v>
      </c>
      <c r="T17" s="172">
        <v>4.2</v>
      </c>
    </row>
    <row r="18" spans="1:20" x14ac:dyDescent="0.35">
      <c r="A18" t="s">
        <v>16</v>
      </c>
      <c r="B18" s="172">
        <v>2.8000000000000003</v>
      </c>
      <c r="C18" s="74"/>
      <c r="D18" t="s">
        <v>256</v>
      </c>
      <c r="E18" s="172">
        <v>1.8095238095238095</v>
      </c>
      <c r="F18" s="74"/>
      <c r="G18" s="172" t="s">
        <v>125</v>
      </c>
      <c r="H18" s="172">
        <v>1.3809523809523809</v>
      </c>
      <c r="I18" s="172"/>
      <c r="J18" s="172"/>
      <c r="K18" s="172"/>
      <c r="L18" s="172"/>
      <c r="N18" t="s">
        <v>262</v>
      </c>
      <c r="O18" t="s">
        <v>29</v>
      </c>
      <c r="P18">
        <v>2013</v>
      </c>
      <c r="Q18" s="172">
        <v>1.6253968253968256</v>
      </c>
      <c r="R18" s="172">
        <v>1</v>
      </c>
      <c r="S18" s="172">
        <v>1.4761904761904761</v>
      </c>
      <c r="T18" s="172">
        <v>2.4000000000000004</v>
      </c>
    </row>
    <row r="19" spans="1:20" x14ac:dyDescent="0.35">
      <c r="A19" s="172" t="s">
        <v>221</v>
      </c>
      <c r="B19" s="172">
        <v>2.8555555555555552</v>
      </c>
      <c r="C19" s="74"/>
      <c r="D19" t="s">
        <v>14</v>
      </c>
      <c r="E19" s="172">
        <v>1.9047619047619047</v>
      </c>
      <c r="F19" s="74"/>
      <c r="G19" s="172" t="s">
        <v>221</v>
      </c>
      <c r="H19" s="172">
        <v>1.4166666666666667</v>
      </c>
      <c r="I19" s="172"/>
      <c r="J19" s="172"/>
      <c r="K19" s="172"/>
      <c r="L19" s="172"/>
      <c r="N19" t="s">
        <v>218</v>
      </c>
      <c r="O19" t="s">
        <v>24</v>
      </c>
      <c r="P19">
        <v>2013</v>
      </c>
      <c r="Q19" s="172">
        <v>1.9111111111111108</v>
      </c>
      <c r="R19" s="172">
        <v>1</v>
      </c>
      <c r="S19" s="172">
        <v>1.3333333333333333</v>
      </c>
      <c r="T19" s="172">
        <v>3.4</v>
      </c>
    </row>
    <row r="20" spans="1:20" x14ac:dyDescent="0.35">
      <c r="A20" t="s">
        <v>256</v>
      </c>
      <c r="B20" s="172">
        <v>3</v>
      </c>
      <c r="C20" s="74"/>
      <c r="D20" t="s">
        <v>18</v>
      </c>
      <c r="E20" s="172">
        <v>2.0476190476190474</v>
      </c>
      <c r="F20" s="74"/>
      <c r="G20" t="s">
        <v>256</v>
      </c>
      <c r="H20" s="172">
        <v>1.5</v>
      </c>
      <c r="I20" s="172"/>
      <c r="J20" s="172"/>
      <c r="K20" s="172"/>
      <c r="L20" s="172"/>
      <c r="N20" t="s">
        <v>263</v>
      </c>
      <c r="O20" t="s">
        <v>23</v>
      </c>
      <c r="P20">
        <v>2013</v>
      </c>
      <c r="Q20" s="172">
        <v>1.3714285714285717</v>
      </c>
      <c r="R20" s="172">
        <v>0</v>
      </c>
      <c r="S20" s="172">
        <v>1.7142857142857142</v>
      </c>
      <c r="T20" s="172">
        <v>2.4000000000000004</v>
      </c>
    </row>
    <row r="21" spans="1:20" x14ac:dyDescent="0.35">
      <c r="A21" t="s">
        <v>19</v>
      </c>
      <c r="B21" s="172">
        <v>3</v>
      </c>
      <c r="C21" s="74"/>
      <c r="D21" t="s">
        <v>25</v>
      </c>
      <c r="E21" s="172">
        <v>2.2857142857142856</v>
      </c>
      <c r="F21" s="74"/>
      <c r="G21" t="s">
        <v>13</v>
      </c>
      <c r="H21" s="172">
        <v>1.5</v>
      </c>
      <c r="I21" s="172"/>
      <c r="J21" s="172"/>
      <c r="K21" s="172"/>
      <c r="L21" s="172"/>
      <c r="N21" t="s">
        <v>204</v>
      </c>
      <c r="O21" t="s">
        <v>19</v>
      </c>
      <c r="P21">
        <v>2013</v>
      </c>
      <c r="Q21" s="172">
        <v>2.4285714285714284</v>
      </c>
      <c r="R21" s="172">
        <v>4</v>
      </c>
      <c r="S21" s="172">
        <v>0.2857142857142857</v>
      </c>
      <c r="T21" s="172">
        <v>3</v>
      </c>
    </row>
    <row r="22" spans="1:20" x14ac:dyDescent="0.35">
      <c r="A22" t="s">
        <v>20</v>
      </c>
      <c r="B22" s="172">
        <v>3</v>
      </c>
      <c r="C22" s="74"/>
      <c r="D22" t="s">
        <v>12</v>
      </c>
      <c r="E22" s="172">
        <v>2.333333333333333</v>
      </c>
      <c r="F22" s="74"/>
      <c r="G22" t="s">
        <v>14</v>
      </c>
      <c r="H22" s="172">
        <v>1.5</v>
      </c>
      <c r="I22" s="172"/>
      <c r="J22" s="172"/>
      <c r="K22" s="172"/>
      <c r="L22" s="172"/>
      <c r="N22" t="s">
        <v>264</v>
      </c>
      <c r="O22" t="s">
        <v>16</v>
      </c>
      <c r="P22">
        <v>2013</v>
      </c>
      <c r="Q22" s="172">
        <v>1.6000000000000003</v>
      </c>
      <c r="R22" s="172">
        <v>2</v>
      </c>
      <c r="S22" s="172">
        <v>0</v>
      </c>
      <c r="T22" s="172">
        <v>2.8000000000000003</v>
      </c>
    </row>
    <row r="23" spans="1:20" x14ac:dyDescent="0.35">
      <c r="A23" t="s">
        <v>28</v>
      </c>
      <c r="B23" s="172">
        <v>3.2</v>
      </c>
      <c r="C23" s="74"/>
      <c r="D23" t="s">
        <v>28</v>
      </c>
      <c r="E23" s="172">
        <v>2.3809523809523805</v>
      </c>
      <c r="F23" s="74"/>
      <c r="G23" t="s">
        <v>28</v>
      </c>
      <c r="H23" s="172">
        <v>2</v>
      </c>
      <c r="I23" s="172"/>
      <c r="J23" s="172"/>
      <c r="K23" s="172"/>
      <c r="L23" s="172"/>
      <c r="N23" t="s">
        <v>210</v>
      </c>
      <c r="O23" s="172" t="s">
        <v>20</v>
      </c>
      <c r="P23">
        <v>2013</v>
      </c>
      <c r="Q23" s="172">
        <v>1.9047619047619049</v>
      </c>
      <c r="R23" s="172">
        <v>1</v>
      </c>
      <c r="S23" s="172">
        <v>1.7142857142857142</v>
      </c>
      <c r="T23" s="172">
        <v>3</v>
      </c>
    </row>
    <row r="24" spans="1:20" x14ac:dyDescent="0.35">
      <c r="A24" t="s">
        <v>24</v>
      </c>
      <c r="B24" s="172">
        <v>3.4</v>
      </c>
      <c r="C24" s="74"/>
      <c r="D24" t="s">
        <v>26</v>
      </c>
      <c r="E24" s="172">
        <v>2.4761904761904763</v>
      </c>
      <c r="F24" s="74"/>
      <c r="G24" t="s">
        <v>26</v>
      </c>
      <c r="H24" s="172">
        <v>2</v>
      </c>
      <c r="I24" s="172"/>
      <c r="J24" s="172"/>
      <c r="K24" s="172"/>
      <c r="L24" s="172"/>
      <c r="N24" t="s">
        <v>198</v>
      </c>
      <c r="O24" s="172" t="s">
        <v>14</v>
      </c>
      <c r="P24">
        <v>2013</v>
      </c>
      <c r="Q24" s="172">
        <v>1.9349206349206352</v>
      </c>
      <c r="R24" s="172">
        <v>1.5</v>
      </c>
      <c r="S24" s="172">
        <v>1.9047619047619047</v>
      </c>
      <c r="T24" s="172">
        <v>2.4000000000000004</v>
      </c>
    </row>
    <row r="25" spans="1:20" x14ac:dyDescent="0.35">
      <c r="A25" t="s">
        <v>27</v>
      </c>
      <c r="B25" s="172">
        <v>4.2</v>
      </c>
      <c r="C25" s="74"/>
      <c r="D25" t="s">
        <v>21</v>
      </c>
      <c r="E25" s="172">
        <v>2.6666666666666665</v>
      </c>
      <c r="F25" s="74"/>
      <c r="G25" t="s">
        <v>16</v>
      </c>
      <c r="H25" s="172">
        <v>2</v>
      </c>
      <c r="I25" s="172"/>
      <c r="J25" s="172"/>
      <c r="K25" s="172"/>
      <c r="L25" s="172"/>
      <c r="N25" t="s">
        <v>265</v>
      </c>
      <c r="O25" s="172" t="s">
        <v>22</v>
      </c>
      <c r="P25">
        <v>2013</v>
      </c>
      <c r="Q25" s="172">
        <v>3.5</v>
      </c>
      <c r="R25" s="172">
        <v>4.5</v>
      </c>
      <c r="S25" s="172">
        <v>0</v>
      </c>
      <c r="T25" s="172">
        <v>6.0000000000000009</v>
      </c>
    </row>
    <row r="26" spans="1:20" x14ac:dyDescent="0.35">
      <c r="A26" t="s">
        <v>13</v>
      </c>
      <c r="B26" s="172">
        <v>5.2</v>
      </c>
      <c r="C26" s="74"/>
      <c r="D26" t="s">
        <v>11</v>
      </c>
      <c r="E26" s="172">
        <v>2.9523809523809521</v>
      </c>
      <c r="F26" s="74"/>
      <c r="G26" t="s">
        <v>19</v>
      </c>
      <c r="H26" s="172">
        <v>4</v>
      </c>
      <c r="I26" s="172"/>
      <c r="J26" s="172"/>
      <c r="K26" s="172"/>
      <c r="L26" s="172"/>
      <c r="N26" t="s">
        <v>100</v>
      </c>
      <c r="O26" s="172" t="s">
        <v>28</v>
      </c>
      <c r="P26">
        <v>2013</v>
      </c>
      <c r="Q26" s="172">
        <v>2.5269841269841269</v>
      </c>
      <c r="R26" s="172">
        <v>2</v>
      </c>
      <c r="S26" s="172">
        <v>2.3809523809523805</v>
      </c>
      <c r="T26" s="172">
        <v>3.2</v>
      </c>
    </row>
    <row r="27" spans="1:20" x14ac:dyDescent="0.35">
      <c r="A27" s="176" t="s">
        <v>22</v>
      </c>
      <c r="B27" s="174">
        <v>6.0000000000000009</v>
      </c>
      <c r="C27" s="74"/>
      <c r="D27" s="176" t="s">
        <v>17</v>
      </c>
      <c r="E27" s="174">
        <v>4.2857142857142856</v>
      </c>
      <c r="F27" s="74"/>
      <c r="G27" s="176" t="s">
        <v>22</v>
      </c>
      <c r="H27" s="174">
        <v>4.5</v>
      </c>
      <c r="I27" s="172"/>
      <c r="J27" s="172"/>
      <c r="K27" s="172"/>
      <c r="L27" s="172"/>
      <c r="N27" t="s">
        <v>121</v>
      </c>
      <c r="O27" s="172" t="s">
        <v>24</v>
      </c>
      <c r="P27">
        <v>2013</v>
      </c>
      <c r="Q27" s="172">
        <v>1.9111111111111108</v>
      </c>
      <c r="R27" s="172">
        <v>1</v>
      </c>
      <c r="S27" s="172">
        <v>1.3333333333333333</v>
      </c>
      <c r="T27" s="172">
        <v>3.4</v>
      </c>
    </row>
    <row r="28" spans="1:20" x14ac:dyDescent="0.35">
      <c r="C28" s="74"/>
      <c r="F28" s="74"/>
    </row>
    <row r="29" spans="1:20" x14ac:dyDescent="0.35">
      <c r="A29" s="86" t="s">
        <v>247</v>
      </c>
      <c r="C29" s="74"/>
      <c r="F29" s="74"/>
      <c r="H29" s="5" t="s">
        <v>242</v>
      </c>
    </row>
    <row r="30" spans="1:20" x14ac:dyDescent="0.35">
      <c r="C30" s="85"/>
      <c r="F30" s="85"/>
    </row>
    <row r="46" spans="3:3" x14ac:dyDescent="0.35">
      <c r="C46" s="5" t="s">
        <v>232</v>
      </c>
    </row>
  </sheetData>
  <sortState xmlns:xlrd2="http://schemas.microsoft.com/office/spreadsheetml/2017/richdata2" ref="G4:H27">
    <sortCondition ref="H4:H27"/>
  </sortState>
  <pageMargins left="0.7" right="0.7" top="0.75" bottom="0.75" header="0.3" footer="0.3"/>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2DC39E-5344-4974-8798-30C5E1CAEDFF}">
  <sheetPr>
    <tabColor rgb="FFFFFF00"/>
  </sheetPr>
  <dimension ref="A1:X77"/>
  <sheetViews>
    <sheetView topLeftCell="A10" zoomScale="55" zoomScaleNormal="55" workbookViewId="0">
      <selection activeCell="A18" sqref="A18"/>
    </sheetView>
  </sheetViews>
  <sheetFormatPr defaultColWidth="11.36328125" defaultRowHeight="14.5" x14ac:dyDescent="0.35"/>
  <cols>
    <col min="1" max="1" width="17.90625" customWidth="1"/>
    <col min="6" max="6" width="13.54296875" customWidth="1"/>
    <col min="7" max="7" width="13.36328125" customWidth="1"/>
  </cols>
  <sheetData>
    <row r="1" spans="1:21" x14ac:dyDescent="0.35">
      <c r="A1" s="5" t="s">
        <v>222</v>
      </c>
    </row>
    <row r="3" spans="1:21" ht="52" x14ac:dyDescent="0.35">
      <c r="A3" s="95" t="s">
        <v>223</v>
      </c>
      <c r="B3" s="95" t="s">
        <v>151</v>
      </c>
      <c r="C3" s="95" t="s">
        <v>224</v>
      </c>
      <c r="D3" s="95" t="s">
        <v>225</v>
      </c>
      <c r="E3" s="95" t="s">
        <v>226</v>
      </c>
      <c r="F3" s="95" t="s">
        <v>227</v>
      </c>
      <c r="G3" s="95" t="s">
        <v>228</v>
      </c>
      <c r="H3" s="95" t="s">
        <v>229</v>
      </c>
      <c r="I3" s="95" t="s">
        <v>230</v>
      </c>
      <c r="J3" s="73" t="s">
        <v>231</v>
      </c>
      <c r="K3" s="73"/>
      <c r="L3" s="73" t="s">
        <v>232</v>
      </c>
      <c r="M3" s="73" t="s">
        <v>233</v>
      </c>
      <c r="N3" s="73" t="s">
        <v>234</v>
      </c>
      <c r="O3" s="179" t="s">
        <v>235</v>
      </c>
      <c r="P3" s="468" t="s">
        <v>80</v>
      </c>
      <c r="Q3" s="468" t="s">
        <v>81</v>
      </c>
      <c r="R3" s="458" t="s">
        <v>80</v>
      </c>
      <c r="S3" s="458" t="s">
        <v>81</v>
      </c>
    </row>
    <row r="4" spans="1:21" x14ac:dyDescent="0.35">
      <c r="A4" s="469" t="s">
        <v>11</v>
      </c>
      <c r="B4" s="470">
        <v>2013</v>
      </c>
      <c r="C4" s="469">
        <v>51.519999999999996</v>
      </c>
      <c r="D4" s="469">
        <v>77.739999999999995</v>
      </c>
      <c r="E4" s="469">
        <v>6.74</v>
      </c>
      <c r="F4" s="469">
        <v>0.71719178082191781</v>
      </c>
      <c r="G4" s="469">
        <v>0.34994278886221469</v>
      </c>
      <c r="H4" s="469">
        <v>51981.66618883748</v>
      </c>
      <c r="I4">
        <v>0.30914334839935903</v>
      </c>
      <c r="J4" s="190">
        <v>2.12</v>
      </c>
      <c r="K4" s="190">
        <f>+(L4+N4)/3</f>
        <v>1.1333333333333335</v>
      </c>
      <c r="L4" s="471">
        <v>1</v>
      </c>
      <c r="M4" s="471">
        <v>2.9523809523809521</v>
      </c>
      <c r="N4" s="471">
        <v>2.4000000000000004</v>
      </c>
      <c r="O4" s="472">
        <v>0.57534246575342463</v>
      </c>
      <c r="P4" s="472">
        <v>0.41095890410958902</v>
      </c>
      <c r="Q4" s="472">
        <v>0.16438356164383561</v>
      </c>
      <c r="R4" s="91" t="e">
        <f>VLOOKUP(A4,#REF!,5,0)</f>
        <v>#REF!</v>
      </c>
      <c r="S4" s="91" t="e">
        <f>VLOOKUP(A4,#REF!,6,0)</f>
        <v>#REF!</v>
      </c>
      <c r="T4" s="7" t="e">
        <f>+S4+R4</f>
        <v>#REF!</v>
      </c>
      <c r="U4" s="91">
        <v>8.2191780821917804E-2</v>
      </c>
    </row>
    <row r="5" spans="1:21" x14ac:dyDescent="0.35">
      <c r="A5" s="69" t="s">
        <v>13</v>
      </c>
      <c r="B5" s="71">
        <v>2013</v>
      </c>
      <c r="C5" s="69">
        <v>22.29</v>
      </c>
      <c r="D5" s="69">
        <v>41.77</v>
      </c>
      <c r="E5" s="69">
        <v>2.5499999999999998</v>
      </c>
      <c r="F5" s="69">
        <v>0.62488493150684932</v>
      </c>
      <c r="G5" s="69">
        <v>0.53047434597356302</v>
      </c>
      <c r="H5" s="69">
        <v>13399.558925638197</v>
      </c>
      <c r="I5">
        <v>0.48819964135926958</v>
      </c>
      <c r="J5" s="72">
        <v>2.71</v>
      </c>
      <c r="K5" s="190">
        <f t="shared" ref="K5:K22" si="0">+(L5+N5)/3</f>
        <v>2.2333333333333334</v>
      </c>
      <c r="L5" s="180">
        <v>1.5</v>
      </c>
      <c r="M5" s="180">
        <v>1.4285714285714284</v>
      </c>
      <c r="N5" s="180">
        <v>5.2</v>
      </c>
      <c r="O5" s="181">
        <v>0.65753424657534243</v>
      </c>
      <c r="P5" s="181">
        <v>0.41095890410958902</v>
      </c>
      <c r="Q5" s="181">
        <v>0.24657534246575344</v>
      </c>
      <c r="R5" s="91" t="e">
        <f>VLOOKUP(A5,#REF!,5,0)</f>
        <v>#REF!</v>
      </c>
      <c r="S5" s="91" t="e">
        <f>VLOOKUP(A5,#REF!,6,0)</f>
        <v>#REF!</v>
      </c>
      <c r="T5" s="7" t="e">
        <f t="shared" ref="T5:T22" si="1">+S5+R5</f>
        <v>#REF!</v>
      </c>
      <c r="U5" s="3">
        <v>8.2191780821917804E-2</v>
      </c>
    </row>
    <row r="6" spans="1:21" x14ac:dyDescent="0.35">
      <c r="A6" s="69" t="s">
        <v>12</v>
      </c>
      <c r="B6" s="71">
        <v>2013</v>
      </c>
      <c r="C6" s="69">
        <v>63.44</v>
      </c>
      <c r="D6" s="69">
        <v>70.64</v>
      </c>
      <c r="E6" s="69">
        <v>6.64</v>
      </c>
      <c r="F6" s="69">
        <v>0.71386301369863026</v>
      </c>
      <c r="G6" s="69">
        <v>0.26426485415336359</v>
      </c>
      <c r="H6" s="69">
        <v>31854.20927605778</v>
      </c>
      <c r="I6">
        <v>0.25083075658214321</v>
      </c>
      <c r="J6" s="190">
        <v>1.8920634920634922</v>
      </c>
      <c r="K6" s="190">
        <f t="shared" si="0"/>
        <v>1.0666666666666667</v>
      </c>
      <c r="L6" s="180">
        <v>1</v>
      </c>
      <c r="M6" s="180">
        <v>2.48</v>
      </c>
      <c r="N6" s="180">
        <v>2.2000000000000002</v>
      </c>
      <c r="O6" s="181">
        <v>0.27287671232876709</v>
      </c>
      <c r="P6" s="181">
        <v>0.15780821917808219</v>
      </c>
      <c r="Q6" s="181">
        <v>0.11506849315068493</v>
      </c>
      <c r="R6" s="91" t="e">
        <f>VLOOKUP(A6,#REF!,5,0)</f>
        <v>#REF!</v>
      </c>
      <c r="S6" s="91" t="e">
        <f>VLOOKUP(A6,#REF!,6,0)</f>
        <v>#REF!</v>
      </c>
      <c r="T6" s="7" t="e">
        <f t="shared" si="1"/>
        <v>#REF!</v>
      </c>
      <c r="U6" s="3">
        <v>3.1561643835616437E-2</v>
      </c>
    </row>
    <row r="7" spans="1:21" x14ac:dyDescent="0.35">
      <c r="A7" s="69" t="s">
        <v>28</v>
      </c>
      <c r="B7" s="71">
        <v>2013</v>
      </c>
      <c r="C7" s="69">
        <v>71.08</v>
      </c>
      <c r="D7" s="69">
        <v>79.900000000000006</v>
      </c>
      <c r="E7" s="69">
        <v>7.2499999999999991</v>
      </c>
      <c r="F7" s="69">
        <v>0.37662602739726025</v>
      </c>
      <c r="G7" s="69">
        <v>0.20476174708325601</v>
      </c>
      <c r="H7" s="69">
        <v>48876.098568060908</v>
      </c>
      <c r="I7">
        <v>0.17638182358482354</v>
      </c>
      <c r="J7" s="72">
        <v>2.5299999999999998</v>
      </c>
      <c r="K7" s="190">
        <f t="shared" si="0"/>
        <v>1.7333333333333334</v>
      </c>
      <c r="L7" s="180">
        <v>2</v>
      </c>
      <c r="M7" s="180">
        <v>2.3809523809523805</v>
      </c>
      <c r="N7" s="180">
        <v>3.2</v>
      </c>
      <c r="O7" s="181">
        <v>0.49315068493150682</v>
      </c>
      <c r="P7" s="181">
        <v>0.41095890410958902</v>
      </c>
      <c r="Q7" s="181">
        <v>8.2191780821917804E-2</v>
      </c>
      <c r="R7" s="91" t="e">
        <f>VLOOKUP(A7,#REF!,5,0)</f>
        <v>#REF!</v>
      </c>
      <c r="S7" s="91" t="e">
        <f>VLOOKUP(A7,#REF!,6,0)</f>
        <v>#REF!</v>
      </c>
      <c r="T7" s="7" t="e">
        <f t="shared" si="1"/>
        <v>#REF!</v>
      </c>
      <c r="U7" s="3">
        <v>8.2191780821917804E-2</v>
      </c>
    </row>
    <row r="8" spans="1:21" x14ac:dyDescent="0.35">
      <c r="A8" s="69" t="s">
        <v>15</v>
      </c>
      <c r="B8" s="71">
        <v>2013</v>
      </c>
      <c r="C8" s="69">
        <v>35.35</v>
      </c>
      <c r="D8" s="69">
        <v>45.92</v>
      </c>
      <c r="E8" s="69">
        <v>9.67</v>
      </c>
      <c r="F8" s="69">
        <v>0.53440986301369864</v>
      </c>
      <c r="G8" s="69">
        <v>0.3292159668425626</v>
      </c>
      <c r="H8" s="69">
        <v>27978.629828159494</v>
      </c>
      <c r="I8">
        <v>0.31200930077527456</v>
      </c>
      <c r="J8" s="72">
        <v>1.67</v>
      </c>
      <c r="K8" s="190">
        <f t="shared" si="0"/>
        <v>1.1333333333333335</v>
      </c>
      <c r="L8" s="180">
        <v>1</v>
      </c>
      <c r="M8" s="180">
        <v>1.6190476190476188</v>
      </c>
      <c r="N8" s="180">
        <v>2.4000000000000004</v>
      </c>
      <c r="O8" s="181">
        <v>0.32191780821917815</v>
      </c>
      <c r="P8" s="181">
        <v>0.30136986301369867</v>
      </c>
      <c r="Q8" s="181">
        <v>2.0547945205479451E-2</v>
      </c>
      <c r="R8" s="91" t="e">
        <f>VLOOKUP(A8,#REF!,5,0)</f>
        <v>#REF!</v>
      </c>
      <c r="S8" s="91" t="e">
        <f>VLOOKUP(A8,#REF!,6,0)</f>
        <v>#REF!</v>
      </c>
      <c r="T8" s="7" t="e">
        <f t="shared" si="1"/>
        <v>#REF!</v>
      </c>
      <c r="U8" s="3">
        <v>6.0273972602739735E-2</v>
      </c>
    </row>
    <row r="9" spans="1:21" x14ac:dyDescent="0.35">
      <c r="A9" s="69" t="s">
        <v>18</v>
      </c>
      <c r="B9" s="71">
        <v>2013</v>
      </c>
      <c r="C9" s="69">
        <v>71.58</v>
      </c>
      <c r="D9" s="69">
        <v>76.849999999999994</v>
      </c>
      <c r="E9" s="69">
        <v>8.59</v>
      </c>
      <c r="F9" s="69">
        <v>0.58081506849315079</v>
      </c>
      <c r="G9" s="69">
        <v>0.45293198896118181</v>
      </c>
      <c r="H9" s="69">
        <v>32573.579999449135</v>
      </c>
      <c r="I9">
        <v>0.42449880504243442</v>
      </c>
      <c r="J9" s="72">
        <v>1.68</v>
      </c>
      <c r="K9" s="190">
        <f t="shared" si="0"/>
        <v>1</v>
      </c>
      <c r="L9" s="180">
        <v>1</v>
      </c>
      <c r="M9" s="180">
        <v>2.0476190476190474</v>
      </c>
      <c r="N9" s="180">
        <v>2</v>
      </c>
      <c r="O9" s="181">
        <v>0.37260273972602742</v>
      </c>
      <c r="P9" s="181">
        <v>0.29041095890410962</v>
      </c>
      <c r="Q9" s="181">
        <v>8.2191780821917804E-2</v>
      </c>
      <c r="R9" s="91" t="e">
        <f>VLOOKUP(A9,#REF!,5,0)</f>
        <v>#REF!</v>
      </c>
      <c r="S9" s="91" t="e">
        <f>VLOOKUP(A9,#REF!,6,0)</f>
        <v>#REF!</v>
      </c>
      <c r="T9" s="7" t="e">
        <f t="shared" si="1"/>
        <v>#REF!</v>
      </c>
      <c r="U9" s="3">
        <v>5.8082191780821926E-2</v>
      </c>
    </row>
    <row r="10" spans="1:21" x14ac:dyDescent="0.35">
      <c r="A10" s="69" t="s">
        <v>26</v>
      </c>
      <c r="B10" s="71">
        <v>2013</v>
      </c>
      <c r="C10" s="69">
        <v>34.75</v>
      </c>
      <c r="D10" s="69">
        <v>55.510000000000005</v>
      </c>
      <c r="E10" s="69">
        <v>7.46</v>
      </c>
      <c r="F10" s="69">
        <v>0.45173287671232876</v>
      </c>
      <c r="G10" s="69">
        <v>0.184359677832755</v>
      </c>
      <c r="H10" s="69">
        <v>32257.388273899738</v>
      </c>
      <c r="I10">
        <v>0.17616881375338134</v>
      </c>
      <c r="J10" s="72">
        <v>1.96</v>
      </c>
      <c r="K10" s="190">
        <f t="shared" si="0"/>
        <v>1.1333333333333333</v>
      </c>
      <c r="L10" s="180">
        <v>2</v>
      </c>
      <c r="M10" s="180">
        <v>2.4761904761904763</v>
      </c>
      <c r="N10" s="180">
        <v>1.4</v>
      </c>
      <c r="O10" s="181">
        <v>0.39178082191780816</v>
      </c>
      <c r="P10" s="181">
        <v>0.31506849315068491</v>
      </c>
      <c r="Q10" s="181">
        <v>7.6712328767123278E-2</v>
      </c>
      <c r="R10" s="91" t="e">
        <f>VLOOKUP(A10,#REF!,5,0)</f>
        <v>#REF!</v>
      </c>
      <c r="S10" s="91" t="e">
        <f>VLOOKUP(A10,#REF!,6,0)</f>
        <v>#REF!</v>
      </c>
      <c r="T10" s="7" t="e">
        <f t="shared" si="1"/>
        <v>#REF!</v>
      </c>
      <c r="U10" s="3">
        <v>8.2191780821917818E-2</v>
      </c>
    </row>
    <row r="11" spans="1:21" x14ac:dyDescent="0.35">
      <c r="A11" s="69" t="s">
        <v>17</v>
      </c>
      <c r="B11" s="71">
        <v>2013</v>
      </c>
      <c r="C11" s="69">
        <v>45.1</v>
      </c>
      <c r="D11" s="69">
        <v>59.89</v>
      </c>
      <c r="E11" s="69">
        <v>3.16</v>
      </c>
      <c r="F11" s="69">
        <v>0.47592978151392745</v>
      </c>
      <c r="G11" s="69">
        <v>0.44511901875414583</v>
      </c>
      <c r="H11" s="69">
        <v>23817.328246283825</v>
      </c>
      <c r="I11">
        <v>0.41303372063387089</v>
      </c>
      <c r="J11" s="72">
        <v>2.1</v>
      </c>
      <c r="K11" s="190">
        <f t="shared" si="0"/>
        <v>0.66666666666666663</v>
      </c>
      <c r="L11" s="180">
        <v>0</v>
      </c>
      <c r="M11" s="180">
        <v>4.2857142857142856</v>
      </c>
      <c r="N11" s="180">
        <v>2</v>
      </c>
      <c r="O11" s="181">
        <v>0.41095890410958907</v>
      </c>
      <c r="P11" s="181">
        <v>0.41095890410958907</v>
      </c>
      <c r="Q11" s="181">
        <v>0</v>
      </c>
      <c r="R11" s="91" t="e">
        <f>VLOOKUP(A11,#REF!,5,0)</f>
        <v>#REF!</v>
      </c>
      <c r="S11" s="91" t="e">
        <f>VLOOKUP(A11,#REF!,6,0)</f>
        <v>#REF!</v>
      </c>
      <c r="T11" s="7" t="e">
        <f t="shared" si="1"/>
        <v>#REF!</v>
      </c>
      <c r="U11" s="3">
        <v>8.2191780821917818E-2</v>
      </c>
    </row>
    <row r="12" spans="1:21" x14ac:dyDescent="0.35">
      <c r="A12" s="170" t="s">
        <v>21</v>
      </c>
      <c r="B12" s="548">
        <v>2013</v>
      </c>
      <c r="C12" s="170">
        <v>19.59</v>
      </c>
      <c r="D12" s="170">
        <v>60.24</v>
      </c>
      <c r="E12" s="170">
        <v>2.44</v>
      </c>
      <c r="F12" s="170">
        <v>0.46267123287671236</v>
      </c>
      <c r="G12" s="170">
        <v>0.63057990461403379</v>
      </c>
      <c r="H12" s="170">
        <v>17578.982060432587</v>
      </c>
      <c r="I12">
        <v>0.60975703703568096</v>
      </c>
      <c r="J12" s="170">
        <v>1.42</v>
      </c>
      <c r="K12" s="549">
        <f t="shared" si="0"/>
        <v>0.53333333333333333</v>
      </c>
      <c r="L12" s="550">
        <v>0</v>
      </c>
      <c r="M12" s="550">
        <v>2.6666666666666665</v>
      </c>
      <c r="N12" s="550">
        <v>1.6</v>
      </c>
      <c r="O12" s="550">
        <v>0.41095890410958907</v>
      </c>
      <c r="P12" s="550">
        <v>0.41095890410958907</v>
      </c>
      <c r="Q12" s="550">
        <v>0</v>
      </c>
      <c r="R12" s="199" t="e">
        <f>VLOOKUP(A12,#REF!,5,0)</f>
        <v>#REF!</v>
      </c>
      <c r="S12" s="199" t="e">
        <f>VLOOKUP(A12,#REF!,6,0)</f>
        <v>#REF!</v>
      </c>
      <c r="T12" s="7" t="e">
        <f t="shared" si="1"/>
        <v>#REF!</v>
      </c>
      <c r="U12" s="12">
        <v>8.2191780821917804E-2</v>
      </c>
    </row>
    <row r="13" spans="1:21" x14ac:dyDescent="0.35">
      <c r="A13" s="170" t="s">
        <v>27</v>
      </c>
      <c r="B13" s="548">
        <v>2013</v>
      </c>
      <c r="C13" s="170">
        <v>17.399999999999999</v>
      </c>
      <c r="D13" s="170">
        <v>46.089999999999996</v>
      </c>
      <c r="E13" s="170">
        <v>5.96</v>
      </c>
      <c r="F13" s="170">
        <v>0.42514657639073372</v>
      </c>
      <c r="G13" s="170">
        <v>0.94639392705061376</v>
      </c>
      <c r="H13" s="170">
        <v>11887.308672294401</v>
      </c>
      <c r="I13">
        <v>0.91241961838344154</v>
      </c>
      <c r="J13" s="170">
        <v>2.0699999999999998</v>
      </c>
      <c r="K13" s="549">
        <f t="shared" si="0"/>
        <v>1.7333333333333334</v>
      </c>
      <c r="L13" s="550">
        <v>1</v>
      </c>
      <c r="M13" s="550">
        <v>1</v>
      </c>
      <c r="N13" s="550">
        <v>4.2</v>
      </c>
      <c r="O13" s="550">
        <v>0.49315068493150682</v>
      </c>
      <c r="P13" s="550">
        <v>0.41095890410958902</v>
      </c>
      <c r="Q13" s="550">
        <v>8.2191780821917804E-2</v>
      </c>
      <c r="R13" s="199" t="e">
        <f>VLOOKUP(A13,#REF!,5,0)</f>
        <v>#REF!</v>
      </c>
      <c r="S13" s="199" t="e">
        <f>VLOOKUP(A13,#REF!,6,0)</f>
        <v>#REF!</v>
      </c>
      <c r="T13" s="7" t="e">
        <f t="shared" si="1"/>
        <v>#REF!</v>
      </c>
      <c r="U13" s="12">
        <v>0.10410958904109588</v>
      </c>
    </row>
    <row r="14" spans="1:21" x14ac:dyDescent="0.35">
      <c r="A14" s="170" t="s">
        <v>29</v>
      </c>
      <c r="B14" s="548">
        <v>2012</v>
      </c>
      <c r="C14" s="170" t="s">
        <v>236</v>
      </c>
      <c r="D14" s="170">
        <v>60.819999999999993</v>
      </c>
      <c r="E14" s="170">
        <v>14.74</v>
      </c>
      <c r="F14" s="170">
        <v>0.27824229452054799</v>
      </c>
      <c r="G14" s="170">
        <v>0.27658406004521763</v>
      </c>
      <c r="H14" s="170">
        <v>21078.640412240045</v>
      </c>
      <c r="I14">
        <v>0.26210022892912943</v>
      </c>
      <c r="J14" s="170">
        <v>1.63</v>
      </c>
      <c r="K14" s="549">
        <f t="shared" si="0"/>
        <v>1.1333333333333335</v>
      </c>
      <c r="L14" s="550">
        <v>1</v>
      </c>
      <c r="M14" s="550">
        <v>1.4761904761904761</v>
      </c>
      <c r="N14" s="550">
        <v>2.4000000000000004</v>
      </c>
      <c r="O14" s="550">
        <v>0.26849315068493151</v>
      </c>
      <c r="P14" s="550">
        <v>0.19178082191780824</v>
      </c>
      <c r="Q14" s="550">
        <v>7.6712328767123292E-2</v>
      </c>
      <c r="R14" s="199" t="e">
        <f>VLOOKUP(A14,#REF!,5,0)</f>
        <v>#REF!</v>
      </c>
      <c r="S14" s="199" t="e">
        <f>VLOOKUP(A14,#REF!,6,0)</f>
        <v>#REF!</v>
      </c>
      <c r="T14" s="7" t="e">
        <f t="shared" si="1"/>
        <v>#REF!</v>
      </c>
      <c r="U14" s="12">
        <v>3.8356164383561646E-2</v>
      </c>
    </row>
    <row r="15" spans="1:21" x14ac:dyDescent="0.35">
      <c r="A15" s="170" t="s">
        <v>24</v>
      </c>
      <c r="B15" s="551">
        <v>2014</v>
      </c>
      <c r="C15" s="170">
        <v>32.54</v>
      </c>
      <c r="D15" s="170">
        <v>75.650000000000006</v>
      </c>
      <c r="E15" s="170">
        <v>4.79</v>
      </c>
      <c r="F15" s="170">
        <v>0.43593984329799862</v>
      </c>
      <c r="G15" s="170">
        <v>0.12059191352422058</v>
      </c>
      <c r="H15" s="170">
        <v>39897.407089304121</v>
      </c>
      <c r="I15">
        <v>0.1187111782295994</v>
      </c>
      <c r="J15" s="170">
        <v>1.91</v>
      </c>
      <c r="K15" s="549">
        <f t="shared" si="0"/>
        <v>1.4666666666666668</v>
      </c>
      <c r="L15" s="550">
        <v>1</v>
      </c>
      <c r="M15" s="550">
        <v>1.3333333333333333</v>
      </c>
      <c r="N15" s="550">
        <v>3.4</v>
      </c>
      <c r="O15" s="550">
        <v>0.52054794520547942</v>
      </c>
      <c r="P15" s="550">
        <v>0.52054794520547942</v>
      </c>
      <c r="Q15" s="550">
        <v>0</v>
      </c>
      <c r="R15" s="199" t="e">
        <f>VLOOKUP(A15,#REF!,5,0)</f>
        <v>#REF!</v>
      </c>
      <c r="S15" s="199" t="e">
        <f>VLOOKUP(A15,#REF!,6,0)</f>
        <v>#REF!</v>
      </c>
      <c r="T15" s="7" t="e">
        <f t="shared" si="1"/>
        <v>#REF!</v>
      </c>
      <c r="U15" s="12">
        <v>7.1232876712328766E-2</v>
      </c>
    </row>
    <row r="16" spans="1:21" x14ac:dyDescent="0.35">
      <c r="A16" s="170" t="s">
        <v>23</v>
      </c>
      <c r="B16" s="548">
        <v>2012</v>
      </c>
      <c r="C16" s="170">
        <v>18.57</v>
      </c>
      <c r="D16" s="170">
        <v>43.81</v>
      </c>
      <c r="E16" s="170">
        <v>4.9799999999999995</v>
      </c>
      <c r="F16" s="170">
        <v>0.47976027397260274</v>
      </c>
      <c r="G16" s="170">
        <v>0.64535088938381679</v>
      </c>
      <c r="H16" s="170">
        <v>11153.537145024622</v>
      </c>
      <c r="I16">
        <v>0.61809348066976488</v>
      </c>
      <c r="J16" s="170">
        <v>1.37</v>
      </c>
      <c r="K16" s="549">
        <f t="shared" si="0"/>
        <v>0.80000000000000016</v>
      </c>
      <c r="L16" s="550">
        <v>0</v>
      </c>
      <c r="M16" s="550">
        <v>1.7142857142857142</v>
      </c>
      <c r="N16" s="550">
        <v>2.4000000000000004</v>
      </c>
      <c r="O16" s="550">
        <v>0.35616438356164382</v>
      </c>
      <c r="P16" s="550">
        <v>0.35616438356164382</v>
      </c>
      <c r="Q16" s="550">
        <v>0</v>
      </c>
      <c r="R16" s="199" t="e">
        <f>VLOOKUP(A16,#REF!,5,0)</f>
        <v>#REF!</v>
      </c>
      <c r="S16" s="199" t="e">
        <f>VLOOKUP(A16,#REF!,6,0)</f>
        <v>#REF!</v>
      </c>
      <c r="T16" s="7" t="e">
        <f t="shared" si="1"/>
        <v>#REF!</v>
      </c>
      <c r="U16" s="12">
        <v>6.5205479452054807E-2</v>
      </c>
    </row>
    <row r="17" spans="1:24" x14ac:dyDescent="0.35">
      <c r="A17" s="170" t="s">
        <v>19</v>
      </c>
      <c r="B17" s="548">
        <v>2013</v>
      </c>
      <c r="C17" s="170">
        <v>56.089999999999996</v>
      </c>
      <c r="D17" s="170">
        <v>70.63000000000001</v>
      </c>
      <c r="E17" s="170">
        <v>4.3099999999999996</v>
      </c>
      <c r="F17" s="170">
        <v>0.51313835616438352</v>
      </c>
      <c r="G17" s="170">
        <v>0.33787256432304202</v>
      </c>
      <c r="H17" s="170">
        <v>41758.326275234329</v>
      </c>
      <c r="I17">
        <v>0.31041981244656197</v>
      </c>
      <c r="J17" s="170">
        <v>2.4300000000000002</v>
      </c>
      <c r="K17" s="549">
        <f t="shared" si="0"/>
        <v>2.3333333333333335</v>
      </c>
      <c r="L17" s="550">
        <v>4</v>
      </c>
      <c r="M17" s="550">
        <v>0.2857142857142857</v>
      </c>
      <c r="N17" s="550">
        <v>3</v>
      </c>
      <c r="O17" s="550">
        <v>0.32602739726027402</v>
      </c>
      <c r="P17" s="550">
        <v>0.32602739726027402</v>
      </c>
      <c r="Q17" s="550">
        <v>0</v>
      </c>
      <c r="R17" s="199" t="e">
        <f>VLOOKUP(A17,#REF!,5,0)</f>
        <v>#REF!</v>
      </c>
      <c r="S17" s="199" t="e">
        <f>VLOOKUP(A17,#REF!,6,0)</f>
        <v>#REF!</v>
      </c>
      <c r="T17" s="7" t="e">
        <f t="shared" si="1"/>
        <v>#REF!</v>
      </c>
      <c r="U17" s="12">
        <v>0.12328767123287672</v>
      </c>
    </row>
    <row r="18" spans="1:24" s="555" customFormat="1" x14ac:dyDescent="0.35">
      <c r="A18" s="553" t="s">
        <v>16</v>
      </c>
      <c r="B18" s="554">
        <v>2013</v>
      </c>
      <c r="C18" s="553">
        <v>21.11</v>
      </c>
      <c r="D18" s="553">
        <v>51.65</v>
      </c>
      <c r="E18" s="553">
        <v>4.04</v>
      </c>
      <c r="F18" s="553">
        <v>0.67949634703196349</v>
      </c>
      <c r="G18" s="553">
        <v>0.44358024210709468</v>
      </c>
      <c r="H18" s="553">
        <v>22374.300986377995</v>
      </c>
      <c r="I18" s="555">
        <v>0.40924528712143504</v>
      </c>
      <c r="J18" s="553">
        <v>1.6</v>
      </c>
      <c r="K18" s="556">
        <f t="shared" si="0"/>
        <v>1.6000000000000003</v>
      </c>
      <c r="L18" s="557">
        <v>2</v>
      </c>
      <c r="M18" s="557">
        <v>0</v>
      </c>
      <c r="N18" s="557">
        <v>2.8000000000000003</v>
      </c>
      <c r="O18" s="557">
        <v>0.61643835616438358</v>
      </c>
      <c r="P18" s="557">
        <v>0.61643835616438358</v>
      </c>
      <c r="Q18" s="557">
        <v>0</v>
      </c>
      <c r="R18" s="558" t="e">
        <f>VLOOKUP(A18,#REF!,5,0)</f>
        <v>#REF!</v>
      </c>
      <c r="S18" s="558" t="e">
        <f>VLOOKUP(A18,#REF!,6,0)</f>
        <v>#REF!</v>
      </c>
      <c r="T18" s="559" t="e">
        <f t="shared" si="1"/>
        <v>#REF!</v>
      </c>
      <c r="U18" s="560">
        <v>4.1095890410958909E-2</v>
      </c>
    </row>
    <row r="19" spans="1:24" x14ac:dyDescent="0.35">
      <c r="A19" s="170" t="s">
        <v>20</v>
      </c>
      <c r="B19" s="548">
        <v>2013</v>
      </c>
      <c r="C19" s="170">
        <v>23.03</v>
      </c>
      <c r="D19" s="170">
        <v>57.57</v>
      </c>
      <c r="E19" s="170">
        <v>5.18</v>
      </c>
      <c r="F19" s="170">
        <v>0.44054794520547946</v>
      </c>
      <c r="G19" s="170">
        <v>0.68164021381151529</v>
      </c>
      <c r="H19" s="170">
        <v>18500.406599785332</v>
      </c>
      <c r="I19">
        <v>0.63555366074761388</v>
      </c>
      <c r="J19" s="170">
        <v>1.9</v>
      </c>
      <c r="K19" s="549">
        <f t="shared" si="0"/>
        <v>1.3333333333333333</v>
      </c>
      <c r="L19" s="550">
        <v>1</v>
      </c>
      <c r="M19" s="550">
        <v>1.7142857142857142</v>
      </c>
      <c r="N19" s="550">
        <v>3</v>
      </c>
      <c r="O19" s="550">
        <v>0.32876712328767127</v>
      </c>
      <c r="P19" s="550">
        <v>0.20547945205479454</v>
      </c>
      <c r="Q19" s="550">
        <v>0.12328767123287672</v>
      </c>
      <c r="R19" s="199" t="e">
        <f>VLOOKUP(A19,#REF!,5,0)</f>
        <v>#REF!</v>
      </c>
      <c r="S19" s="199" t="e">
        <f>VLOOKUP(A19,#REF!,6,0)</f>
        <v>#REF!</v>
      </c>
      <c r="T19" s="7" t="e">
        <f t="shared" si="1"/>
        <v>#REF!</v>
      </c>
      <c r="U19" s="12">
        <v>6.3013698630136977E-2</v>
      </c>
    </row>
    <row r="20" spans="1:24" x14ac:dyDescent="0.35">
      <c r="A20" s="170" t="s">
        <v>25</v>
      </c>
      <c r="B20" s="548">
        <v>2013</v>
      </c>
      <c r="C20" s="170">
        <v>30.490000000000002</v>
      </c>
      <c r="D20" s="170">
        <v>60.06</v>
      </c>
      <c r="E20" s="170">
        <v>3.7800000000000002</v>
      </c>
      <c r="F20" s="170">
        <v>0.43404109589041096</v>
      </c>
      <c r="G20" s="170">
        <v>0.34029704617217182</v>
      </c>
      <c r="H20" s="170">
        <v>19369.410535282801</v>
      </c>
      <c r="I20">
        <v>0.31834685460434847</v>
      </c>
      <c r="J20" s="170">
        <v>1.7</v>
      </c>
      <c r="K20" s="549">
        <f t="shared" si="0"/>
        <v>0.93333333333333346</v>
      </c>
      <c r="L20" s="550">
        <v>1</v>
      </c>
      <c r="M20" s="550">
        <v>2.2857142857142856</v>
      </c>
      <c r="N20" s="550">
        <v>1.8000000000000003</v>
      </c>
      <c r="O20" s="550">
        <v>0.41095890410958907</v>
      </c>
      <c r="P20" s="550">
        <v>0.41095890410958907</v>
      </c>
      <c r="Q20" s="550">
        <v>0</v>
      </c>
      <c r="R20" s="199" t="e">
        <f>VLOOKUP(A20,#REF!,5,0)</f>
        <v>#REF!</v>
      </c>
      <c r="S20" s="199" t="e">
        <f>VLOOKUP(A20,#REF!,6,0)</f>
        <v>#REF!</v>
      </c>
      <c r="T20" s="7" t="e">
        <f t="shared" si="1"/>
        <v>#REF!</v>
      </c>
      <c r="U20" s="12">
        <v>8.2191780821917818E-2</v>
      </c>
    </row>
    <row r="21" spans="1:24" x14ac:dyDescent="0.35">
      <c r="A21" s="170" t="s">
        <v>14</v>
      </c>
      <c r="B21" s="548">
        <v>2013</v>
      </c>
      <c r="C21" s="170">
        <v>76.62</v>
      </c>
      <c r="D21" s="170">
        <v>74.28</v>
      </c>
      <c r="E21" s="170">
        <v>6.23</v>
      </c>
      <c r="F21" s="170">
        <v>0.62930821917808222</v>
      </c>
      <c r="G21" s="170">
        <v>0.21464504808425572</v>
      </c>
      <c r="H21" s="170">
        <v>41717.517890633171</v>
      </c>
      <c r="I21">
        <v>0.18879107509700532</v>
      </c>
      <c r="J21" s="170">
        <v>1.93</v>
      </c>
      <c r="K21" s="549">
        <f t="shared" si="0"/>
        <v>1.3</v>
      </c>
      <c r="L21" s="550">
        <v>1.5</v>
      </c>
      <c r="M21" s="550">
        <v>1.9047619047619047</v>
      </c>
      <c r="N21" s="550">
        <v>2.4000000000000004</v>
      </c>
      <c r="O21" s="550">
        <v>0.49041095890410963</v>
      </c>
      <c r="P21" s="550">
        <v>0.49041095890410963</v>
      </c>
      <c r="Q21" s="550">
        <v>0</v>
      </c>
      <c r="R21" s="199" t="e">
        <f>VLOOKUP(A21,#REF!,5,0)</f>
        <v>#REF!</v>
      </c>
      <c r="S21" s="199" t="e">
        <f>VLOOKUP(A21,#REF!,6,0)</f>
        <v>#REF!</v>
      </c>
      <c r="T21" s="7" t="e">
        <f t="shared" si="1"/>
        <v>#REF!</v>
      </c>
      <c r="U21" s="12">
        <v>9.808219178082192E-2</v>
      </c>
    </row>
    <row r="22" spans="1:24" x14ac:dyDescent="0.35">
      <c r="A22" s="473" t="s">
        <v>22</v>
      </c>
      <c r="B22" s="474">
        <v>2013</v>
      </c>
      <c r="C22" s="473">
        <v>33.72</v>
      </c>
      <c r="D22" s="473">
        <v>60.419999999999995</v>
      </c>
      <c r="E22" s="473">
        <v>7.22</v>
      </c>
      <c r="F22" s="473">
        <v>0.43396335616438358</v>
      </c>
      <c r="G22" s="473">
        <v>0.26986930456222996</v>
      </c>
      <c r="H22" s="473">
        <v>43705.439247906645</v>
      </c>
      <c r="I22">
        <v>0.25857741331262007</v>
      </c>
      <c r="J22" s="475">
        <v>3.5</v>
      </c>
      <c r="K22" s="190">
        <f t="shared" si="0"/>
        <v>3.5</v>
      </c>
      <c r="L22" s="476">
        <v>4.5</v>
      </c>
      <c r="M22" s="476">
        <v>0</v>
      </c>
      <c r="N22" s="476">
        <v>6.0000000000000009</v>
      </c>
      <c r="O22" s="477">
        <v>0.41095890410958902</v>
      </c>
      <c r="P22" s="477">
        <v>0.41095890410958902</v>
      </c>
      <c r="Q22" s="477">
        <v>0</v>
      </c>
      <c r="R22" s="91" t="e">
        <f>VLOOKUP(A22,#REF!,5,0)</f>
        <v>#REF!</v>
      </c>
      <c r="S22" s="91" t="e">
        <f>VLOOKUP(A22,#REF!,6,0)</f>
        <v>#REF!</v>
      </c>
      <c r="T22" s="7" t="e">
        <f t="shared" si="1"/>
        <v>#REF!</v>
      </c>
      <c r="U22" s="92">
        <v>8.2191780821917804E-2</v>
      </c>
    </row>
    <row r="23" spans="1:24" x14ac:dyDescent="0.35">
      <c r="L23" s="191"/>
      <c r="U23" t="e">
        <f>+CORREL(N4:N21,T4:T21)</f>
        <v>#REF!</v>
      </c>
      <c r="X23" t="e">
        <f>+CORREL(T4:T22,N4:N22)</f>
        <v>#REF!</v>
      </c>
    </row>
    <row r="25" spans="1:24" ht="16" x14ac:dyDescent="0.4">
      <c r="A25" s="202" t="s">
        <v>237</v>
      </c>
      <c r="C25" s="69"/>
    </row>
    <row r="26" spans="1:24" x14ac:dyDescent="0.35">
      <c r="C26" s="69"/>
    </row>
    <row r="27" spans="1:24" x14ac:dyDescent="0.35">
      <c r="A27" s="469"/>
      <c r="C27" s="69"/>
      <c r="F27" s="172"/>
      <c r="G27" s="178"/>
      <c r="U27" s="469"/>
    </row>
    <row r="28" spans="1:24" x14ac:dyDescent="0.35">
      <c r="A28" s="69"/>
      <c r="C28" s="69"/>
      <c r="F28" s="172"/>
      <c r="G28" s="178"/>
      <c r="U28" s="69"/>
    </row>
    <row r="29" spans="1:24" x14ac:dyDescent="0.35">
      <c r="A29" s="69"/>
      <c r="C29" s="69"/>
      <c r="F29" s="172"/>
      <c r="G29" s="178"/>
      <c r="U29" s="69"/>
    </row>
    <row r="30" spans="1:24" x14ac:dyDescent="0.35">
      <c r="A30" s="69"/>
      <c r="C30" s="69"/>
      <c r="F30" s="172"/>
      <c r="G30" s="178"/>
      <c r="K30" s="5" t="s">
        <v>232</v>
      </c>
      <c r="U30" s="69"/>
    </row>
    <row r="31" spans="1:24" x14ac:dyDescent="0.35">
      <c r="A31" s="69"/>
      <c r="C31" s="69"/>
      <c r="F31" s="172"/>
      <c r="G31" s="178"/>
      <c r="U31" s="69"/>
    </row>
    <row r="32" spans="1:24" x14ac:dyDescent="0.35">
      <c r="A32" s="69"/>
      <c r="C32" s="69"/>
      <c r="F32" s="172"/>
      <c r="G32" s="178"/>
      <c r="U32" s="69"/>
    </row>
    <row r="33" spans="1:21" x14ac:dyDescent="0.35">
      <c r="A33" s="69"/>
      <c r="C33" s="69"/>
      <c r="F33" s="172"/>
      <c r="G33" s="178"/>
      <c r="U33" s="69"/>
    </row>
    <row r="34" spans="1:21" x14ac:dyDescent="0.35">
      <c r="A34" s="69"/>
      <c r="C34" s="69"/>
      <c r="F34" s="172"/>
      <c r="G34" s="178"/>
      <c r="U34" s="69"/>
    </row>
    <row r="35" spans="1:21" x14ac:dyDescent="0.35">
      <c r="A35" s="69"/>
      <c r="C35" s="69"/>
      <c r="F35" s="172"/>
      <c r="G35" s="178"/>
      <c r="U35" s="69"/>
    </row>
    <row r="36" spans="1:21" x14ac:dyDescent="0.35">
      <c r="A36" s="69"/>
      <c r="C36" s="69"/>
      <c r="F36" s="172"/>
      <c r="G36" s="178"/>
      <c r="U36" s="69"/>
    </row>
    <row r="37" spans="1:21" x14ac:dyDescent="0.35">
      <c r="A37" s="69"/>
      <c r="C37" s="69"/>
      <c r="F37" s="172"/>
      <c r="G37" s="178"/>
      <c r="U37" s="69"/>
    </row>
    <row r="38" spans="1:21" x14ac:dyDescent="0.35">
      <c r="A38" s="69"/>
      <c r="C38" s="69"/>
      <c r="F38" s="172"/>
      <c r="G38" s="178"/>
      <c r="U38" s="69"/>
    </row>
    <row r="39" spans="1:21" x14ac:dyDescent="0.35">
      <c r="A39" s="69"/>
      <c r="C39" s="69"/>
      <c r="F39" s="172"/>
      <c r="G39" s="178"/>
      <c r="U39" s="69"/>
    </row>
    <row r="40" spans="1:21" x14ac:dyDescent="0.35">
      <c r="A40" s="69"/>
      <c r="C40" s="473"/>
      <c r="F40" s="172"/>
      <c r="G40" s="178"/>
      <c r="U40" s="69"/>
    </row>
    <row r="41" spans="1:21" x14ac:dyDescent="0.35">
      <c r="A41" s="69"/>
      <c r="F41" s="172"/>
      <c r="G41" s="178"/>
      <c r="U41" s="69"/>
    </row>
    <row r="42" spans="1:21" x14ac:dyDescent="0.35">
      <c r="A42" s="69"/>
      <c r="F42" s="172"/>
      <c r="G42" s="178"/>
      <c r="U42" s="69"/>
    </row>
    <row r="43" spans="1:21" x14ac:dyDescent="0.35">
      <c r="A43" s="69"/>
      <c r="C43" s="69"/>
      <c r="F43" s="172"/>
      <c r="G43" s="178"/>
      <c r="U43" s="69"/>
    </row>
    <row r="44" spans="1:21" x14ac:dyDescent="0.35">
      <c r="A44" s="69"/>
      <c r="G44" s="178"/>
      <c r="U44" s="69"/>
    </row>
    <row r="45" spans="1:21" x14ac:dyDescent="0.35">
      <c r="A45" s="69"/>
      <c r="F45" s="172"/>
      <c r="G45" s="178"/>
      <c r="U45" s="69"/>
    </row>
    <row r="46" spans="1:21" x14ac:dyDescent="0.35">
      <c r="A46" s="473"/>
      <c r="F46" s="172"/>
      <c r="G46" s="178"/>
      <c r="U46" s="473"/>
    </row>
    <row r="47" spans="1:21" x14ac:dyDescent="0.35">
      <c r="F47" s="172"/>
    </row>
    <row r="50" spans="1:22" x14ac:dyDescent="0.35">
      <c r="J50" s="5" t="s">
        <v>238</v>
      </c>
    </row>
    <row r="53" spans="1:22" ht="33.75" customHeight="1" x14ac:dyDescent="0.35"/>
    <row r="56" spans="1:22" x14ac:dyDescent="0.35">
      <c r="A56" s="5" t="s">
        <v>266</v>
      </c>
    </row>
    <row r="57" spans="1:22" ht="52" x14ac:dyDescent="0.35">
      <c r="A57" s="183"/>
      <c r="B57" s="184" t="s">
        <v>267</v>
      </c>
      <c r="C57" s="184" t="s">
        <v>268</v>
      </c>
      <c r="D57" s="184" t="s">
        <v>269</v>
      </c>
      <c r="E57" s="184" t="s">
        <v>270</v>
      </c>
      <c r="F57" s="184" t="s">
        <v>271</v>
      </c>
      <c r="G57" s="184" t="s">
        <v>272</v>
      </c>
      <c r="H57" s="184" t="s">
        <v>273</v>
      </c>
      <c r="T57" s="23"/>
      <c r="U57" s="2"/>
      <c r="V57" s="2"/>
    </row>
    <row r="58" spans="1:22" x14ac:dyDescent="0.35">
      <c r="A58" s="182" t="s">
        <v>267</v>
      </c>
      <c r="B58" s="185">
        <v>1</v>
      </c>
      <c r="C58" s="185"/>
      <c r="D58" s="185"/>
      <c r="E58" s="185"/>
      <c r="F58" s="185"/>
      <c r="G58" s="185"/>
      <c r="H58" s="185"/>
      <c r="T58" s="23"/>
      <c r="U58" s="2"/>
      <c r="V58" s="2"/>
    </row>
    <row r="59" spans="1:22" x14ac:dyDescent="0.35">
      <c r="A59" s="182" t="s">
        <v>268</v>
      </c>
      <c r="B59" s="185">
        <f>+CORREL(O4:O22,P4:P22)</f>
        <v>0.80521077154774889</v>
      </c>
      <c r="C59" s="185">
        <v>1</v>
      </c>
      <c r="D59" s="185"/>
      <c r="E59" s="185"/>
      <c r="F59" s="185"/>
      <c r="G59" s="185"/>
      <c r="H59" s="185"/>
      <c r="T59" s="23"/>
      <c r="U59" s="2"/>
      <c r="V59" s="2"/>
    </row>
    <row r="60" spans="1:22" x14ac:dyDescent="0.35">
      <c r="A60" s="182" t="s">
        <v>269</v>
      </c>
      <c r="B60" s="546">
        <f>+CORREL(O4:O22,Q4:Q22)</f>
        <v>0.28407132192558282</v>
      </c>
      <c r="C60" s="185">
        <v>-0.35</v>
      </c>
      <c r="D60" s="185">
        <v>1</v>
      </c>
      <c r="E60" s="185"/>
      <c r="F60" s="185"/>
      <c r="G60" s="185"/>
      <c r="H60" s="185"/>
      <c r="J60" s="5" t="s">
        <v>239</v>
      </c>
      <c r="T60" s="23"/>
      <c r="U60" s="2"/>
      <c r="V60" s="2"/>
    </row>
    <row r="61" spans="1:22" ht="26" x14ac:dyDescent="0.35">
      <c r="A61" s="182" t="s">
        <v>274</v>
      </c>
      <c r="B61" s="547">
        <f>+CORREL(O4:O22,J4:J22)</f>
        <v>0.25719523106096936</v>
      </c>
      <c r="C61" s="187">
        <v>0.1163</v>
      </c>
      <c r="D61" s="187">
        <v>0.22509999999999999</v>
      </c>
      <c r="E61" s="185">
        <v>1</v>
      </c>
      <c r="F61" s="185"/>
      <c r="G61" s="185"/>
      <c r="H61" s="185"/>
      <c r="T61" s="23"/>
      <c r="U61" s="2"/>
      <c r="V61" s="2"/>
    </row>
    <row r="62" spans="1:22" ht="39" x14ac:dyDescent="0.35">
      <c r="A62" s="182" t="s">
        <v>275</v>
      </c>
      <c r="B62" s="547">
        <f>+CORREL(L4:L22,J4:J22)</f>
        <v>0.74895660681326437</v>
      </c>
      <c r="C62" s="187">
        <v>0.1065</v>
      </c>
      <c r="D62" s="187">
        <v>-9.2499999999999999E-2</v>
      </c>
      <c r="E62" s="185" t="s">
        <v>276</v>
      </c>
      <c r="F62" s="185">
        <v>1</v>
      </c>
      <c r="G62" s="185"/>
      <c r="H62" s="185"/>
      <c r="T62" s="23"/>
      <c r="U62" s="2"/>
      <c r="V62" s="2"/>
    </row>
    <row r="63" spans="1:22" ht="26" x14ac:dyDescent="0.35">
      <c r="A63" s="182" t="s">
        <v>277</v>
      </c>
      <c r="B63" s="547">
        <f>+CORREL(M4:M22,J4:J22)</f>
        <v>-0.29397287851810844</v>
      </c>
      <c r="C63" s="187">
        <v>-0.19939999999999999</v>
      </c>
      <c r="D63" s="187">
        <v>0.1426</v>
      </c>
      <c r="E63" s="185">
        <v>-0.2959</v>
      </c>
      <c r="F63" s="186" t="s">
        <v>278</v>
      </c>
      <c r="G63" s="186">
        <v>1</v>
      </c>
      <c r="H63" s="185"/>
      <c r="T63" s="23"/>
      <c r="U63" s="2"/>
      <c r="V63" s="2"/>
    </row>
    <row r="64" spans="1:22" ht="26" x14ac:dyDescent="0.35">
      <c r="A64" s="182" t="s">
        <v>279</v>
      </c>
      <c r="B64" s="547">
        <f>+CORREL(Q4:Q22,N4:N22)</f>
        <v>0.25607992554824038</v>
      </c>
      <c r="C64" s="187">
        <v>0.21729999999999999</v>
      </c>
      <c r="D64" s="187">
        <v>0.25419999999999998</v>
      </c>
      <c r="E64" s="185" t="s">
        <v>280</v>
      </c>
      <c r="F64" s="186" t="s">
        <v>281</v>
      </c>
      <c r="G64" s="186" t="s">
        <v>282</v>
      </c>
      <c r="H64" s="185">
        <v>1</v>
      </c>
      <c r="T64" s="23"/>
      <c r="U64" s="2"/>
      <c r="V64" s="2"/>
    </row>
    <row r="65" spans="20:22" x14ac:dyDescent="0.35">
      <c r="T65" s="23"/>
      <c r="U65" s="2"/>
      <c r="V65" s="2"/>
    </row>
    <row r="66" spans="20:22" x14ac:dyDescent="0.35">
      <c r="T66" s="23"/>
      <c r="U66" s="2"/>
      <c r="V66" s="2"/>
    </row>
    <row r="67" spans="20:22" x14ac:dyDescent="0.35">
      <c r="T67" s="23"/>
      <c r="U67" s="2"/>
      <c r="V67" s="2"/>
    </row>
    <row r="68" spans="20:22" x14ac:dyDescent="0.35">
      <c r="T68" s="23"/>
      <c r="U68" s="2"/>
      <c r="V68" s="2"/>
    </row>
    <row r="69" spans="20:22" x14ac:dyDescent="0.35">
      <c r="T69" s="23"/>
      <c r="U69" s="2"/>
      <c r="V69" s="2"/>
    </row>
    <row r="70" spans="20:22" x14ac:dyDescent="0.35">
      <c r="T70" s="23"/>
      <c r="U70" s="2"/>
      <c r="V70" s="2"/>
    </row>
    <row r="71" spans="20:22" x14ac:dyDescent="0.35">
      <c r="T71" s="23"/>
      <c r="U71" s="2"/>
      <c r="V71" s="2"/>
    </row>
    <row r="72" spans="20:22" x14ac:dyDescent="0.35">
      <c r="T72" s="23"/>
      <c r="U72" s="2"/>
      <c r="V72" s="2"/>
    </row>
    <row r="73" spans="20:22" x14ac:dyDescent="0.35">
      <c r="T73" s="23"/>
      <c r="U73" s="2"/>
      <c r="V73" s="2"/>
    </row>
    <row r="74" spans="20:22" x14ac:dyDescent="0.35">
      <c r="T74" s="23"/>
      <c r="U74" s="2"/>
      <c r="V74" s="2"/>
    </row>
    <row r="75" spans="20:22" x14ac:dyDescent="0.35">
      <c r="T75" s="23"/>
      <c r="U75" s="2"/>
      <c r="V75" s="2"/>
    </row>
    <row r="76" spans="20:22" x14ac:dyDescent="0.35">
      <c r="T76" s="23"/>
      <c r="U76" s="2"/>
      <c r="V76" s="2"/>
    </row>
    <row r="77" spans="20:22" x14ac:dyDescent="0.35">
      <c r="T77" s="189"/>
      <c r="U77" s="2"/>
      <c r="V77" s="2"/>
    </row>
  </sheetData>
  <autoFilter ref="A3:X23" xr:uid="{BB2DC39E-5344-4974-8798-30C5E1CAEDFF}"/>
  <pageMargins left="0.7" right="0.7" top="0.75" bottom="0.75" header="0.3" footer="0.3"/>
  <pageSetup orientation="portrait" r:id="rId1"/>
  <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37B832-18EF-4411-B4FD-6F6EFD6AC6EA}">
  <dimension ref="A1:AH387"/>
  <sheetViews>
    <sheetView topLeftCell="A2" zoomScale="55" zoomScaleNormal="55" workbookViewId="0">
      <selection activeCell="P49" sqref="P49"/>
    </sheetView>
  </sheetViews>
  <sheetFormatPr defaultColWidth="9.90625" defaultRowHeight="14.5" x14ac:dyDescent="0.35"/>
  <cols>
    <col min="1" max="1" width="12.6328125" customWidth="1"/>
    <col min="2" max="2" width="21.36328125" customWidth="1"/>
    <col min="3" max="4" width="15.26953125" customWidth="1"/>
    <col min="5" max="5" width="23.7265625" customWidth="1"/>
    <col min="6" max="6" width="26.54296875" customWidth="1"/>
    <col min="7" max="7" width="20.1796875" customWidth="1"/>
    <col min="8" max="8" width="12.08984375" customWidth="1"/>
    <col min="9" max="9" width="26.453125" customWidth="1"/>
    <col min="10" max="10" width="17.54296875" customWidth="1"/>
    <col min="11" max="11" width="21.36328125" customWidth="1"/>
    <col min="12" max="12" width="13.453125" customWidth="1"/>
    <col min="13" max="13" width="11.453125" customWidth="1"/>
    <col min="14" max="14" width="27.6328125" customWidth="1"/>
    <col min="15" max="15" width="19.08984375" customWidth="1"/>
    <col min="16" max="17" width="16.7265625" customWidth="1"/>
    <col min="18" max="18" width="39" customWidth="1"/>
    <col min="19" max="19" width="16.7265625" customWidth="1"/>
    <col min="20" max="20" width="15.08984375" customWidth="1"/>
    <col min="21" max="21" width="16.7265625" customWidth="1"/>
    <col min="22" max="22" width="24.90625" customWidth="1"/>
    <col min="23" max="23" width="11" customWidth="1"/>
    <col min="24" max="24" width="13.1796875" customWidth="1"/>
    <col min="25" max="25" width="25.453125" customWidth="1"/>
    <col min="26" max="27" width="20" customWidth="1"/>
    <col min="28" max="28" width="16.453125" customWidth="1"/>
    <col min="29" max="29" width="20.453125" customWidth="1"/>
    <col min="30" max="30" width="9.08984375" customWidth="1"/>
    <col min="31" max="31" width="14.7265625" customWidth="1"/>
    <col min="32" max="32" width="20.26953125" customWidth="1"/>
    <col min="34" max="34" width="17.54296875" customWidth="1"/>
  </cols>
  <sheetData>
    <row r="1" spans="1:21" ht="18.5" x14ac:dyDescent="0.45">
      <c r="A1" s="21" t="s">
        <v>622</v>
      </c>
    </row>
    <row r="2" spans="1:21" x14ac:dyDescent="0.35">
      <c r="A2" t="s">
        <v>623</v>
      </c>
    </row>
    <row r="3" spans="1:21" hidden="1" x14ac:dyDescent="0.35">
      <c r="B3" t="s">
        <v>11</v>
      </c>
      <c r="C3" t="s">
        <v>13</v>
      </c>
      <c r="D3" t="s">
        <v>12</v>
      </c>
      <c r="E3" t="s">
        <v>28</v>
      </c>
      <c r="F3" t="s">
        <v>15</v>
      </c>
      <c r="G3" t="s">
        <v>18</v>
      </c>
      <c r="H3" t="s">
        <v>17</v>
      </c>
      <c r="I3" t="s">
        <v>21</v>
      </c>
      <c r="J3" t="s">
        <v>27</v>
      </c>
      <c r="K3" t="s">
        <v>24</v>
      </c>
      <c r="L3" t="s">
        <v>29</v>
      </c>
      <c r="M3" t="s">
        <v>23</v>
      </c>
      <c r="N3" t="s">
        <v>19</v>
      </c>
      <c r="O3" t="s">
        <v>16</v>
      </c>
      <c r="P3" t="s">
        <v>20</v>
      </c>
      <c r="Q3" t="s">
        <v>26</v>
      </c>
      <c r="R3" t="s">
        <v>25</v>
      </c>
      <c r="S3" t="s">
        <v>31</v>
      </c>
      <c r="T3" t="s">
        <v>14</v>
      </c>
      <c r="U3" t="s">
        <v>22</v>
      </c>
    </row>
    <row r="4" spans="1:21" hidden="1" x14ac:dyDescent="0.35">
      <c r="A4" t="s">
        <v>166</v>
      </c>
      <c r="B4" s="44">
        <v>51981.66618883748</v>
      </c>
      <c r="C4" s="44">
        <v>13399.558925638197</v>
      </c>
      <c r="D4" s="44">
        <v>31854.20927605778</v>
      </c>
      <c r="E4" s="44">
        <v>48876.098568060908</v>
      </c>
      <c r="F4" s="44">
        <v>27978.629828159494</v>
      </c>
      <c r="G4" s="44">
        <v>32573.579999449135</v>
      </c>
      <c r="H4" s="44">
        <v>23817.328246283825</v>
      </c>
      <c r="I4" s="44">
        <v>17578.982060432587</v>
      </c>
      <c r="J4" s="44">
        <v>11887.30867229441</v>
      </c>
      <c r="K4" s="44">
        <v>39897.407089304121</v>
      </c>
      <c r="L4" s="44">
        <v>21078.640412240045</v>
      </c>
      <c r="M4" s="44">
        <v>11153.537145024622</v>
      </c>
      <c r="N4" s="44">
        <v>41758.326275234329</v>
      </c>
      <c r="O4" s="44">
        <v>22374.300986377995</v>
      </c>
      <c r="P4" s="44">
        <v>18500.406599785332</v>
      </c>
      <c r="Q4" s="44">
        <v>32257.388273899738</v>
      </c>
      <c r="R4" s="44">
        <v>19369.410535282801</v>
      </c>
      <c r="S4" s="44">
        <v>69279.42526894639</v>
      </c>
      <c r="T4" s="44">
        <v>41717.517890633171</v>
      </c>
      <c r="U4" s="44">
        <v>43705.439247906645</v>
      </c>
    </row>
    <row r="5" spans="1:21" hidden="1" x14ac:dyDescent="0.35">
      <c r="A5" t="s">
        <v>89</v>
      </c>
      <c r="B5" s="44">
        <v>3.6579999999999999</v>
      </c>
      <c r="C5" s="44">
        <v>3.2309999999999999</v>
      </c>
      <c r="D5" s="44">
        <v>1.6459999999999999</v>
      </c>
      <c r="E5" s="44">
        <v>346.63400000000001</v>
      </c>
      <c r="F5" s="44">
        <v>1175.5250000000001</v>
      </c>
      <c r="G5" s="44">
        <v>362.64100000000002</v>
      </c>
      <c r="H5" s="44">
        <v>0.55000000000000004</v>
      </c>
      <c r="I5" s="44">
        <v>3.742</v>
      </c>
      <c r="J5" s="44">
        <v>10.058</v>
      </c>
      <c r="K5" s="44">
        <v>7.7889999999999997</v>
      </c>
      <c r="L5" s="44">
        <v>56.567</v>
      </c>
      <c r="M5" s="44">
        <v>9.3789999999999996</v>
      </c>
      <c r="N5" s="44">
        <v>0.59199999999999997</v>
      </c>
      <c r="O5" s="44">
        <v>1.5229999999999999</v>
      </c>
      <c r="P5" s="44">
        <v>2273.096</v>
      </c>
      <c r="Q5" s="44">
        <v>20.154</v>
      </c>
      <c r="R5" s="44">
        <v>0.49299999999999999</v>
      </c>
      <c r="S5" s="44">
        <v>3.839</v>
      </c>
      <c r="T5" s="44">
        <v>17.292999999999999</v>
      </c>
      <c r="U5" s="44">
        <v>3.9550000000000001</v>
      </c>
    </row>
    <row r="6" spans="1:21" hidden="1" x14ac:dyDescent="0.35">
      <c r="A6" t="s">
        <v>167</v>
      </c>
      <c r="B6" s="44">
        <v>10593.231017632586</v>
      </c>
      <c r="C6" s="44">
        <v>4456.8245125348194</v>
      </c>
      <c r="D6" s="44">
        <v>4942.891859052248</v>
      </c>
      <c r="E6" s="44">
        <v>7269.9158189906357</v>
      </c>
      <c r="F6" s="44">
        <v>6017.7367559175682</v>
      </c>
      <c r="G6" s="44">
        <v>9332.9173480108402</v>
      </c>
      <c r="H6" s="44">
        <v>6938.181818181818</v>
      </c>
      <c r="I6" s="44">
        <v>7578.5676109032602</v>
      </c>
      <c r="J6" s="44">
        <v>8077.2618810896802</v>
      </c>
      <c r="K6" s="44">
        <v>2780.8385749333997</v>
      </c>
      <c r="L6" s="44">
        <v>4560.9631056976687</v>
      </c>
      <c r="M6" s="44">
        <v>4864.2643291087179</v>
      </c>
      <c r="N6" s="44">
        <v>9324.3243243243251</v>
      </c>
      <c r="O6" s="44">
        <v>5909.389363099147</v>
      </c>
      <c r="P6" s="44">
        <v>8754.0447037872582</v>
      </c>
      <c r="Q6" s="44">
        <v>4096.4572789520689</v>
      </c>
      <c r="R6" s="44">
        <v>4596.3488843813384</v>
      </c>
      <c r="S6" s="44">
        <v>6772.6074498567341</v>
      </c>
      <c r="T6" s="44">
        <v>5495.8653790551089</v>
      </c>
      <c r="U6" s="44">
        <v>8225.2844500632109</v>
      </c>
    </row>
    <row r="7" spans="1:21" hidden="1" x14ac:dyDescent="0.35">
      <c r="B7" s="44"/>
      <c r="C7" s="44"/>
      <c r="D7" s="44"/>
      <c r="E7" s="44"/>
      <c r="F7" s="44"/>
      <c r="G7" s="44"/>
      <c r="H7" s="44"/>
      <c r="I7" s="44"/>
      <c r="J7" s="44"/>
      <c r="K7" s="44"/>
      <c r="L7" s="44"/>
      <c r="M7" s="44"/>
      <c r="N7" s="44"/>
      <c r="O7" s="44"/>
      <c r="P7" s="44"/>
      <c r="Q7" s="44"/>
      <c r="R7" s="44"/>
      <c r="S7" s="44"/>
      <c r="T7" s="44"/>
      <c r="U7" s="44"/>
    </row>
    <row r="8" spans="1:21" hidden="1" x14ac:dyDescent="0.35">
      <c r="A8" t="s">
        <v>60</v>
      </c>
      <c r="B8" s="3">
        <v>0.20378783125476982</v>
      </c>
      <c r="C8" s="3">
        <v>0.33260979240199495</v>
      </c>
      <c r="D8" s="3">
        <v>0.15517232954099469</v>
      </c>
      <c r="E8" s="3">
        <v>0.14874173741316807</v>
      </c>
      <c r="F8" s="1">
        <f>+F6/F4</f>
        <v>0.21508332584110071</v>
      </c>
      <c r="G8" s="3">
        <v>0.28651801085937356</v>
      </c>
      <c r="H8" s="3">
        <v>0.2913081495303475</v>
      </c>
      <c r="I8" s="3">
        <v>0.43111527077335021</v>
      </c>
      <c r="J8" s="3">
        <v>0.6794861733434453</v>
      </c>
      <c r="K8" s="47">
        <f>+K6/K4</f>
        <v>6.9699731832420245E-2</v>
      </c>
      <c r="L8" s="3">
        <v>0.21637842937200005</v>
      </c>
      <c r="M8" s="3">
        <v>0.43611853942482925</v>
      </c>
      <c r="N8" s="3">
        <v>0.22329257793682972</v>
      </c>
      <c r="O8" s="3">
        <v>0.26411503835122818</v>
      </c>
      <c r="P8" s="3">
        <v>0.47318120586002876</v>
      </c>
      <c r="Q8" s="3">
        <v>0.12699283786302734</v>
      </c>
      <c r="R8" s="3">
        <v>0.23729936830079326</v>
      </c>
      <c r="S8" s="3">
        <v>9.7757846915806731E-2</v>
      </c>
      <c r="T8" s="3">
        <v>0.13173998974395107</v>
      </c>
      <c r="U8" s="3">
        <v>0.18819818749349776</v>
      </c>
    </row>
    <row r="9" spans="1:21" hidden="1" x14ac:dyDescent="0.35">
      <c r="A9" s="14" t="s">
        <v>39</v>
      </c>
      <c r="B9" s="3">
        <v>4.0799440462855635E-2</v>
      </c>
      <c r="C9" s="3">
        <v>4.2274704614293557E-2</v>
      </c>
      <c r="D9" s="3">
        <v>1.3434097571220365E-2</v>
      </c>
      <c r="E9" s="3">
        <v>2.8379923498432467E-2</v>
      </c>
      <c r="F9" s="3">
        <v>1.7206666067288059E-2</v>
      </c>
      <c r="G9" s="3">
        <v>2.8433183918747398E-2</v>
      </c>
      <c r="H9" s="3">
        <v>3.2085298120274899E-2</v>
      </c>
      <c r="I9" s="3">
        <v>2.0822867578352815E-2</v>
      </c>
      <c r="J9" s="3">
        <v>3.3974308667172264E-2</v>
      </c>
      <c r="K9" s="3">
        <v>1.7233974788701169E-3</v>
      </c>
      <c r="L9" s="3">
        <v>1.4483831116088251E-2</v>
      </c>
      <c r="M9" s="3">
        <v>2.7257408714051828E-2</v>
      </c>
      <c r="N9" s="3">
        <v>2.7452751876480087E-2</v>
      </c>
      <c r="O9" s="3">
        <v>3.4334954985659666E-2</v>
      </c>
      <c r="P9" s="3">
        <v>4.6086553063901421E-2</v>
      </c>
      <c r="Q9" s="3">
        <v>8.1908640793736717E-3</v>
      </c>
      <c r="R9" s="3">
        <v>2.1950191567823379E-2</v>
      </c>
      <c r="S9" s="3">
        <v>5.4646552354316964E-3</v>
      </c>
      <c r="T9" s="3">
        <v>2.5853972987250395E-2</v>
      </c>
      <c r="U9" s="3">
        <v>1.1291891249609869E-2</v>
      </c>
    </row>
    <row r="10" spans="1:21" hidden="1" x14ac:dyDescent="0.35">
      <c r="A10" t="s">
        <v>40</v>
      </c>
      <c r="B10" s="3">
        <v>2.4259126761697943E-2</v>
      </c>
      <c r="C10" s="3">
        <v>4.2274704614293557E-2</v>
      </c>
      <c r="D10" s="3">
        <v>1.3434097571220365E-2</v>
      </c>
      <c r="E10" s="3">
        <v>1.4874173741316808E-2</v>
      </c>
      <c r="F10" s="3">
        <v>8.6033330336440297E-3</v>
      </c>
      <c r="G10" s="3">
        <v>8.2788005521325578E-3</v>
      </c>
      <c r="H10" s="3">
        <v>2.2544590425251358E-2</v>
      </c>
      <c r="I10" s="3">
        <v>7.8894094551523099E-3</v>
      </c>
      <c r="J10" s="3">
        <v>6.7948617334344531E-3</v>
      </c>
      <c r="K10" s="3">
        <v>1.2698718265358757E-3</v>
      </c>
      <c r="L10" s="3">
        <v>5.4094607343000006E-3</v>
      </c>
      <c r="M10" s="3">
        <v>1.7444741576993172E-2</v>
      </c>
      <c r="N10" s="3">
        <v>2.1985142519465251E-2</v>
      </c>
      <c r="O10" s="3">
        <v>3.4334954985659666E-2</v>
      </c>
      <c r="P10" s="3">
        <v>4.6086553063901421E-2</v>
      </c>
      <c r="Q10" s="3">
        <v>3.9442583737923547E-3</v>
      </c>
      <c r="R10" s="3">
        <v>1.4831210518799579E-2</v>
      </c>
      <c r="S10" s="3">
        <v>3.8516532428624121E-3</v>
      </c>
      <c r="T10" s="3">
        <v>1.9760998461592662E-2</v>
      </c>
      <c r="U10" s="3">
        <v>7.527927499739912E-3</v>
      </c>
    </row>
    <row r="11" spans="1:21" hidden="1" x14ac:dyDescent="0.35">
      <c r="A11" t="s">
        <v>41</v>
      </c>
      <c r="B11" s="3">
        <v>1.6540313701157688E-2</v>
      </c>
      <c r="C11" s="3"/>
      <c r="D11" s="3"/>
      <c r="E11" s="3">
        <v>1.0411921618921766E-2</v>
      </c>
      <c r="F11" s="3">
        <v>8.6033330336440297E-3</v>
      </c>
      <c r="G11" s="3">
        <v>1.7053709002520248E-2</v>
      </c>
      <c r="H11" s="3">
        <v>0</v>
      </c>
      <c r="I11" s="3">
        <v>8.6223054154670048E-3</v>
      </c>
      <c r="J11" s="3">
        <v>1.6987154333586132E-2</v>
      </c>
      <c r="K11" s="3">
        <v>4.5352565233424134E-4</v>
      </c>
      <c r="L11" s="3">
        <v>0</v>
      </c>
      <c r="M11" s="3">
        <v>9.812667137058655E-3</v>
      </c>
      <c r="N11" s="3">
        <v>2.447041949992654E-3</v>
      </c>
      <c r="O11" s="3"/>
      <c r="P11" s="3"/>
      <c r="Q11" s="3">
        <v>4.177890402902007E-3</v>
      </c>
      <c r="R11" s="3">
        <v>7.1189810490237988E-3</v>
      </c>
      <c r="S11" s="3">
        <v>1.6130019925692839E-3</v>
      </c>
      <c r="T11" s="3">
        <v>5.9282995384777968E-3</v>
      </c>
      <c r="U11" s="3">
        <v>0</v>
      </c>
    </row>
    <row r="12" spans="1:21" hidden="1" x14ac:dyDescent="0.35">
      <c r="A12" t="s">
        <v>42</v>
      </c>
      <c r="B12" s="3"/>
      <c r="C12" s="3"/>
      <c r="D12" s="3"/>
      <c r="E12" s="3">
        <v>8.924504244790084E-4</v>
      </c>
      <c r="F12" s="3"/>
      <c r="G12" s="3">
        <v>0</v>
      </c>
      <c r="H12" s="3">
        <v>6.7905392847142643E-3</v>
      </c>
      <c r="I12" s="3">
        <v>4.3111527077335024E-3</v>
      </c>
      <c r="J12" s="3">
        <v>0</v>
      </c>
      <c r="K12" s="3">
        <v>0</v>
      </c>
      <c r="L12" s="3">
        <v>0</v>
      </c>
      <c r="M12" s="3">
        <v>0</v>
      </c>
      <c r="N12" s="3">
        <v>0</v>
      </c>
      <c r="O12" s="3"/>
      <c r="P12" s="3"/>
      <c r="Q12" s="3">
        <v>0</v>
      </c>
      <c r="R12" s="3">
        <v>0</v>
      </c>
      <c r="S12" s="3"/>
      <c r="T12" s="3">
        <v>0</v>
      </c>
      <c r="U12" s="3">
        <v>9.40990937467489E-4</v>
      </c>
    </row>
    <row r="13" spans="1:21" hidden="1" x14ac:dyDescent="0.35">
      <c r="A13" t="s">
        <v>43</v>
      </c>
      <c r="B13" s="3"/>
      <c r="C13" s="3"/>
      <c r="D13" s="3"/>
      <c r="E13" s="3">
        <v>2.2013777137148871E-3</v>
      </c>
      <c r="F13" s="3"/>
      <c r="G13" s="3">
        <v>3.1006743640945907E-3</v>
      </c>
      <c r="H13" s="3">
        <v>2.7501684103092773E-3</v>
      </c>
      <c r="I13" s="3">
        <v>0</v>
      </c>
      <c r="J13" s="3">
        <v>1.019229260015168E-2</v>
      </c>
      <c r="K13" s="3">
        <v>0</v>
      </c>
      <c r="L13" s="3">
        <v>9.0743703817882503E-3</v>
      </c>
      <c r="M13" s="3">
        <v>0</v>
      </c>
      <c r="N13" s="3">
        <v>3.0205674070221825E-3</v>
      </c>
      <c r="O13" s="3"/>
      <c r="P13" s="3"/>
      <c r="Q13" s="3">
        <v>6.8715302679309319E-5</v>
      </c>
      <c r="R13" s="3">
        <v>0</v>
      </c>
      <c r="S13" s="3"/>
      <c r="T13" s="3">
        <v>1.6467498717993883E-4</v>
      </c>
      <c r="U13" s="3">
        <v>2.8229728124024673E-3</v>
      </c>
    </row>
    <row r="14" spans="1:21" hidden="1" x14ac:dyDescent="0.35">
      <c r="A14" s="14" t="s">
        <v>44</v>
      </c>
      <c r="B14" s="3">
        <v>5.7339754164013317E-2</v>
      </c>
      <c r="C14" s="3">
        <v>3.8948606690273606E-2</v>
      </c>
      <c r="D14" s="3">
        <v>5.7430767116967055E-2</v>
      </c>
      <c r="E14" s="3">
        <v>6.856994094747047E-3</v>
      </c>
      <c r="F14" s="3">
        <v>5.656102200235083E-2</v>
      </c>
      <c r="G14" s="3">
        <v>8.2090157544191369E-2</v>
      </c>
      <c r="H14" s="3">
        <v>3.7592053031402513E-2</v>
      </c>
      <c r="I14" s="3">
        <v>5.4622304806983484E-2</v>
      </c>
      <c r="J14" s="3">
        <v>1.6987154333586132E-2</v>
      </c>
      <c r="K14" s="3">
        <v>2.6286155851123226E-2</v>
      </c>
      <c r="L14" s="3">
        <v>2.5803127702611003E-2</v>
      </c>
      <c r="M14" s="3">
        <v>7.9218244284564851E-2</v>
      </c>
      <c r="N14" s="3">
        <v>3.5861705657386105E-2</v>
      </c>
      <c r="O14" s="3">
        <v>4.744386472249229E-2</v>
      </c>
      <c r="P14" s="3">
        <v>7.6810921773169061E-2</v>
      </c>
      <c r="Q14" s="3">
        <v>2.2524876218277593E-2</v>
      </c>
      <c r="R14" s="3">
        <v>3.618815366587097E-2</v>
      </c>
      <c r="S14" s="3">
        <v>7.7033064857248241E-3</v>
      </c>
      <c r="T14" s="3">
        <v>2.5722232997506447E-2</v>
      </c>
      <c r="U14" s="3">
        <v>2.9645919484913238E-2</v>
      </c>
    </row>
    <row r="15" spans="1:21" hidden="1" x14ac:dyDescent="0.35">
      <c r="A15" t="s">
        <v>40</v>
      </c>
      <c r="B15" s="3">
        <v>2.2428665378769821E-2</v>
      </c>
      <c r="C15" s="3">
        <v>0</v>
      </c>
      <c r="D15" s="3">
        <v>3.3585243928050908E-2</v>
      </c>
      <c r="E15" s="3"/>
      <c r="F15" s="3">
        <v>2.7931368890049789E-2</v>
      </c>
      <c r="G15" s="3">
        <v>1.9906329417487271E-2</v>
      </c>
      <c r="H15" s="3">
        <v>1.052533589130711E-2</v>
      </c>
      <c r="I15" s="3">
        <v>1.5821930437381955E-2</v>
      </c>
      <c r="J15" s="3">
        <v>0</v>
      </c>
      <c r="K15" s="3">
        <v>5.0069232017700251E-3</v>
      </c>
      <c r="L15" s="3">
        <v>5.4094607343000006E-3</v>
      </c>
      <c r="M15" s="3">
        <v>3.0528297759738046E-2</v>
      </c>
      <c r="N15" s="3">
        <v>1.1462862134496841E-2</v>
      </c>
      <c r="O15" s="3"/>
      <c r="P15" s="3">
        <v>7.1690193654957782E-2</v>
      </c>
      <c r="Q15" s="3">
        <v>9.7575729804619225E-3</v>
      </c>
      <c r="R15" s="3">
        <v>1.6017707360303546E-2</v>
      </c>
      <c r="S15" s="3">
        <v>7.7033064857248241E-3</v>
      </c>
      <c r="T15" s="3">
        <v>9.8804992307963309E-3</v>
      </c>
      <c r="U15" s="3">
        <v>1.6937836874414802E-2</v>
      </c>
    </row>
    <row r="16" spans="1:21" hidden="1" x14ac:dyDescent="0.35">
      <c r="A16" t="s">
        <v>41</v>
      </c>
      <c r="B16" s="3">
        <v>2.3156439181620758E-2</v>
      </c>
      <c r="C16" s="3">
        <v>3.3260979240199495E-2</v>
      </c>
      <c r="D16" s="3"/>
      <c r="E16" s="3"/>
      <c r="F16" s="3">
        <v>0</v>
      </c>
      <c r="G16" s="3">
        <v>2.8681237867874965E-2</v>
      </c>
      <c r="H16" s="3">
        <v>1.9386989657859222E-2</v>
      </c>
      <c r="I16" s="3">
        <v>1.724461083093401E-2</v>
      </c>
      <c r="J16" s="3">
        <v>0</v>
      </c>
      <c r="K16" s="3">
        <v>1.5488617120349608E-2</v>
      </c>
      <c r="L16" s="3">
        <v>0</v>
      </c>
      <c r="M16" s="3">
        <v>2.6167112365489749E-2</v>
      </c>
      <c r="N16" s="3">
        <v>1.9836333807127952E-2</v>
      </c>
      <c r="O16" s="3">
        <v>2.3770353451610535E-2</v>
      </c>
      <c r="P16" s="3">
        <v>0</v>
      </c>
      <c r="Q16" s="3">
        <v>9.7438299199260631E-3</v>
      </c>
      <c r="R16" s="3">
        <v>1.7797452622559495E-2</v>
      </c>
      <c r="S16" s="3"/>
      <c r="T16" s="3">
        <v>6.5869994871975536E-3</v>
      </c>
      <c r="U16" s="3">
        <v>0</v>
      </c>
    </row>
    <row r="17" spans="1:24" hidden="1" x14ac:dyDescent="0.35">
      <c r="A17" t="s">
        <v>42</v>
      </c>
      <c r="B17" s="3">
        <v>1.9627838925373791E-3</v>
      </c>
      <c r="C17" s="3">
        <v>5.6876274500741132E-3</v>
      </c>
      <c r="D17" s="3">
        <v>1.6792621964025456E-3</v>
      </c>
      <c r="E17" s="3">
        <v>4.9828482033411302E-3</v>
      </c>
      <c r="F17" s="3">
        <v>1.9319196815617772E-2</v>
      </c>
      <c r="G17" s="3">
        <v>1.0247532528119704E-2</v>
      </c>
      <c r="H17" s="3">
        <v>4.9974644647740431E-3</v>
      </c>
      <c r="I17" s="3">
        <v>1.2933458123200507E-2</v>
      </c>
      <c r="J17" s="3">
        <v>0</v>
      </c>
      <c r="K17" s="3">
        <v>1.4367692665948767E-3</v>
      </c>
      <c r="L17" s="3">
        <v>0</v>
      </c>
      <c r="M17" s="3">
        <v>6.5417780913724372E-3</v>
      </c>
      <c r="N17" s="3">
        <v>9.3782882733468463E-4</v>
      </c>
      <c r="O17" s="3">
        <v>1.6639247416127378E-3</v>
      </c>
      <c r="P17" s="3">
        <v>0</v>
      </c>
      <c r="Q17" s="3">
        <v>1.6491672643034235E-3</v>
      </c>
      <c r="R17" s="3">
        <v>0</v>
      </c>
      <c r="S17" s="3"/>
      <c r="T17" s="3">
        <v>9.0900592923326244E-3</v>
      </c>
      <c r="U17" s="3">
        <v>5.180155110758527E-3</v>
      </c>
    </row>
    <row r="18" spans="1:24" hidden="1" x14ac:dyDescent="0.35">
      <c r="A18" t="s">
        <v>43</v>
      </c>
      <c r="B18" s="3">
        <v>9.7918657110853506E-3</v>
      </c>
      <c r="C18" s="3"/>
      <c r="D18" s="3">
        <v>2.2166260992513599E-2</v>
      </c>
      <c r="E18" s="3">
        <v>1.8741458914059176E-3</v>
      </c>
      <c r="F18" s="3">
        <v>9.3104562966832647E-3</v>
      </c>
      <c r="G18" s="3">
        <v>2.325505773070943E-2</v>
      </c>
      <c r="H18" s="3">
        <v>2.6822630174621349E-3</v>
      </c>
      <c r="I18" s="3">
        <v>8.6223054154670048E-3</v>
      </c>
      <c r="J18" s="3">
        <v>1.6987154333586132E-2</v>
      </c>
      <c r="K18" s="3">
        <v>4.3538462624087169E-3</v>
      </c>
      <c r="L18" s="3">
        <v>2.0393666968311002E-2</v>
      </c>
      <c r="M18" s="3">
        <v>1.5981056067964631E-2</v>
      </c>
      <c r="N18" s="3">
        <v>3.6246808884266191E-3</v>
      </c>
      <c r="O18" s="3">
        <v>2.2009586529269015E-2</v>
      </c>
      <c r="P18" s="3">
        <v>5.1207281182112695E-3</v>
      </c>
      <c r="Q18" s="3">
        <v>1.3743060535861865E-3</v>
      </c>
      <c r="R18" s="3">
        <v>2.3729936830079327E-3</v>
      </c>
      <c r="S18" s="3"/>
      <c r="T18" s="3">
        <v>1.6467498717993883E-4</v>
      </c>
      <c r="U18" s="3">
        <v>7.527927499739912E-3</v>
      </c>
    </row>
    <row r="19" spans="1:24" hidden="1" x14ac:dyDescent="0.35">
      <c r="B19" s="3"/>
      <c r="C19" s="3"/>
      <c r="D19" s="3"/>
      <c r="E19" s="3"/>
      <c r="F19" s="3"/>
      <c r="G19" s="3"/>
      <c r="H19" s="3"/>
      <c r="I19" s="3"/>
      <c r="J19" s="3"/>
      <c r="K19" s="3"/>
      <c r="L19" s="3"/>
      <c r="M19" s="3"/>
      <c r="N19" s="3"/>
      <c r="O19" s="3"/>
      <c r="P19" s="3"/>
      <c r="Q19" s="3"/>
      <c r="R19" s="3"/>
      <c r="S19" s="3"/>
      <c r="T19" s="3"/>
      <c r="U19" s="3"/>
    </row>
    <row r="20" spans="1:24" hidden="1" x14ac:dyDescent="0.35">
      <c r="A20" t="s">
        <v>5</v>
      </c>
      <c r="B20" s="3">
        <v>1.6749684760666014E-2</v>
      </c>
      <c r="C20" s="3">
        <v>5.4675582312656706E-2</v>
      </c>
      <c r="D20" s="3">
        <v>1.275389009925984E-2</v>
      </c>
      <c r="E20" s="3">
        <v>0</v>
      </c>
      <c r="F20" s="3">
        <v>1.7678081575980883E-2</v>
      </c>
      <c r="G20" s="3">
        <v>2.3549425550085497E-2</v>
      </c>
      <c r="H20" s="3">
        <v>4.8218814705365737E-2</v>
      </c>
      <c r="I20" s="3">
        <v>7.0868263688769903E-2</v>
      </c>
      <c r="J20" s="3">
        <v>0.11169635726193622</v>
      </c>
      <c r="K20" s="3">
        <v>2.8643725410583661E-3</v>
      </c>
      <c r="L20" s="3">
        <v>0</v>
      </c>
      <c r="M20" s="3">
        <v>3.584535940478048E-2</v>
      </c>
      <c r="N20" s="3">
        <v>1.8352814624944907E-2</v>
      </c>
      <c r="O20" s="3">
        <v>4.3416170687873124E-2</v>
      </c>
      <c r="P20" s="3">
        <v>3.8891605961098245E-2</v>
      </c>
      <c r="Q20" s="3">
        <v>1.0437767495591287E-2</v>
      </c>
      <c r="R20" s="3">
        <v>9.7520288342791746E-3</v>
      </c>
      <c r="S20" s="3"/>
      <c r="T20" s="3">
        <v>1.0827944362516526E-2</v>
      </c>
      <c r="U20" s="3">
        <v>1.5468344177547761E-2</v>
      </c>
    </row>
    <row r="21" spans="1:24" hidden="1" x14ac:dyDescent="0.35">
      <c r="A21" t="s">
        <v>4</v>
      </c>
      <c r="B21" s="3">
        <v>7.8165195549774712E-3</v>
      </c>
      <c r="C21" s="3">
        <v>1.8225194104218904E-2</v>
      </c>
      <c r="D21" s="3">
        <v>1.7005186799013122E-2</v>
      </c>
      <c r="E21" s="3">
        <v>6.1126741402671809E-3</v>
      </c>
      <c r="F21" s="3">
        <v>8.8390407879904414E-3</v>
      </c>
      <c r="G21" s="3">
        <v>1.0989731923373233E-2</v>
      </c>
      <c r="H21" s="3">
        <v>1.1971567788918391E-2</v>
      </c>
      <c r="I21" s="3">
        <v>1.7717065922192476E-2</v>
      </c>
      <c r="J21" s="3">
        <v>3.7232119087312068E-2</v>
      </c>
      <c r="K21" s="3">
        <v>2.6734143716544752E-3</v>
      </c>
      <c r="L21" s="3">
        <v>8.2994466060493152E-3</v>
      </c>
      <c r="M21" s="3">
        <v>3.584535940478048E-2</v>
      </c>
      <c r="N21" s="3">
        <v>1.8352814624944907E-2</v>
      </c>
      <c r="O21" s="3">
        <v>2.1708085343936562E-2</v>
      </c>
      <c r="P21" s="3">
        <v>1.5556642384439302E-2</v>
      </c>
      <c r="Q21" s="3">
        <v>6.2626604973547734E-3</v>
      </c>
      <c r="R21" s="3">
        <v>1.560324613484668E-2</v>
      </c>
      <c r="S21" s="3">
        <v>3.749616046085738E-3</v>
      </c>
      <c r="T21" s="3">
        <v>7.5795610537615684E-3</v>
      </c>
      <c r="U21" s="3">
        <v>9.7966179791135824E-3</v>
      </c>
    </row>
    <row r="22" spans="1:24" hidden="1" x14ac:dyDescent="0.35">
      <c r="A22" t="s">
        <v>45</v>
      </c>
      <c r="B22" s="3">
        <v>8.3748423803330044E-2</v>
      </c>
      <c r="C22" s="3">
        <v>0.13668895578164175</v>
      </c>
      <c r="D22" s="3">
        <v>2.4487468990578892E-2</v>
      </c>
      <c r="E22" s="3">
        <v>6.1126741402671811E-2</v>
      </c>
      <c r="F22" s="3">
        <v>6.4819632445263217E-2</v>
      </c>
      <c r="G22" s="3">
        <v>8.320797027696876E-2</v>
      </c>
      <c r="H22" s="3">
        <v>0.1197156778891839</v>
      </c>
      <c r="I22" s="3">
        <v>0.17717065922192476</v>
      </c>
      <c r="J22" s="3">
        <v>0.27924089315484057</v>
      </c>
      <c r="K22" s="3">
        <v>3.6282052186739307E-2</v>
      </c>
      <c r="L22" s="3">
        <v>4.1497233030246584E-2</v>
      </c>
      <c r="M22" s="3">
        <v>0.15532989075404877</v>
      </c>
      <c r="N22" s="3">
        <v>7.2799498012281472E-2</v>
      </c>
      <c r="O22" s="3">
        <v>0.1628106400795242</v>
      </c>
      <c r="P22" s="3">
        <v>9.7229014902745631E-2</v>
      </c>
      <c r="Q22" s="3">
        <v>4.0011442066433277E-2</v>
      </c>
      <c r="R22" s="3">
        <v>9.752028834279175E-2</v>
      </c>
      <c r="S22" s="3">
        <v>2.222986655893687E-2</v>
      </c>
      <c r="T22" s="3">
        <v>6.4606734696348603E-2</v>
      </c>
      <c r="U22" s="3">
        <v>7.7341720887738802E-2</v>
      </c>
    </row>
    <row r="23" spans="1:24" hidden="1" x14ac:dyDescent="0.35">
      <c r="A23" t="s">
        <v>46</v>
      </c>
      <c r="B23" s="3">
        <v>3.3499369521332027E-2</v>
      </c>
      <c r="C23" s="3">
        <v>8.2013373468985046E-2</v>
      </c>
      <c r="D23" s="3">
        <v>1.7855446138963778E-2</v>
      </c>
      <c r="E23" s="3">
        <v>1.2225348280534362E-2</v>
      </c>
      <c r="F23" s="3">
        <v>4.4195203939952207E-3</v>
      </c>
      <c r="G23" s="3">
        <v>2.3549425550085497E-2</v>
      </c>
      <c r="H23" s="3">
        <v>0</v>
      </c>
      <c r="I23" s="3">
        <v>0</v>
      </c>
      <c r="J23" s="3">
        <v>5.5848178630968109E-2</v>
      </c>
      <c r="K23" s="3">
        <v>0</v>
      </c>
      <c r="L23" s="3">
        <v>1.659889321209863E-2</v>
      </c>
      <c r="M23" s="3">
        <v>0</v>
      </c>
      <c r="N23" s="3">
        <v>0</v>
      </c>
      <c r="O23" s="3">
        <v>0</v>
      </c>
      <c r="P23" s="3">
        <v>5.8337408941647378E-2</v>
      </c>
      <c r="Q23" s="3">
        <v>9.7419163292185376E-3</v>
      </c>
      <c r="R23" s="3">
        <v>0</v>
      </c>
      <c r="S23" s="3"/>
      <c r="T23" s="3">
        <v>0</v>
      </c>
      <c r="U23" s="3">
        <v>0</v>
      </c>
    </row>
    <row r="24" spans="1:24" hidden="1" x14ac:dyDescent="0.35">
      <c r="B24" s="3"/>
      <c r="C24" s="3"/>
      <c r="D24" s="3"/>
      <c r="E24" s="3"/>
      <c r="F24" s="3"/>
      <c r="G24" s="3"/>
      <c r="H24" s="3"/>
      <c r="I24" s="3"/>
      <c r="J24" s="3"/>
      <c r="K24" s="3"/>
      <c r="L24" s="3"/>
      <c r="M24" s="3"/>
      <c r="N24" s="3"/>
      <c r="O24" s="3"/>
      <c r="P24" s="3"/>
      <c r="Q24" s="3"/>
      <c r="R24" s="3"/>
      <c r="S24" s="3"/>
      <c r="T24" s="3"/>
      <c r="U24" s="3"/>
    </row>
    <row r="25" spans="1:24" hidden="1" x14ac:dyDescent="0.35">
      <c r="A25" t="s">
        <v>47</v>
      </c>
      <c r="B25" s="3">
        <v>1.674968476066601E-2</v>
      </c>
      <c r="C25" s="3">
        <v>2.733779115632835E-2</v>
      </c>
      <c r="D25" s="3">
        <v>4.8974937981157785E-3</v>
      </c>
      <c r="E25" s="3">
        <v>1.2225348280534362E-2</v>
      </c>
      <c r="F25" s="3">
        <v>1.2963926489052643E-2</v>
      </c>
      <c r="G25" s="3">
        <v>1.6641594055393751E-2</v>
      </c>
      <c r="H25" s="3">
        <v>2.3943135577836779E-2</v>
      </c>
      <c r="I25" s="3">
        <v>3.5434131844384952E-2</v>
      </c>
      <c r="J25" s="3">
        <v>5.5848178630968116E-2</v>
      </c>
      <c r="K25" s="3">
        <v>7.2564104373478615E-3</v>
      </c>
      <c r="L25" s="3">
        <v>8.2994466060493169E-3</v>
      </c>
      <c r="M25" s="3">
        <v>3.1065978150809755E-2</v>
      </c>
      <c r="N25" s="3">
        <v>1.4559899602456294E-2</v>
      </c>
      <c r="O25" s="3">
        <v>3.2562128015904843E-2</v>
      </c>
      <c r="P25" s="3">
        <v>1.9445802980549126E-2</v>
      </c>
      <c r="Q25" s="3">
        <v>8.0022884132866547E-3</v>
      </c>
      <c r="R25" s="3">
        <v>1.9504057668558349E-2</v>
      </c>
      <c r="S25" s="3">
        <v>7.4992320921714762E-4</v>
      </c>
      <c r="T25" s="3">
        <v>1.2921346939269721E-2</v>
      </c>
      <c r="U25" s="3">
        <v>1.546834417754776E-2</v>
      </c>
    </row>
    <row r="26" spans="1:24" hidden="1" x14ac:dyDescent="0.35">
      <c r="A26" t="s">
        <v>48</v>
      </c>
      <c r="B26" s="3">
        <v>6.6998739042664051E-3</v>
      </c>
      <c r="C26" s="3">
        <v>1.6402674693797008E-2</v>
      </c>
      <c r="D26" s="3">
        <v>3.5710892277927555E-3</v>
      </c>
      <c r="E26" s="3">
        <v>2.4450696561068722E-3</v>
      </c>
      <c r="F26" s="3">
        <v>8.8390407879904414E-4</v>
      </c>
      <c r="G26" s="3">
        <v>4.7098851100170992E-3</v>
      </c>
      <c r="H26" s="3">
        <v>0</v>
      </c>
      <c r="I26" s="3">
        <v>0</v>
      </c>
      <c r="J26" s="3">
        <v>1.1169635726193622E-2</v>
      </c>
      <c r="K26" s="3">
        <v>0</v>
      </c>
      <c r="L26" s="3">
        <v>3.3197786424197261E-3</v>
      </c>
      <c r="M26" s="3">
        <v>0</v>
      </c>
      <c r="N26" s="3">
        <v>0</v>
      </c>
      <c r="O26" s="3">
        <v>0</v>
      </c>
      <c r="P26" s="3">
        <v>1.1667481788329475E-2</v>
      </c>
      <c r="Q26" s="3">
        <v>1.9483832658437074E-3</v>
      </c>
      <c r="R26" s="3">
        <v>0</v>
      </c>
      <c r="S26" s="3">
        <v>4.4459733117873743E-3</v>
      </c>
      <c r="T26" s="3">
        <v>0</v>
      </c>
      <c r="U26" s="3">
        <v>0</v>
      </c>
    </row>
    <row r="28" spans="1:24" s="25" customFormat="1" ht="12.75" customHeight="1" x14ac:dyDescent="0.35">
      <c r="A28" s="1000"/>
      <c r="B28" s="1000"/>
      <c r="C28" s="1000"/>
      <c r="D28" s="1000"/>
      <c r="E28" s="787"/>
      <c r="F28" s="1000" t="s">
        <v>68</v>
      </c>
      <c r="G28" s="1000"/>
      <c r="H28" s="1000"/>
      <c r="I28" s="1000"/>
      <c r="J28" s="1000"/>
      <c r="K28" s="1000"/>
      <c r="L28" s="1000"/>
      <c r="M28" s="1000"/>
      <c r="N28" s="1000"/>
      <c r="O28" s="1000"/>
      <c r="P28" s="1000" t="s">
        <v>168</v>
      </c>
      <c r="Q28" s="1000"/>
      <c r="R28" s="1000" t="s">
        <v>70</v>
      </c>
      <c r="S28" s="1000"/>
      <c r="T28" s="1000"/>
      <c r="U28" s="1000"/>
    </row>
    <row r="29" spans="1:24" s="25" customFormat="1" ht="25.5" customHeight="1" x14ac:dyDescent="0.35">
      <c r="A29" s="1000"/>
      <c r="B29" s="1000"/>
      <c r="C29" s="1000"/>
      <c r="D29" s="1000"/>
      <c r="E29" s="830"/>
      <c r="F29" s="1000" t="s">
        <v>72</v>
      </c>
      <c r="G29" s="1000"/>
      <c r="H29" s="1000"/>
      <c r="I29" s="1000"/>
      <c r="J29" s="1000"/>
      <c r="K29" s="1000" t="s">
        <v>71</v>
      </c>
      <c r="L29" s="1000"/>
      <c r="M29" s="1000"/>
      <c r="N29" s="1000"/>
      <c r="O29" s="1000"/>
      <c r="P29" s="1000"/>
      <c r="Q29" s="1000"/>
      <c r="R29" s="1000" t="s">
        <v>74</v>
      </c>
      <c r="S29" s="1000"/>
      <c r="T29" s="1000" t="s">
        <v>73</v>
      </c>
      <c r="U29" s="1000"/>
    </row>
    <row r="30" spans="1:24" s="25" customFormat="1" ht="39" x14ac:dyDescent="0.35">
      <c r="A30" s="787" t="s">
        <v>169</v>
      </c>
      <c r="B30" s="787" t="s">
        <v>170</v>
      </c>
      <c r="C30" s="787" t="s">
        <v>89</v>
      </c>
      <c r="D30" s="787" t="s">
        <v>171</v>
      </c>
      <c r="E30" s="830" t="s">
        <v>60</v>
      </c>
      <c r="F30" s="831" t="s">
        <v>75</v>
      </c>
      <c r="G30" s="787" t="s">
        <v>76</v>
      </c>
      <c r="H30" s="787" t="s">
        <v>77</v>
      </c>
      <c r="I30" s="787" t="s">
        <v>172</v>
      </c>
      <c r="J30" s="787" t="s">
        <v>79</v>
      </c>
      <c r="K30" s="831" t="s">
        <v>173</v>
      </c>
      <c r="L30" s="787" t="s">
        <v>174</v>
      </c>
      <c r="M30" s="787" t="s">
        <v>175</v>
      </c>
      <c r="N30" s="787" t="s">
        <v>176</v>
      </c>
      <c r="O30" s="787" t="s">
        <v>177</v>
      </c>
      <c r="P30" s="787" t="s">
        <v>5</v>
      </c>
      <c r="Q30" s="787" t="s">
        <v>4</v>
      </c>
      <c r="R30" s="787" t="s">
        <v>80</v>
      </c>
      <c r="S30" s="787" t="s">
        <v>81</v>
      </c>
      <c r="T30" s="787" t="s">
        <v>80</v>
      </c>
      <c r="U30" s="787" t="s">
        <v>81</v>
      </c>
    </row>
    <row r="31" spans="1:24" x14ac:dyDescent="0.35">
      <c r="A31" s="825" t="s">
        <v>11</v>
      </c>
      <c r="B31" s="832">
        <v>61873.908692367106</v>
      </c>
      <c r="C31" s="833">
        <v>420.07632549364502</v>
      </c>
      <c r="D31" s="833">
        <v>9078.350215329363</v>
      </c>
      <c r="E31" s="828">
        <v>0.14672339936476791</v>
      </c>
      <c r="F31" s="828">
        <v>2.6992187380345291E-2</v>
      </c>
      <c r="G31" s="828">
        <v>1.7465533010811659E-2</v>
      </c>
      <c r="H31" s="828">
        <v>9.5266543695336318E-3</v>
      </c>
      <c r="I31" s="828">
        <v>0</v>
      </c>
      <c r="J31" s="828">
        <v>0</v>
      </c>
      <c r="K31" s="828">
        <v>3.9630882177259907E-2</v>
      </c>
      <c r="L31" s="828">
        <v>1.7100344593312871E-2</v>
      </c>
      <c r="M31" s="828">
        <v>1.2051217777460044E-2</v>
      </c>
      <c r="N31" s="828">
        <v>1.5877757282556056E-3</v>
      </c>
      <c r="O31" s="828">
        <v>8.8915440782313913E-3</v>
      </c>
      <c r="P31" s="828">
        <v>1.2054173460792631E-2</v>
      </c>
      <c r="Q31" s="828">
        <v>5.6252809483698946E-3</v>
      </c>
      <c r="R31" s="828">
        <v>1.2054173460792633E-2</v>
      </c>
      <c r="S31" s="828">
        <v>4.8216693843170519E-3</v>
      </c>
      <c r="T31" s="828">
        <v>1.2054173460792633E-2</v>
      </c>
      <c r="U31" s="828">
        <v>4.8216693843170519E-3</v>
      </c>
      <c r="V31" s="7"/>
      <c r="W31" s="7"/>
      <c r="X31" s="7"/>
    </row>
    <row r="32" spans="1:24" x14ac:dyDescent="0.35">
      <c r="A32" s="825" t="s">
        <v>13</v>
      </c>
      <c r="B32" s="832">
        <v>20250.37698396952</v>
      </c>
      <c r="C32" s="833">
        <v>2.47085352241269</v>
      </c>
      <c r="D32" s="833">
        <v>13355.708746254135</v>
      </c>
      <c r="E32" s="828">
        <v>0.65952889453992392</v>
      </c>
      <c r="F32" s="828">
        <v>8.3826122496024322E-2</v>
      </c>
      <c r="G32" s="828">
        <v>8.3826122496024322E-2</v>
      </c>
      <c r="H32" s="828">
        <v>0</v>
      </c>
      <c r="I32" s="828">
        <v>0</v>
      </c>
      <c r="J32" s="828">
        <v>0</v>
      </c>
      <c r="K32" s="828">
        <v>7.7230833550625086E-2</v>
      </c>
      <c r="L32" s="828">
        <v>0</v>
      </c>
      <c r="M32" s="828">
        <v>6.5952889453992386E-2</v>
      </c>
      <c r="N32" s="828">
        <v>1.12779440966327E-2</v>
      </c>
      <c r="O32" s="828">
        <v>0</v>
      </c>
      <c r="P32" s="828">
        <v>0.10836820482088791</v>
      </c>
      <c r="Q32" s="828">
        <v>3.6122734940295977E-2</v>
      </c>
      <c r="R32" s="828">
        <v>5.4184102410443968E-2</v>
      </c>
      <c r="S32" s="828">
        <v>3.2510461446266375E-2</v>
      </c>
      <c r="T32" s="828">
        <v>5.4184102410443968E-2</v>
      </c>
      <c r="U32" s="828">
        <v>3.2510461446266375E-2</v>
      </c>
      <c r="V32" s="7"/>
      <c r="W32" s="7"/>
      <c r="X32" s="7"/>
    </row>
    <row r="33" spans="1:24" x14ac:dyDescent="0.35">
      <c r="A33" s="825" t="s">
        <v>12</v>
      </c>
      <c r="B33" s="832">
        <v>44335.925982453293</v>
      </c>
      <c r="C33" s="833">
        <v>2.4805860119391698</v>
      </c>
      <c r="D33" s="833">
        <v>7343.4260744540152</v>
      </c>
      <c r="E33" s="828">
        <v>0.16563150338532012</v>
      </c>
      <c r="F33" s="828">
        <v>1.6131517797669182E-2</v>
      </c>
      <c r="G33" s="828">
        <v>1.6131517797669182E-2</v>
      </c>
      <c r="H33" s="828">
        <v>0</v>
      </c>
      <c r="I33" s="828">
        <v>0</v>
      </c>
      <c r="J33" s="828">
        <v>0</v>
      </c>
      <c r="K33" s="828">
        <v>6.0941289457861363E-2</v>
      </c>
      <c r="L33" s="828">
        <v>3.5847817328153744E-2</v>
      </c>
      <c r="M33" s="828">
        <v>0</v>
      </c>
      <c r="N33" s="828">
        <v>1.7923908664076872E-3</v>
      </c>
      <c r="O33" s="828">
        <v>2.3301081263299932E-2</v>
      </c>
      <c r="P33" s="828">
        <v>1.3607583255448582E-2</v>
      </c>
      <c r="Q33" s="828">
        <v>1.814344434059811E-2</v>
      </c>
      <c r="R33" s="828">
        <v>5.2253119700922555E-3</v>
      </c>
      <c r="S33" s="828">
        <v>4.0822749766345747E-3</v>
      </c>
      <c r="T33" s="828">
        <v>5.2253119700922555E-3</v>
      </c>
      <c r="U33" s="828">
        <v>4.0822749766345747E-3</v>
      </c>
      <c r="V33" s="7"/>
      <c r="W33" s="7"/>
      <c r="X33" s="7"/>
    </row>
    <row r="34" spans="1:24" x14ac:dyDescent="0.35">
      <c r="A34" s="825" t="s">
        <v>28</v>
      </c>
      <c r="B34" s="832">
        <v>67859.286758660368</v>
      </c>
      <c r="C34" s="833">
        <v>455.20493599999998</v>
      </c>
      <c r="D34" s="833">
        <v>13945.367235648782</v>
      </c>
      <c r="E34" s="828">
        <v>0.2055041822830394</v>
      </c>
      <c r="F34" s="828">
        <v>3.9251298816060529E-2</v>
      </c>
      <c r="G34" s="828">
        <v>2.0550418228303939E-2</v>
      </c>
      <c r="H34" s="828">
        <v>1.4385292759812759E-2</v>
      </c>
      <c r="I34" s="828">
        <v>0</v>
      </c>
      <c r="J34" s="828">
        <v>4.3155878279438281E-3</v>
      </c>
      <c r="K34" s="828">
        <v>1.2494654282808795E-2</v>
      </c>
      <c r="L34" s="828">
        <v>2.0550418228303942E-3</v>
      </c>
      <c r="M34" s="828">
        <v>0</v>
      </c>
      <c r="N34" s="828">
        <v>1.8495376405473544E-3</v>
      </c>
      <c r="O34" s="828">
        <v>8.5900748194310452E-3</v>
      </c>
      <c r="P34" s="828">
        <v>0</v>
      </c>
      <c r="Q34" s="828">
        <v>8.4416768929937314E-3</v>
      </c>
      <c r="R34" s="828">
        <v>1.6883353785987463E-2</v>
      </c>
      <c r="S34" s="828">
        <v>3.3766707571974927E-3</v>
      </c>
      <c r="T34" s="828">
        <v>1.6883353785987463E-2</v>
      </c>
      <c r="U34" s="828">
        <v>3.3766707571974927E-3</v>
      </c>
      <c r="V34" s="7"/>
      <c r="W34" s="7"/>
      <c r="X34" s="7"/>
    </row>
    <row r="35" spans="1:24" x14ac:dyDescent="0.35">
      <c r="A35" s="825" t="s">
        <v>15</v>
      </c>
      <c r="B35" s="832">
        <v>42382.53090483071</v>
      </c>
      <c r="C35" s="833">
        <v>1500.1452810000001</v>
      </c>
      <c r="D35" s="833">
        <v>11386.897133465034</v>
      </c>
      <c r="E35" s="828">
        <v>0.26866958839796823</v>
      </c>
      <c r="F35" s="828">
        <v>2.1493567071837458E-2</v>
      </c>
      <c r="G35" s="828">
        <v>1.0746783535918729E-2</v>
      </c>
      <c r="H35" s="828">
        <v>1.0746783535918729E-2</v>
      </c>
      <c r="I35" s="828">
        <v>0</v>
      </c>
      <c r="J35" s="828">
        <v>0</v>
      </c>
      <c r="K35" s="828">
        <v>7.268558614808654E-2</v>
      </c>
      <c r="L35" s="828">
        <v>3.4889081351081541E-2</v>
      </c>
      <c r="M35" s="828">
        <v>0</v>
      </c>
      <c r="N35" s="828">
        <v>2.0351964121464233E-3</v>
      </c>
      <c r="O35" s="828">
        <v>3.5761308384858574E-2</v>
      </c>
      <c r="P35" s="828">
        <v>2.2072756194377936E-2</v>
      </c>
      <c r="Q35" s="828">
        <v>1.1036378097188966E-2</v>
      </c>
      <c r="R35" s="828">
        <v>1.618668787587715E-2</v>
      </c>
      <c r="S35" s="828">
        <v>1.1036378097188967E-3</v>
      </c>
      <c r="T35" s="828">
        <v>1.618668787587715E-2</v>
      </c>
      <c r="U35" s="828">
        <v>1.1036378097188967E-3</v>
      </c>
      <c r="V35" s="7"/>
      <c r="W35" s="7"/>
      <c r="X35" s="7"/>
    </row>
    <row r="36" spans="1:24" x14ac:dyDescent="0.35">
      <c r="A36" s="825" t="s">
        <v>18</v>
      </c>
      <c r="B36" s="832">
        <v>65425.318626301669</v>
      </c>
      <c r="C36" s="833">
        <v>318.48026800000002</v>
      </c>
      <c r="D36" s="833">
        <v>15605.982157739201</v>
      </c>
      <c r="E36" s="828">
        <v>0.23853123661312109</v>
      </c>
      <c r="F36" s="828">
        <v>3.0200970546677593E-2</v>
      </c>
      <c r="G36" s="828">
        <v>1.3422653576301154E-2</v>
      </c>
      <c r="H36" s="828">
        <v>1.4197037436472373E-2</v>
      </c>
      <c r="I36" s="828">
        <v>0</v>
      </c>
      <c r="J36" s="828">
        <v>2.5812795339040673E-3</v>
      </c>
      <c r="K36" s="828">
        <v>6.8842725169221478E-2</v>
      </c>
      <c r="L36" s="828">
        <v>2.2379693558948265E-2</v>
      </c>
      <c r="M36" s="828">
        <v>2.3876835688612624E-2</v>
      </c>
      <c r="N36" s="828">
        <v>0</v>
      </c>
      <c r="O36" s="828">
        <v>2.2586195921660591E-2</v>
      </c>
      <c r="P36" s="828">
        <v>1.9596716777285663E-2</v>
      </c>
      <c r="Q36" s="828">
        <v>9.1451344960666418E-3</v>
      </c>
      <c r="R36" s="828">
        <v>1.387447547831825E-2</v>
      </c>
      <c r="S36" s="828">
        <v>3.919343355457133E-3</v>
      </c>
      <c r="T36" s="828">
        <v>1.387447547831825E-2</v>
      </c>
      <c r="U36" s="828">
        <v>3.919343355457133E-3</v>
      </c>
      <c r="V36" s="7"/>
      <c r="W36" s="7"/>
      <c r="X36" s="7"/>
    </row>
    <row r="37" spans="1:24" x14ac:dyDescent="0.35">
      <c r="A37" s="825" t="s">
        <v>17</v>
      </c>
      <c r="B37" s="832">
        <v>32568.455532008578</v>
      </c>
      <c r="C37" s="833">
        <v>0.43400188910582099</v>
      </c>
      <c r="D37" s="833">
        <v>12995.335139255167</v>
      </c>
      <c r="E37" s="828">
        <v>0.3990160088028501</v>
      </c>
      <c r="F37" s="828">
        <v>4.080652928664899E-2</v>
      </c>
      <c r="G37" s="828">
        <v>2.8672524281835907E-2</v>
      </c>
      <c r="H37" s="828">
        <v>0</v>
      </c>
      <c r="I37" s="828">
        <v>0</v>
      </c>
      <c r="J37" s="828">
        <v>1.2134005004813085E-2</v>
      </c>
      <c r="K37" s="828">
        <v>8.4117586296711358E-2</v>
      </c>
      <c r="L37" s="828">
        <v>1.6495337764550175E-2</v>
      </c>
      <c r="M37" s="828">
        <v>2.2281660435884528E-2</v>
      </c>
      <c r="N37" s="828">
        <v>1.6408974739604888E-3</v>
      </c>
      <c r="O37" s="828">
        <v>4.369969062231617E-2</v>
      </c>
      <c r="P37" s="828">
        <v>6.6050449990498444E-2</v>
      </c>
      <c r="Q37" s="828">
        <v>1.6625667033452089E-2</v>
      </c>
      <c r="R37" s="828">
        <v>3.2781466382094157E-2</v>
      </c>
      <c r="S37" s="828">
        <v>0</v>
      </c>
      <c r="T37" s="828">
        <v>3.2781466382094157E-2</v>
      </c>
      <c r="U37" s="828">
        <v>0</v>
      </c>
      <c r="V37" s="7"/>
      <c r="W37" s="7"/>
      <c r="X37" s="7"/>
    </row>
    <row r="38" spans="1:24" x14ac:dyDescent="0.35">
      <c r="A38" s="825" t="s">
        <v>21</v>
      </c>
      <c r="B38" s="832">
        <v>34912.951064629837</v>
      </c>
      <c r="C38" s="833">
        <v>3.3207835550707299</v>
      </c>
      <c r="D38" s="833">
        <v>11847.529159172202</v>
      </c>
      <c r="E38" s="828">
        <v>0.33934482184678116</v>
      </c>
      <c r="F38" s="828">
        <v>1.6390354895199532E-2</v>
      </c>
      <c r="G38" s="828">
        <v>6.2100102397960964E-3</v>
      </c>
      <c r="H38" s="828">
        <v>6.7868964369356237E-3</v>
      </c>
      <c r="I38" s="828">
        <v>3.3934482184678118E-3</v>
      </c>
      <c r="J38" s="828">
        <v>0</v>
      </c>
      <c r="K38" s="828">
        <v>4.2994988927987178E-2</v>
      </c>
      <c r="L38" s="828">
        <v>1.245395496177687E-2</v>
      </c>
      <c r="M38" s="828">
        <v>1.3573792873871247E-2</v>
      </c>
      <c r="N38" s="828">
        <v>1.0180344655403436E-2</v>
      </c>
      <c r="O38" s="828">
        <v>6.7868964369356237E-3</v>
      </c>
      <c r="P38" s="828">
        <v>5.5758268459872029E-2</v>
      </c>
      <c r="Q38" s="828">
        <v>1.3939567114968007E-2</v>
      </c>
      <c r="R38" s="828">
        <v>2.7879134229936018E-2</v>
      </c>
      <c r="S38" s="828">
        <v>0</v>
      </c>
      <c r="T38" s="828">
        <v>2.7879134229936018E-2</v>
      </c>
      <c r="U38" s="828">
        <v>0</v>
      </c>
      <c r="V38" s="7"/>
      <c r="W38" s="7"/>
      <c r="X38" s="7"/>
    </row>
    <row r="39" spans="1:24" x14ac:dyDescent="0.35">
      <c r="A39" s="825" t="s">
        <v>27</v>
      </c>
      <c r="B39" s="832">
        <v>18866.066258868956</v>
      </c>
      <c r="C39" s="833">
        <v>11.350909894053499</v>
      </c>
      <c r="D39" s="833">
        <v>15009.784858199</v>
      </c>
      <c r="E39" s="828">
        <v>0.79559695446012157</v>
      </c>
      <c r="F39" s="828">
        <v>3.9779847723006079E-2</v>
      </c>
      <c r="G39" s="828">
        <v>1.9889923861503039E-2</v>
      </c>
      <c r="H39" s="828">
        <v>1.9889923861503039E-2</v>
      </c>
      <c r="I39" s="828">
        <v>0</v>
      </c>
      <c r="J39" s="828">
        <v>0</v>
      </c>
      <c r="K39" s="828">
        <v>9.5471634535214574E-3</v>
      </c>
      <c r="L39" s="828">
        <v>0</v>
      </c>
      <c r="M39" s="828">
        <v>0</v>
      </c>
      <c r="N39" s="828">
        <v>1.591193908920243E-3</v>
      </c>
      <c r="O39" s="828">
        <v>7.9559695446012151E-3</v>
      </c>
      <c r="P39" s="828">
        <v>0.1307257565659089</v>
      </c>
      <c r="Q39" s="828">
        <v>4.3575252188636296E-2</v>
      </c>
      <c r="R39" s="828">
        <v>6.5362878282954465E-2</v>
      </c>
      <c r="S39" s="828">
        <v>1.3072575656590889E-2</v>
      </c>
      <c r="T39" s="828">
        <v>6.5362878282954465E-2</v>
      </c>
      <c r="U39" s="828">
        <v>1.3072575656590889E-2</v>
      </c>
      <c r="V39" s="7"/>
      <c r="W39" s="7"/>
      <c r="X39" s="7"/>
    </row>
    <row r="40" spans="1:24" s="60" customFormat="1" x14ac:dyDescent="0.35">
      <c r="A40" s="825" t="s">
        <v>24</v>
      </c>
      <c r="B40" s="832">
        <v>55144.873630003844</v>
      </c>
      <c r="C40" s="833">
        <v>10.088687</v>
      </c>
      <c r="D40" s="833">
        <v>9972.3581472990481</v>
      </c>
      <c r="E40" s="828">
        <v>0.18083926013157414</v>
      </c>
      <c r="F40" s="828">
        <v>4.0294149364138677E-3</v>
      </c>
      <c r="G40" s="828">
        <v>2.1192100796668849E-3</v>
      </c>
      <c r="H40" s="828">
        <v>1.9102048567469828E-3</v>
      </c>
      <c r="I40" s="828">
        <v>0</v>
      </c>
      <c r="J40" s="828">
        <v>0</v>
      </c>
      <c r="K40" s="828">
        <v>4.8922511118172127E-2</v>
      </c>
      <c r="L40" s="828">
        <v>1.4593351544159427E-2</v>
      </c>
      <c r="M40" s="828">
        <v>1.9296896075575602E-2</v>
      </c>
      <c r="N40" s="828">
        <v>3.7298097402137177E-3</v>
      </c>
      <c r="O40" s="828">
        <v>1.1302453758223386E-2</v>
      </c>
      <c r="P40" s="828">
        <v>7.5349691721489217E-3</v>
      </c>
      <c r="Q40" s="828">
        <v>9.904658786919384E-3</v>
      </c>
      <c r="R40" s="828">
        <v>1.8818851695146833E-2</v>
      </c>
      <c r="S40" s="828">
        <v>0</v>
      </c>
      <c r="T40" s="828">
        <v>1.8818851695146833E-2</v>
      </c>
      <c r="U40" s="828">
        <v>0</v>
      </c>
      <c r="V40" s="7"/>
      <c r="W40" s="7"/>
      <c r="X40" s="7"/>
    </row>
    <row r="41" spans="1:24" x14ac:dyDescent="0.35">
      <c r="A41" s="825" t="s">
        <v>29</v>
      </c>
      <c r="B41" s="832">
        <v>21087.266969034772</v>
      </c>
      <c r="C41" s="833">
        <v>94.163383968611996</v>
      </c>
      <c r="D41" s="833">
        <v>8828.909550203949</v>
      </c>
      <c r="E41" s="828">
        <v>0.41868439201574137</v>
      </c>
      <c r="F41" s="828">
        <v>2.9307907441101899E-2</v>
      </c>
      <c r="G41" s="828">
        <v>1.2560531760472242E-2</v>
      </c>
      <c r="H41" s="828">
        <v>0</v>
      </c>
      <c r="I41" s="828">
        <v>0</v>
      </c>
      <c r="J41" s="828">
        <v>1.6747375680629655E-2</v>
      </c>
      <c r="K41" s="828">
        <v>5.2335549001967671E-2</v>
      </c>
      <c r="L41" s="828">
        <v>1.2560531760472242E-2</v>
      </c>
      <c r="M41" s="828">
        <v>0</v>
      </c>
      <c r="N41" s="828">
        <v>0</v>
      </c>
      <c r="O41" s="828">
        <v>3.9775017241495431E-2</v>
      </c>
      <c r="P41" s="828">
        <v>0</v>
      </c>
      <c r="Q41" s="828">
        <v>1.6052090832019882E-2</v>
      </c>
      <c r="R41" s="828">
        <v>1.6052090832019882E-2</v>
      </c>
      <c r="S41" s="828">
        <v>6.4208363328079531E-3</v>
      </c>
      <c r="T41" s="828">
        <v>1.6052090832019882E-2</v>
      </c>
      <c r="U41" s="828">
        <v>6.4208363328079531E-3</v>
      </c>
      <c r="V41" s="7"/>
      <c r="W41" s="7"/>
      <c r="X41" s="7"/>
    </row>
    <row r="42" spans="1:24" hidden="1" x14ac:dyDescent="0.35">
      <c r="A42" s="825" t="s">
        <v>23</v>
      </c>
      <c r="B42" s="832">
        <v>17369.495423971723</v>
      </c>
      <c r="C42" s="833">
        <v>11.46</v>
      </c>
      <c r="D42" s="833">
        <v>8609.141361256543</v>
      </c>
      <c r="E42" s="828">
        <v>0.49564717633507227</v>
      </c>
      <c r="F42" s="828">
        <v>3.5190949519790127E-2</v>
      </c>
      <c r="G42" s="828">
        <v>2.3791064464083467E-2</v>
      </c>
      <c r="H42" s="828">
        <v>1.1399885055706662E-2</v>
      </c>
      <c r="I42" s="828">
        <v>0</v>
      </c>
      <c r="J42" s="828">
        <v>0</v>
      </c>
      <c r="K42" s="828">
        <v>0.1214335582020927</v>
      </c>
      <c r="L42" s="828">
        <v>6.6912368805234754E-2</v>
      </c>
      <c r="M42" s="828">
        <v>2.973883058010433E-2</v>
      </c>
      <c r="N42" s="828">
        <v>7.4347076450260825E-3</v>
      </c>
      <c r="O42" s="828">
        <v>1.734765117172753E-2</v>
      </c>
      <c r="P42" s="828">
        <v>4.0720274099167945E-2</v>
      </c>
      <c r="Q42" s="828">
        <v>4.0720274099167945E-2</v>
      </c>
      <c r="R42" s="828">
        <v>3.5796740513088551E-2</v>
      </c>
      <c r="S42" s="828">
        <v>0</v>
      </c>
      <c r="T42" s="828">
        <v>3.5796740513088551E-2</v>
      </c>
      <c r="U42" s="828">
        <v>0</v>
      </c>
      <c r="V42" s="7"/>
      <c r="W42" s="7"/>
      <c r="X42" s="7"/>
    </row>
    <row r="43" spans="1:24" x14ac:dyDescent="0.35">
      <c r="A43" s="825" t="s">
        <v>19</v>
      </c>
      <c r="B43" s="832">
        <v>84761.838955402389</v>
      </c>
      <c r="C43" s="833">
        <v>0.46136847720847002</v>
      </c>
      <c r="D43" s="833">
        <v>16562.900105867291</v>
      </c>
      <c r="E43" s="828">
        <v>0.19540515295546967</v>
      </c>
      <c r="F43" s="828">
        <v>2.2875810377735672E-2</v>
      </c>
      <c r="G43" s="828">
        <v>1.9255549447486905E-2</v>
      </c>
      <c r="H43" s="828">
        <v>9.7702576477734829E-4</v>
      </c>
      <c r="I43" s="828">
        <v>0</v>
      </c>
      <c r="J43" s="828">
        <v>2.6432351654714168E-3</v>
      </c>
      <c r="K43" s="828">
        <v>3.5700624081365713E-2</v>
      </c>
      <c r="L43" s="828">
        <v>1.2009275025388238E-2</v>
      </c>
      <c r="M43" s="828">
        <v>1.5632412236437573E-2</v>
      </c>
      <c r="N43" s="828">
        <v>8.207016424129725E-4</v>
      </c>
      <c r="O43" s="828">
        <v>7.2382351771269268E-3</v>
      </c>
      <c r="P43" s="828">
        <v>1.6053660282243646E-2</v>
      </c>
      <c r="Q43" s="828">
        <v>1.6053660282243646E-2</v>
      </c>
      <c r="R43" s="828">
        <v>1.2735903823913292E-2</v>
      </c>
      <c r="S43" s="828">
        <v>0</v>
      </c>
      <c r="T43" s="828">
        <v>1.2735903823913292E-2</v>
      </c>
      <c r="U43" s="828">
        <v>0</v>
      </c>
      <c r="V43" s="7"/>
      <c r="W43" s="7"/>
      <c r="X43" s="7"/>
    </row>
    <row r="44" spans="1:24" x14ac:dyDescent="0.35">
      <c r="A44" s="825" t="s">
        <v>16</v>
      </c>
      <c r="B44" s="832">
        <v>32200.776405606397</v>
      </c>
      <c r="C44" s="833">
        <v>1.78230274122345</v>
      </c>
      <c r="D44" s="833">
        <v>7608.13507512861</v>
      </c>
      <c r="E44" s="828">
        <v>0.23627178982566321</v>
      </c>
      <c r="F44" s="828">
        <v>3.5762216127440759E-2</v>
      </c>
      <c r="G44" s="828">
        <v>3.5762216127440759E-2</v>
      </c>
      <c r="H44" s="828">
        <v>0</v>
      </c>
      <c r="I44" s="828">
        <v>0</v>
      </c>
      <c r="J44" s="828">
        <v>0</v>
      </c>
      <c r="K44" s="828">
        <v>4.9874148577465451E-2</v>
      </c>
      <c r="L44" s="828">
        <v>0</v>
      </c>
      <c r="M44" s="828">
        <v>2.4758457318997448E-2</v>
      </c>
      <c r="N44" s="828">
        <v>1.4885122759016782E-3</v>
      </c>
      <c r="O44" s="828">
        <v>2.3627178982566326E-2</v>
      </c>
      <c r="P44" s="828">
        <v>3.882218038541952E-2</v>
      </c>
      <c r="Q44" s="828">
        <v>1.941109019270976E-2</v>
      </c>
      <c r="R44" s="828">
        <v>2.9116635289064646E-2</v>
      </c>
      <c r="S44" s="828">
        <v>0</v>
      </c>
      <c r="T44" s="828">
        <v>2.9116635289064646E-2</v>
      </c>
      <c r="U44" s="828">
        <v>0</v>
      </c>
      <c r="V44" s="7"/>
      <c r="W44" s="7"/>
      <c r="X44" s="7"/>
    </row>
    <row r="45" spans="1:24" x14ac:dyDescent="0.35">
      <c r="A45" s="825" t="s">
        <v>20</v>
      </c>
      <c r="B45" s="832">
        <v>36648.594564049621</v>
      </c>
      <c r="C45" s="833">
        <v>2618.66324027066</v>
      </c>
      <c r="D45" s="833">
        <v>13284.86055977336</v>
      </c>
      <c r="E45" s="828">
        <v>0.36249304285204764</v>
      </c>
      <c r="F45" s="828">
        <v>3.5304654324699758E-2</v>
      </c>
      <c r="G45" s="828">
        <v>3.5304654324699758E-2</v>
      </c>
      <c r="H45" s="828">
        <v>0</v>
      </c>
      <c r="I45" s="828">
        <v>0</v>
      </c>
      <c r="J45" s="828">
        <v>0</v>
      </c>
      <c r="K45" s="828">
        <v>6.668656927998845E-2</v>
      </c>
      <c r="L45" s="828">
        <v>5.4918351171755191E-2</v>
      </c>
      <c r="M45" s="828">
        <v>0</v>
      </c>
      <c r="N45" s="828">
        <v>0</v>
      </c>
      <c r="O45" s="828">
        <v>1.1768218108233253E-2</v>
      </c>
      <c r="P45" s="828">
        <v>2.9780894089060771E-2</v>
      </c>
      <c r="Q45" s="828">
        <v>1.1912357635624307E-2</v>
      </c>
      <c r="R45" s="828">
        <v>1.4890447044530382E-2</v>
      </c>
      <c r="S45" s="828">
        <v>8.9342682267182314E-3</v>
      </c>
      <c r="T45" s="828">
        <v>1.4890447044530382E-2</v>
      </c>
      <c r="U45" s="828">
        <v>8.9342682267182314E-3</v>
      </c>
      <c r="V45" s="7"/>
      <c r="W45" s="7"/>
      <c r="X45" s="7"/>
    </row>
    <row r="46" spans="1:24" x14ac:dyDescent="0.35">
      <c r="A46" s="825" t="s">
        <v>26</v>
      </c>
      <c r="B46" s="832">
        <v>58139.67725151901</v>
      </c>
      <c r="C46" s="833">
        <v>23.521510706274</v>
      </c>
      <c r="D46" s="833">
        <v>11057.861174308968</v>
      </c>
      <c r="E46" s="828">
        <v>0.19019474646326937</v>
      </c>
      <c r="F46" s="828">
        <v>1.3193083909509466E-2</v>
      </c>
      <c r="G46" s="828">
        <v>5.907043809717967E-3</v>
      </c>
      <c r="H46" s="828">
        <v>6.2569383907813995E-3</v>
      </c>
      <c r="I46" s="828">
        <v>0</v>
      </c>
      <c r="J46" s="828">
        <v>1.0291017090100988E-3</v>
      </c>
      <c r="K46" s="828">
        <v>3.3342895371927195E-2</v>
      </c>
      <c r="L46" s="828">
        <v>1.4613244267943401E-2</v>
      </c>
      <c r="M46" s="828">
        <v>1.4613244267943401E-2</v>
      </c>
      <c r="N46" s="828">
        <v>2.0582034180201977E-3</v>
      </c>
      <c r="O46" s="828">
        <v>2.0582034180201977E-3</v>
      </c>
      <c r="P46" s="828">
        <v>1.562559533875036E-2</v>
      </c>
      <c r="Q46" s="828">
        <v>9.3753572032502161E-3</v>
      </c>
      <c r="R46" s="828">
        <v>1.1979623093041944E-2</v>
      </c>
      <c r="S46" s="828">
        <v>2.9167777965667342E-3</v>
      </c>
      <c r="T46" s="828">
        <v>1.1979623093041944E-2</v>
      </c>
      <c r="U46" s="828">
        <v>2.9167777965667342E-3</v>
      </c>
      <c r="V46" s="7"/>
      <c r="W46" s="7"/>
      <c r="X46" s="7"/>
    </row>
    <row r="47" spans="1:24" x14ac:dyDescent="0.35">
      <c r="A47" s="825" t="s">
        <v>25</v>
      </c>
      <c r="B47" s="832">
        <v>29086.45037199109</v>
      </c>
      <c r="C47" s="833">
        <v>0.42066105967543599</v>
      </c>
      <c r="D47" s="833">
        <v>10718.596115073904</v>
      </c>
      <c r="E47" s="828">
        <v>0.36850822214440498</v>
      </c>
      <c r="F47" s="828">
        <v>3.7772092769801507E-2</v>
      </c>
      <c r="G47" s="828">
        <v>2.6716846105469361E-2</v>
      </c>
      <c r="H47" s="828">
        <v>1.105524666433215E-2</v>
      </c>
      <c r="I47" s="828">
        <v>0</v>
      </c>
      <c r="J47" s="828">
        <v>0</v>
      </c>
      <c r="K47" s="828">
        <v>6.356766831990987E-2</v>
      </c>
      <c r="L47" s="828">
        <v>3.2244469437635433E-2</v>
      </c>
      <c r="M47" s="828">
        <v>2.7638116660830377E-2</v>
      </c>
      <c r="N47" s="828">
        <v>0</v>
      </c>
      <c r="O47" s="828">
        <v>3.6850822214440503E-3</v>
      </c>
      <c r="P47" s="828">
        <v>1.9174214647671422E-2</v>
      </c>
      <c r="Q47" s="828">
        <v>1.9174214647671422E-2</v>
      </c>
      <c r="R47" s="828">
        <v>3.0275075759481188E-2</v>
      </c>
      <c r="S47" s="828">
        <v>0</v>
      </c>
      <c r="T47" s="828">
        <v>3.0275075759481188E-2</v>
      </c>
      <c r="U47" s="828">
        <v>0</v>
      </c>
      <c r="V47" s="7"/>
      <c r="W47" s="7"/>
      <c r="X47" s="7"/>
    </row>
    <row r="48" spans="1:24" x14ac:dyDescent="0.35">
      <c r="A48" s="825" t="s">
        <v>31</v>
      </c>
      <c r="B48" s="832">
        <v>75841.78784676193</v>
      </c>
      <c r="C48" s="833">
        <v>3.6189027579051398</v>
      </c>
      <c r="D48" s="833">
        <v>11691.941682481953</v>
      </c>
      <c r="E48" s="828">
        <v>0.1541622635018241</v>
      </c>
      <c r="F48" s="828">
        <v>6.7831395940802595E-3</v>
      </c>
      <c r="G48" s="828">
        <v>6.7831395940802595E-3</v>
      </c>
      <c r="H48" s="828">
        <v>0</v>
      </c>
      <c r="I48" s="828">
        <v>0</v>
      </c>
      <c r="J48" s="828">
        <v>0</v>
      </c>
      <c r="K48" s="828">
        <v>1.3566279188160519E-2</v>
      </c>
      <c r="L48" s="828">
        <v>1.3566279188160519E-2</v>
      </c>
      <c r="M48" s="828">
        <v>0</v>
      </c>
      <c r="N48" s="828">
        <v>0</v>
      </c>
      <c r="O48" s="828">
        <v>0</v>
      </c>
      <c r="P48" s="828">
        <v>0</v>
      </c>
      <c r="Q48" s="828">
        <v>5.9104822243004071E-3</v>
      </c>
      <c r="R48" s="828">
        <v>6.3326595260361513E-3</v>
      </c>
      <c r="S48" s="828">
        <v>0</v>
      </c>
      <c r="T48" s="828">
        <v>6.3326595260361513E-3</v>
      </c>
      <c r="U48" s="828">
        <v>0</v>
      </c>
      <c r="V48" s="7"/>
      <c r="W48" s="7"/>
      <c r="X48" s="7"/>
    </row>
    <row r="49" spans="1:34" x14ac:dyDescent="0.35">
      <c r="A49" s="825" t="s">
        <v>14</v>
      </c>
      <c r="B49" s="832">
        <v>69772.354889329217</v>
      </c>
      <c r="C49" s="833">
        <v>26.397683815214101</v>
      </c>
      <c r="D49" s="833">
        <v>10746.397372806747</v>
      </c>
      <c r="E49" s="828">
        <v>0.15402084951629272</v>
      </c>
      <c r="F49" s="828">
        <v>3.0491568548949608E-2</v>
      </c>
      <c r="G49" s="828">
        <v>2.5001182589080774E-2</v>
      </c>
      <c r="H49" s="828">
        <v>5.3237114092749612E-3</v>
      </c>
      <c r="I49" s="828">
        <v>0</v>
      </c>
      <c r="J49" s="828">
        <v>1.6667455059387183E-4</v>
      </c>
      <c r="K49" s="828">
        <v>3.0995746937573097E-2</v>
      </c>
      <c r="L49" s="828">
        <v>1.2500591294540387E-2</v>
      </c>
      <c r="M49" s="828">
        <v>7.7010424758146376E-3</v>
      </c>
      <c r="N49" s="828">
        <v>1.0627438616624199E-2</v>
      </c>
      <c r="O49" s="828">
        <v>1.6667455059387183E-4</v>
      </c>
      <c r="P49" s="828">
        <v>1.2653701077579094E-2</v>
      </c>
      <c r="Q49" s="828">
        <v>8.8575907543053667E-3</v>
      </c>
      <c r="R49" s="828">
        <v>1.5100083285911052E-2</v>
      </c>
      <c r="S49" s="828">
        <v>0</v>
      </c>
      <c r="T49" s="828">
        <v>1.5100083285911052E-2</v>
      </c>
      <c r="U49" s="828">
        <v>0</v>
      </c>
      <c r="V49" s="7"/>
      <c r="W49" s="7"/>
      <c r="X49" s="7"/>
    </row>
    <row r="50" spans="1:34" x14ac:dyDescent="0.35">
      <c r="A50" s="825" t="s">
        <v>22</v>
      </c>
      <c r="B50" s="832">
        <v>18255.222216705592</v>
      </c>
      <c r="C50" s="833">
        <v>13.786</v>
      </c>
      <c r="D50" s="833">
        <v>113.1582765124039</v>
      </c>
      <c r="E50" s="828">
        <v>6.1986797623778738E-3</v>
      </c>
      <c r="F50" s="828">
        <v>3.719207857426724E-4</v>
      </c>
      <c r="G50" s="828">
        <v>2.4794719049511495E-4</v>
      </c>
      <c r="H50" s="828">
        <v>0</v>
      </c>
      <c r="I50" s="828">
        <v>0</v>
      </c>
      <c r="J50" s="828">
        <v>1.2397359524755748E-4</v>
      </c>
      <c r="K50" s="828">
        <v>1.5341732411885238E-3</v>
      </c>
      <c r="L50" s="828">
        <v>1.1157623572280173E-3</v>
      </c>
      <c r="M50" s="828">
        <v>0</v>
      </c>
      <c r="N50" s="828">
        <v>4.649009821783405E-5</v>
      </c>
      <c r="O50" s="828">
        <v>3.719207857426724E-4</v>
      </c>
      <c r="P50" s="828">
        <v>5.0925729234126474E-4</v>
      </c>
      <c r="Q50" s="828">
        <v>3.2252961848280095E-4</v>
      </c>
      <c r="R50" s="828">
        <v>5.0925729234126474E-4</v>
      </c>
      <c r="S50" s="828">
        <v>0</v>
      </c>
      <c r="T50" s="828">
        <v>5.0925729234126474E-4</v>
      </c>
      <c r="U50" s="828">
        <v>0</v>
      </c>
      <c r="V50" s="7"/>
      <c r="W50" s="7"/>
      <c r="X50" s="7"/>
    </row>
    <row r="51" spans="1:34" x14ac:dyDescent="0.35">
      <c r="A51" s="825">
        <v>1</v>
      </c>
      <c r="B51" s="825">
        <v>2</v>
      </c>
      <c r="C51" s="825">
        <v>3</v>
      </c>
      <c r="D51" s="825">
        <v>4</v>
      </c>
      <c r="E51" s="825">
        <v>5</v>
      </c>
      <c r="F51" s="825">
        <v>6</v>
      </c>
      <c r="G51" s="825">
        <v>7</v>
      </c>
      <c r="H51" s="825">
        <v>8</v>
      </c>
      <c r="I51" s="825">
        <v>9</v>
      </c>
      <c r="J51" s="825">
        <v>10</v>
      </c>
      <c r="K51" s="825">
        <v>11</v>
      </c>
      <c r="L51" s="825">
        <v>12</v>
      </c>
      <c r="M51" s="825">
        <v>13</v>
      </c>
      <c r="N51" s="825">
        <v>14</v>
      </c>
      <c r="O51" s="825">
        <v>15</v>
      </c>
      <c r="P51" s="825">
        <v>16</v>
      </c>
      <c r="Q51" s="825">
        <v>17</v>
      </c>
      <c r="R51" s="825">
        <v>18</v>
      </c>
      <c r="S51" s="825">
        <v>19</v>
      </c>
      <c r="T51" s="825">
        <v>20</v>
      </c>
      <c r="U51" s="825">
        <v>21</v>
      </c>
      <c r="V51" s="7"/>
      <c r="W51" s="7"/>
      <c r="X51" s="7"/>
    </row>
    <row r="52" spans="1:34" x14ac:dyDescent="0.35">
      <c r="D52" s="177"/>
      <c r="K52" s="56"/>
      <c r="L52" s="56"/>
      <c r="M52" s="56"/>
      <c r="N52" s="56"/>
      <c r="O52" s="56"/>
    </row>
    <row r="53" spans="1:34" ht="15" customHeight="1" x14ac:dyDescent="0.35">
      <c r="A53" s="825"/>
      <c r="B53" s="825"/>
      <c r="C53" s="825"/>
      <c r="D53" s="1000" t="s">
        <v>69</v>
      </c>
      <c r="E53" s="1000"/>
      <c r="F53" s="1000" t="s">
        <v>70</v>
      </c>
      <c r="G53" s="1000"/>
      <c r="H53" s="825"/>
    </row>
    <row r="54" spans="1:34" ht="28.5" customHeight="1" x14ac:dyDescent="0.35">
      <c r="A54" s="826" t="s">
        <v>169</v>
      </c>
      <c r="B54" s="787" t="s">
        <v>60</v>
      </c>
      <c r="C54" s="787" t="s">
        <v>68</v>
      </c>
      <c r="D54" s="787" t="s">
        <v>82</v>
      </c>
      <c r="E54" s="787" t="s">
        <v>83</v>
      </c>
      <c r="F54" s="787" t="s">
        <v>84</v>
      </c>
      <c r="G54" s="787" t="s">
        <v>85</v>
      </c>
      <c r="H54" s="787" t="s">
        <v>86</v>
      </c>
      <c r="O54" s="426"/>
      <c r="P54" s="426"/>
      <c r="Q54" s="25"/>
      <c r="R54" s="426"/>
      <c r="T54" s="426"/>
      <c r="AA54" s="7"/>
      <c r="AB54" s="25"/>
      <c r="AC54" s="25"/>
      <c r="AD54" s="25"/>
    </row>
    <row r="55" spans="1:34" ht="15" customHeight="1" x14ac:dyDescent="0.35">
      <c r="A55" s="827" t="s">
        <v>27</v>
      </c>
      <c r="B55" s="828">
        <v>0.79559695446012157</v>
      </c>
      <c r="C55" s="828">
        <v>4.9327011176527533E-2</v>
      </c>
      <c r="D55" s="828">
        <v>0.1307257565659089</v>
      </c>
      <c r="E55" s="828">
        <v>4.3575252188636296E-2</v>
      </c>
      <c r="F55" s="828">
        <v>6.5362878282954465E-2</v>
      </c>
      <c r="G55" s="828">
        <v>1.3072575656590889E-2</v>
      </c>
      <c r="H55" s="828">
        <v>1.0976604283307396</v>
      </c>
      <c r="I55" s="9"/>
      <c r="J55" s="30"/>
      <c r="K55" s="2"/>
      <c r="P55" s="428"/>
      <c r="Q55" s="25"/>
      <c r="R55" s="428"/>
      <c r="T55" s="428"/>
      <c r="V55" s="2"/>
      <c r="AB55" s="25"/>
      <c r="AC55" s="25"/>
      <c r="AD55" s="25"/>
    </row>
    <row r="56" spans="1:34" ht="16" x14ac:dyDescent="0.4">
      <c r="A56" s="827" t="s">
        <v>20</v>
      </c>
      <c r="B56" s="828">
        <v>0.36249304285204764</v>
      </c>
      <c r="C56" s="828">
        <v>0.10199122360468821</v>
      </c>
      <c r="D56" s="828">
        <v>2.9780894089060771E-2</v>
      </c>
      <c r="E56" s="828">
        <v>1.1912357635624307E-2</v>
      </c>
      <c r="F56" s="828">
        <v>1.4890447044530382E-2</v>
      </c>
      <c r="G56" s="828">
        <v>8.9342682267182314E-3</v>
      </c>
      <c r="H56" s="828">
        <v>0.5300022334526695</v>
      </c>
      <c r="I56" s="9"/>
      <c r="J56" s="30"/>
      <c r="K56" s="2"/>
      <c r="L56" s="7"/>
      <c r="S56" s="623" t="s">
        <v>178</v>
      </c>
      <c r="T56" s="623"/>
      <c r="U56" s="752" t="s">
        <v>60</v>
      </c>
      <c r="V56" s="752" t="s">
        <v>68</v>
      </c>
      <c r="W56" s="752" t="s">
        <v>82</v>
      </c>
      <c r="X56" s="752" t="s">
        <v>83</v>
      </c>
      <c r="Y56" s="752" t="s">
        <v>84</v>
      </c>
      <c r="Z56" s="752" t="s">
        <v>85</v>
      </c>
      <c r="AA56" s="752" t="s">
        <v>187</v>
      </c>
      <c r="AB56" s="453"/>
      <c r="AC56" s="453"/>
      <c r="AD56" s="453"/>
    </row>
    <row r="57" spans="1:34" x14ac:dyDescent="0.35">
      <c r="A57" s="827" t="s">
        <v>21</v>
      </c>
      <c r="B57" s="828">
        <v>0.33934482184678116</v>
      </c>
      <c r="C57" s="828">
        <v>5.9385343823186706E-2</v>
      </c>
      <c r="D57" s="828">
        <v>5.5758268459872029E-2</v>
      </c>
      <c r="E57" s="828">
        <v>1.3939567114968007E-2</v>
      </c>
      <c r="F57" s="828">
        <v>2.7879134229936018E-2</v>
      </c>
      <c r="G57" s="828">
        <v>0</v>
      </c>
      <c r="H57" s="828">
        <v>0.49630713547474392</v>
      </c>
      <c r="I57" s="9"/>
      <c r="J57" s="30"/>
      <c r="K57" s="2"/>
      <c r="S57" s="954" t="s">
        <v>27</v>
      </c>
      <c r="T57" s="448">
        <v>2013</v>
      </c>
      <c r="U57" s="516">
        <v>0.60360037170655934</v>
      </c>
      <c r="V57" s="516">
        <v>4.6477228621405076E-2</v>
      </c>
      <c r="W57" s="516">
        <v>9.9276376925420948E-2</v>
      </c>
      <c r="X57" s="516">
        <v>3.309212564180699E-2</v>
      </c>
      <c r="Y57" s="516">
        <v>4.9638188462710481E-2</v>
      </c>
      <c r="Z57" s="516">
        <v>9.9276376925420944E-3</v>
      </c>
      <c r="AA57" s="516">
        <v>0.84201192905044497</v>
      </c>
      <c r="AB57" s="453"/>
      <c r="AC57" s="453"/>
      <c r="AD57" s="453"/>
    </row>
    <row r="58" spans="1:34" x14ac:dyDescent="0.35">
      <c r="A58" s="827" t="s">
        <v>13</v>
      </c>
      <c r="B58" s="828">
        <v>0.65952889453992392</v>
      </c>
      <c r="C58" s="828">
        <v>0.16105695604664941</v>
      </c>
      <c r="D58" s="828">
        <v>0.10836820482088791</v>
      </c>
      <c r="E58" s="828">
        <v>3.6122734940295977E-2</v>
      </c>
      <c r="F58" s="828">
        <v>5.4184102410443968E-2</v>
      </c>
      <c r="G58" s="828">
        <v>3.2510461446266375E-2</v>
      </c>
      <c r="H58" s="828">
        <v>1.0517713542044675</v>
      </c>
      <c r="I58" s="9"/>
      <c r="J58" s="30"/>
      <c r="K58" s="2"/>
      <c r="R58" s="2"/>
      <c r="S58" s="954"/>
      <c r="T58" s="448">
        <v>2025</v>
      </c>
      <c r="U58" s="516">
        <v>0.79559695446012157</v>
      </c>
      <c r="V58" s="516">
        <v>4.9327011176527533E-2</v>
      </c>
      <c r="W58" s="516">
        <v>0.1307257565659089</v>
      </c>
      <c r="X58" s="516">
        <v>4.3575252188636296E-2</v>
      </c>
      <c r="Y58" s="516">
        <v>6.5362878282954465E-2</v>
      </c>
      <c r="Z58" s="516">
        <v>1.3072575656590889E-2</v>
      </c>
      <c r="AA58" s="516">
        <v>1.0976604283307396</v>
      </c>
      <c r="AB58" s="944"/>
      <c r="AC58" s="944"/>
      <c r="AD58" s="944"/>
      <c r="AE58" s="944"/>
      <c r="AF58" s="944"/>
      <c r="AG58" s="944"/>
      <c r="AH58" s="944"/>
    </row>
    <row r="59" spans="1:34" x14ac:dyDescent="0.35">
      <c r="A59" s="827" t="s">
        <v>18</v>
      </c>
      <c r="B59" s="828">
        <v>0.23853123661312109</v>
      </c>
      <c r="C59" s="828">
        <v>9.9043695715899077E-2</v>
      </c>
      <c r="D59" s="828">
        <v>1.9596716777285663E-2</v>
      </c>
      <c r="E59" s="828">
        <v>9.1451344960666418E-3</v>
      </c>
      <c r="F59" s="828">
        <v>1.387447547831825E-2</v>
      </c>
      <c r="G59" s="828">
        <v>3.919343355457133E-3</v>
      </c>
      <c r="H59" s="828">
        <v>0.38411060243614786</v>
      </c>
      <c r="I59" s="9"/>
      <c r="J59" s="30"/>
      <c r="K59" s="2"/>
      <c r="R59" s="822"/>
      <c r="S59" s="954" t="s">
        <v>20</v>
      </c>
      <c r="T59" s="448">
        <v>2013</v>
      </c>
      <c r="U59" s="516">
        <v>0.47318120928341578</v>
      </c>
      <c r="V59" s="516">
        <v>0.13313450140133914</v>
      </c>
      <c r="W59" s="516">
        <v>3.8874565337119277E-2</v>
      </c>
      <c r="X59" s="516">
        <v>1.5549826134847712E-2</v>
      </c>
      <c r="Y59" s="516">
        <v>1.9437282668559638E-2</v>
      </c>
      <c r="Z59" s="516">
        <v>1.1662369601135782E-2</v>
      </c>
      <c r="AA59" s="516">
        <v>0.69183975442641732</v>
      </c>
      <c r="AB59" s="453"/>
      <c r="AC59" s="453"/>
      <c r="AD59" s="453"/>
      <c r="AE59" s="453"/>
      <c r="AF59" s="453"/>
      <c r="AG59" s="453"/>
      <c r="AH59" s="453"/>
    </row>
    <row r="60" spans="1:34" x14ac:dyDescent="0.35">
      <c r="A60" s="827" t="s">
        <v>17</v>
      </c>
      <c r="B60" s="828">
        <v>0.3990160088028501</v>
      </c>
      <c r="C60" s="828">
        <v>0.12492411558336035</v>
      </c>
      <c r="D60" s="828">
        <v>6.6050449990498444E-2</v>
      </c>
      <c r="E60" s="828">
        <v>1.6625667033452089E-2</v>
      </c>
      <c r="F60" s="828">
        <v>3.2781466382094157E-2</v>
      </c>
      <c r="G60" s="828">
        <v>0</v>
      </c>
      <c r="H60" s="828">
        <v>0.63939770779225513</v>
      </c>
      <c r="I60" s="9"/>
      <c r="J60" s="30"/>
      <c r="K60" s="2"/>
      <c r="R60" s="2"/>
      <c r="S60" s="954"/>
      <c r="T60" s="448">
        <v>2025</v>
      </c>
      <c r="U60" s="516">
        <v>0.36249304285204764</v>
      </c>
      <c r="V60" s="516">
        <v>0.10199122360468821</v>
      </c>
      <c r="W60" s="516">
        <v>2.9780894089060771E-2</v>
      </c>
      <c r="X60" s="516">
        <v>1.1912357635624307E-2</v>
      </c>
      <c r="Y60" s="516">
        <v>1.4890447044530382E-2</v>
      </c>
      <c r="Z60" s="516">
        <v>8.9342682267182314E-3</v>
      </c>
      <c r="AA60" s="516">
        <v>0.5300022334526695</v>
      </c>
      <c r="AB60" s="453"/>
      <c r="AC60" s="453"/>
      <c r="AD60" s="453"/>
    </row>
    <row r="61" spans="1:34" hidden="1" x14ac:dyDescent="0.35">
      <c r="A61" s="827" t="s">
        <v>16</v>
      </c>
      <c r="B61" s="828">
        <v>0.23627178982566321</v>
      </c>
      <c r="C61" s="828">
        <v>8.5636364704906209E-2</v>
      </c>
      <c r="D61" s="828">
        <v>3.882218038541952E-2</v>
      </c>
      <c r="E61" s="828">
        <v>1.941109019270976E-2</v>
      </c>
      <c r="F61" s="828">
        <v>2.9116635289064646E-2</v>
      </c>
      <c r="G61" s="828">
        <v>0</v>
      </c>
      <c r="H61" s="828">
        <v>0.40925806039776336</v>
      </c>
      <c r="I61" s="9"/>
      <c r="J61" s="30"/>
      <c r="K61" s="2"/>
      <c r="R61" s="822"/>
      <c r="S61" s="954" t="s">
        <v>23</v>
      </c>
      <c r="T61" s="448">
        <v>2013</v>
      </c>
      <c r="U61" s="516">
        <v>0.43611853942482925</v>
      </c>
      <c r="V61" s="516">
        <v>0.10647565299861668</v>
      </c>
      <c r="W61" s="516">
        <v>3.584535940478048E-2</v>
      </c>
      <c r="X61" s="516">
        <v>3.584535940478048E-2</v>
      </c>
      <c r="Y61" s="516">
        <v>3.1065978150809755E-2</v>
      </c>
      <c r="Z61" s="516">
        <v>0</v>
      </c>
      <c r="AA61" s="516">
        <v>0.64535088938381679</v>
      </c>
      <c r="AB61" s="453"/>
      <c r="AC61" s="453"/>
      <c r="AD61" s="453"/>
    </row>
    <row r="62" spans="1:34" hidden="1" x14ac:dyDescent="0.35">
      <c r="A62" s="827" t="s">
        <v>11</v>
      </c>
      <c r="B62" s="828">
        <v>0.14672339936476791</v>
      </c>
      <c r="C62" s="828">
        <v>6.6623069557605191E-2</v>
      </c>
      <c r="D62" s="828">
        <v>1.2054173460792631E-2</v>
      </c>
      <c r="E62" s="828">
        <v>5.6252809483698946E-3</v>
      </c>
      <c r="F62" s="828">
        <v>1.2054173460792633E-2</v>
      </c>
      <c r="G62" s="828">
        <v>4.8216693843170519E-3</v>
      </c>
      <c r="H62" s="828">
        <v>0.24790176617664533</v>
      </c>
      <c r="I62" s="9"/>
      <c r="J62" s="30"/>
      <c r="K62" s="2"/>
      <c r="R62" s="2"/>
      <c r="S62" s="954"/>
      <c r="T62" s="448">
        <v>2025</v>
      </c>
      <c r="U62" s="516">
        <v>0.49564717633507227</v>
      </c>
      <c r="V62" s="516">
        <v>0.15662450772188283</v>
      </c>
      <c r="W62" s="516">
        <v>4.0720274099167945E-2</v>
      </c>
      <c r="X62" s="516">
        <v>4.0720274099167945E-2</v>
      </c>
      <c r="Y62" s="516">
        <v>3.5796740513088551E-2</v>
      </c>
      <c r="Z62" s="516">
        <v>0</v>
      </c>
      <c r="AA62" s="516">
        <v>0.76950897276837948</v>
      </c>
      <c r="AB62" s="453"/>
      <c r="AC62" s="453"/>
      <c r="AD62" s="453"/>
    </row>
    <row r="63" spans="1:34" x14ac:dyDescent="0.35">
      <c r="A63" s="827" t="s">
        <v>25</v>
      </c>
      <c r="B63" s="828">
        <v>0.36850822214440498</v>
      </c>
      <c r="C63" s="828">
        <v>0.10133976108971138</v>
      </c>
      <c r="D63" s="828">
        <v>1.9174214647671422E-2</v>
      </c>
      <c r="E63" s="828">
        <v>1.9174214647671422E-2</v>
      </c>
      <c r="F63" s="828">
        <v>3.0275075759481188E-2</v>
      </c>
      <c r="G63" s="828">
        <v>0</v>
      </c>
      <c r="H63" s="828">
        <v>0.53847148828894043</v>
      </c>
      <c r="I63" s="9"/>
      <c r="J63" s="30"/>
      <c r="K63" s="2"/>
      <c r="R63" s="822"/>
      <c r="S63" s="954" t="s">
        <v>21</v>
      </c>
      <c r="T63" s="448">
        <v>2013</v>
      </c>
      <c r="U63" s="516">
        <v>0.43111527077335021</v>
      </c>
      <c r="V63" s="516">
        <v>7.5445172385336295E-2</v>
      </c>
      <c r="W63" s="516">
        <v>7.0868263688769903E-2</v>
      </c>
      <c r="X63" s="516">
        <v>1.7717065922192476E-2</v>
      </c>
      <c r="Y63" s="516">
        <v>3.5434131844384952E-2</v>
      </c>
      <c r="Z63" s="516">
        <v>0</v>
      </c>
      <c r="AA63" s="516">
        <v>0.63057990461403379</v>
      </c>
      <c r="AB63" s="429"/>
      <c r="AC63" s="429"/>
      <c r="AD63" s="429"/>
    </row>
    <row r="64" spans="1:34" x14ac:dyDescent="0.35">
      <c r="A64" s="827" t="s">
        <v>19</v>
      </c>
      <c r="B64" s="828">
        <v>0.19540515295546967</v>
      </c>
      <c r="C64" s="828">
        <v>5.8576434459101386E-2</v>
      </c>
      <c r="D64" s="828">
        <v>1.6053660282243646E-2</v>
      </c>
      <c r="E64" s="828">
        <v>1.6053660282243646E-2</v>
      </c>
      <c r="F64" s="828">
        <v>1.2735903823913292E-2</v>
      </c>
      <c r="G64" s="828">
        <v>0</v>
      </c>
      <c r="H64" s="828">
        <v>0.29882481180297166</v>
      </c>
      <c r="I64" s="9"/>
      <c r="J64" s="30"/>
      <c r="K64" s="2"/>
      <c r="R64" s="2"/>
      <c r="S64" s="954"/>
      <c r="T64" s="448">
        <v>2025</v>
      </c>
      <c r="U64" s="516">
        <v>0.33934482184678116</v>
      </c>
      <c r="V64" s="516">
        <v>5.9385343823186706E-2</v>
      </c>
      <c r="W64" s="516">
        <v>5.5758268459872029E-2</v>
      </c>
      <c r="X64" s="516">
        <v>1.3939567114968007E-2</v>
      </c>
      <c r="Y64" s="516">
        <v>2.7879134229936018E-2</v>
      </c>
      <c r="Z64" s="516">
        <v>0</v>
      </c>
      <c r="AA64" s="516">
        <v>0.49630713547474398</v>
      </c>
      <c r="AB64" s="453"/>
      <c r="AC64" s="453"/>
      <c r="AD64" s="453"/>
    </row>
    <row r="65" spans="1:30" x14ac:dyDescent="0.35">
      <c r="A65" s="827" t="s">
        <v>15</v>
      </c>
      <c r="B65" s="828">
        <v>0.26866958839796823</v>
      </c>
      <c r="C65" s="828">
        <v>9.4179153219923997E-2</v>
      </c>
      <c r="D65" s="828">
        <v>2.2072756194377936E-2</v>
      </c>
      <c r="E65" s="828">
        <v>1.1036378097188966E-2</v>
      </c>
      <c r="F65" s="828">
        <v>1.618668787587715E-2</v>
      </c>
      <c r="G65" s="828">
        <v>1.1036378097188967E-3</v>
      </c>
      <c r="H65" s="828">
        <v>0.41324820159505515</v>
      </c>
      <c r="I65" s="9"/>
      <c r="J65" s="30"/>
      <c r="K65" s="2"/>
      <c r="R65" s="822"/>
      <c r="S65" s="954" t="s">
        <v>13</v>
      </c>
      <c r="T65" s="448">
        <v>2013</v>
      </c>
      <c r="U65" s="516">
        <v>0.33260979240199495</v>
      </c>
      <c r="V65" s="516">
        <v>8.122331130456717E-2</v>
      </c>
      <c r="W65" s="516">
        <v>5.4675582312656706E-2</v>
      </c>
      <c r="X65" s="516">
        <v>1.8225194104218904E-2</v>
      </c>
      <c r="Y65" s="516">
        <v>2.733779115632835E-2</v>
      </c>
      <c r="Z65" s="516">
        <v>1.6402674693797008E-2</v>
      </c>
      <c r="AA65" s="516">
        <v>0.53047434597356302</v>
      </c>
      <c r="AB65" s="453"/>
      <c r="AC65" s="453"/>
      <c r="AD65" s="453"/>
    </row>
    <row r="66" spans="1:30" x14ac:dyDescent="0.35">
      <c r="A66" s="827" t="s">
        <v>29</v>
      </c>
      <c r="B66" s="828">
        <v>0.41868439201574137</v>
      </c>
      <c r="C66" s="828">
        <v>8.164345644306957E-2</v>
      </c>
      <c r="D66" s="828">
        <v>0</v>
      </c>
      <c r="E66" s="828">
        <v>1.6052090832019882E-2</v>
      </c>
      <c r="F66" s="828">
        <v>1.6052090832019882E-2</v>
      </c>
      <c r="G66" s="828">
        <v>6.4208363328079531E-3</v>
      </c>
      <c r="H66" s="828">
        <v>0.53885286645565866</v>
      </c>
      <c r="I66" s="9"/>
      <c r="J66" s="30"/>
      <c r="K66" s="2"/>
      <c r="R66" s="2"/>
      <c r="S66" s="954"/>
      <c r="T66" s="448">
        <v>2025</v>
      </c>
      <c r="U66" s="516">
        <v>0.65952889453992392</v>
      </c>
      <c r="V66" s="516">
        <v>0.16105695604664941</v>
      </c>
      <c r="W66" s="516">
        <v>0.10836820482088791</v>
      </c>
      <c r="X66" s="516">
        <v>3.6122734940295977E-2</v>
      </c>
      <c r="Y66" s="516">
        <v>5.4184102410443968E-2</v>
      </c>
      <c r="Z66" s="516">
        <v>3.2510461446266375E-2</v>
      </c>
      <c r="AA66" s="516">
        <v>1.0517713542044675</v>
      </c>
      <c r="AB66" s="453"/>
      <c r="AC66" s="453"/>
      <c r="AD66" s="453"/>
    </row>
    <row r="67" spans="1:30" x14ac:dyDescent="0.35">
      <c r="A67" s="827" t="s">
        <v>22</v>
      </c>
      <c r="B67" s="828">
        <v>6.1986797623778738E-3</v>
      </c>
      <c r="C67" s="828">
        <v>1.9060940269311961E-3</v>
      </c>
      <c r="D67" s="828">
        <v>5.0925729234126474E-4</v>
      </c>
      <c r="E67" s="828">
        <v>3.2252961848280095E-4</v>
      </c>
      <c r="F67" s="828">
        <v>5.0925729234126474E-4</v>
      </c>
      <c r="G67" s="828">
        <v>0</v>
      </c>
      <c r="H67" s="828">
        <v>9.4458179924744E-3</v>
      </c>
      <c r="I67" s="9"/>
      <c r="J67" s="30"/>
      <c r="K67" s="2"/>
      <c r="R67" s="822"/>
      <c r="S67" s="954" t="s">
        <v>18</v>
      </c>
      <c r="T67" s="448">
        <v>2013</v>
      </c>
      <c r="U67" s="516">
        <v>0.28651801085937356</v>
      </c>
      <c r="V67" s="516">
        <v>0.11052334146293877</v>
      </c>
      <c r="W67" s="516">
        <v>2.3549425550085497E-2</v>
      </c>
      <c r="X67" s="516">
        <v>1.0989731923373233E-2</v>
      </c>
      <c r="Y67" s="516">
        <v>1.6641594055393751E-2</v>
      </c>
      <c r="Z67" s="516">
        <v>4.7098851100170992E-3</v>
      </c>
      <c r="AA67" s="516">
        <v>0.45293198896118181</v>
      </c>
      <c r="AB67" s="453"/>
      <c r="AC67" s="453"/>
      <c r="AD67" s="823"/>
    </row>
    <row r="68" spans="1:30" x14ac:dyDescent="0.35">
      <c r="A68" s="827" t="s">
        <v>12</v>
      </c>
      <c r="B68" s="828">
        <v>0.16563150338532012</v>
      </c>
      <c r="C68" s="828">
        <v>7.7072807255530548E-2</v>
      </c>
      <c r="D68" s="828">
        <v>1.3607583255448582E-2</v>
      </c>
      <c r="E68" s="828">
        <v>1.814344434059811E-2</v>
      </c>
      <c r="F68" s="828">
        <v>5.2253119700922555E-3</v>
      </c>
      <c r="G68" s="828">
        <v>4.0822749766345747E-3</v>
      </c>
      <c r="H68" s="828">
        <v>0.28376292518362423</v>
      </c>
      <c r="I68" s="9"/>
      <c r="J68" s="30"/>
      <c r="K68" s="2"/>
      <c r="R68" s="2"/>
      <c r="S68" s="954"/>
      <c r="T68" s="448">
        <v>2025</v>
      </c>
      <c r="U68" s="516">
        <v>0.23853123661312109</v>
      </c>
      <c r="V68" s="516">
        <v>9.9043695715899077E-2</v>
      </c>
      <c r="W68" s="516">
        <v>1.9596716777285663E-2</v>
      </c>
      <c r="X68" s="516">
        <v>9.1451344960666418E-3</v>
      </c>
      <c r="Y68" s="516">
        <v>1.387447547831825E-2</v>
      </c>
      <c r="Z68" s="516">
        <v>3.919343355457133E-3</v>
      </c>
      <c r="AA68" s="516">
        <v>0.38411060243614781</v>
      </c>
      <c r="AB68" s="453"/>
      <c r="AC68" s="453"/>
      <c r="AD68" s="453"/>
    </row>
    <row r="69" spans="1:30" x14ac:dyDescent="0.35">
      <c r="A69" s="827" t="s">
        <v>14</v>
      </c>
      <c r="B69" s="828">
        <v>0.15402084951629272</v>
      </c>
      <c r="C69" s="828">
        <v>6.1487315486522705E-2</v>
      </c>
      <c r="D69" s="828">
        <v>1.2653701077579094E-2</v>
      </c>
      <c r="E69" s="828">
        <v>8.8575907543053667E-3</v>
      </c>
      <c r="F69" s="828">
        <v>1.5100083285911052E-2</v>
      </c>
      <c r="G69" s="828">
        <v>0</v>
      </c>
      <c r="H69" s="828">
        <v>0.25211954012061094</v>
      </c>
      <c r="I69" s="9"/>
      <c r="J69" s="30"/>
      <c r="K69" s="2"/>
      <c r="R69" s="822"/>
      <c r="S69" s="954" t="s">
        <v>17</v>
      </c>
      <c r="T69" s="448">
        <v>2013</v>
      </c>
      <c r="U69" s="735">
        <v>0.2913081494928525</v>
      </c>
      <c r="V69" s="516">
        <v>9.8321355027826282E-2</v>
      </c>
      <c r="W69" s="516">
        <v>4.8551356306754417E-2</v>
      </c>
      <c r="X69" s="516">
        <v>1.2137839562202187E-2</v>
      </c>
      <c r="Y69" s="516">
        <v>2.4275679124404377E-2</v>
      </c>
      <c r="Z69" s="516">
        <v>0</v>
      </c>
      <c r="AA69" s="516">
        <v>0.47459437951403982</v>
      </c>
      <c r="AB69" s="453"/>
      <c r="AC69" s="453"/>
      <c r="AD69" s="453"/>
    </row>
    <row r="70" spans="1:30" x14ac:dyDescent="0.35">
      <c r="A70" s="827" t="s">
        <v>28</v>
      </c>
      <c r="B70" s="828">
        <v>0.2055041822830394</v>
      </c>
      <c r="C70" s="828">
        <v>5.1745953098869327E-2</v>
      </c>
      <c r="D70" s="828">
        <v>0</v>
      </c>
      <c r="E70" s="828">
        <v>8.4416768929937314E-3</v>
      </c>
      <c r="F70" s="828">
        <v>1.6883353785987463E-2</v>
      </c>
      <c r="G70" s="828">
        <v>3.3766707571974927E-3</v>
      </c>
      <c r="H70" s="828">
        <v>0.28595183681808745</v>
      </c>
      <c r="I70" s="9"/>
      <c r="J70" s="30"/>
      <c r="K70" s="2"/>
      <c r="R70" s="2"/>
      <c r="S70" s="954"/>
      <c r="T70" s="448">
        <v>2025</v>
      </c>
      <c r="U70" s="516">
        <v>0.3990160088028501</v>
      </c>
      <c r="V70" s="516">
        <v>0.12492411558336035</v>
      </c>
      <c r="W70" s="516">
        <v>6.6050449990498444E-2</v>
      </c>
      <c r="X70" s="516">
        <v>1.6625667033452089E-2</v>
      </c>
      <c r="Y70" s="516">
        <v>3.2781466382094157E-2</v>
      </c>
      <c r="Z70" s="516">
        <v>0</v>
      </c>
      <c r="AA70" s="516">
        <v>0.63939770779225513</v>
      </c>
      <c r="AB70" s="453"/>
      <c r="AC70" s="453"/>
      <c r="AD70" s="453"/>
    </row>
    <row r="71" spans="1:30" x14ac:dyDescent="0.35">
      <c r="A71" s="827" t="s">
        <v>26</v>
      </c>
      <c r="B71" s="828">
        <v>0.19019474646326937</v>
      </c>
      <c r="C71" s="828">
        <v>4.6535979281436657E-2</v>
      </c>
      <c r="D71" s="828">
        <v>1.562559533875036E-2</v>
      </c>
      <c r="E71" s="828">
        <v>9.3753572032502161E-3</v>
      </c>
      <c r="F71" s="828">
        <v>1.1979623093041944E-2</v>
      </c>
      <c r="G71" s="828">
        <v>2.9167777965667342E-3</v>
      </c>
      <c r="H71" s="828">
        <v>0.27662807917631527</v>
      </c>
      <c r="I71" s="9"/>
      <c r="J71" s="30"/>
      <c r="K71" s="2"/>
      <c r="R71" s="822"/>
      <c r="S71" s="954" t="s">
        <v>16</v>
      </c>
      <c r="T71" s="448">
        <v>2013</v>
      </c>
      <c r="U71" s="516">
        <v>0.26411503866993924</v>
      </c>
      <c r="V71" s="516">
        <v>9.1238153873919231E-2</v>
      </c>
      <c r="W71" s="516">
        <v>4.3397147333213801E-2</v>
      </c>
      <c r="X71" s="516">
        <v>2.16985736666069E-2</v>
      </c>
      <c r="Y71" s="516">
        <v>3.2547860499910347E-2</v>
      </c>
      <c r="Z71" s="516">
        <v>0</v>
      </c>
      <c r="AA71" s="516">
        <v>0.45299677404358951</v>
      </c>
      <c r="AB71" s="453"/>
      <c r="AC71" s="453"/>
      <c r="AD71" s="453"/>
    </row>
    <row r="72" spans="1:30" x14ac:dyDescent="0.35">
      <c r="A72" s="827" t="s">
        <v>24</v>
      </c>
      <c r="B72" s="828">
        <v>0.18083926013157414</v>
      </c>
      <c r="C72" s="828">
        <v>5.2951926054585992E-2</v>
      </c>
      <c r="D72" s="828">
        <v>7.5349691721489217E-3</v>
      </c>
      <c r="E72" s="828">
        <v>9.904658786919384E-3</v>
      </c>
      <c r="F72" s="828">
        <v>1.8818851695146833E-2</v>
      </c>
      <c r="G72" s="828">
        <v>0</v>
      </c>
      <c r="H72" s="828">
        <v>0.27004966584037526</v>
      </c>
      <c r="I72" s="9"/>
      <c r="J72" s="30"/>
      <c r="K72" s="2"/>
      <c r="R72" s="2"/>
      <c r="S72" s="954"/>
      <c r="T72" s="448">
        <v>2025</v>
      </c>
      <c r="U72" s="516">
        <v>0.23627178982566321</v>
      </c>
      <c r="V72" s="516">
        <v>8.5636364704906209E-2</v>
      </c>
      <c r="W72" s="516">
        <v>3.882218038541952E-2</v>
      </c>
      <c r="X72" s="516">
        <v>1.941109019270976E-2</v>
      </c>
      <c r="Y72" s="516">
        <v>2.9116635289064646E-2</v>
      </c>
      <c r="Z72" s="516">
        <v>0</v>
      </c>
      <c r="AA72" s="516">
        <v>0.40925806039776336</v>
      </c>
      <c r="AB72" s="453"/>
      <c r="AC72" s="453"/>
      <c r="AD72" s="453"/>
    </row>
    <row r="73" spans="1:30" x14ac:dyDescent="0.35">
      <c r="A73" s="827" t="s">
        <v>31</v>
      </c>
      <c r="B73" s="828">
        <v>0.1541622635018241</v>
      </c>
      <c r="C73" s="828">
        <v>2.034941878224078E-2</v>
      </c>
      <c r="D73" s="828">
        <v>0</v>
      </c>
      <c r="E73" s="828">
        <v>5.9104822243004071E-3</v>
      </c>
      <c r="F73" s="828">
        <v>6.3326595260361513E-3</v>
      </c>
      <c r="G73" s="828">
        <v>0</v>
      </c>
      <c r="H73" s="828">
        <v>0.18675482403440144</v>
      </c>
      <c r="I73" s="9"/>
      <c r="J73" s="30"/>
      <c r="K73" s="2"/>
      <c r="R73" s="822"/>
      <c r="S73" s="954" t="s">
        <v>125</v>
      </c>
      <c r="T73" s="448">
        <v>2013</v>
      </c>
      <c r="U73" s="740">
        <v>0.25373341501477159</v>
      </c>
      <c r="V73" s="740">
        <v>6.6760485099831957E-2</v>
      </c>
      <c r="W73" s="740">
        <v>2.8576493211027038E-2</v>
      </c>
      <c r="X73" s="740">
        <v>1.2861392295970589E-2</v>
      </c>
      <c r="Y73" s="740">
        <v>1.8428871659998333E-2</v>
      </c>
      <c r="Z73" s="740">
        <v>3.4481290793055043E-3</v>
      </c>
      <c r="AA73" s="516">
        <v>0.3838087863609051</v>
      </c>
      <c r="AB73" s="453"/>
      <c r="AC73" s="453"/>
      <c r="AD73" s="453"/>
    </row>
    <row r="74" spans="1:30" x14ac:dyDescent="0.35">
      <c r="A74" s="827" t="s">
        <v>125</v>
      </c>
      <c r="B74" s="829">
        <v>0.30439590606112116</v>
      </c>
      <c r="C74" s="829">
        <v>7.7437221410211962E-2</v>
      </c>
      <c r="D74" s="829">
        <v>3.1548840250996996E-2</v>
      </c>
      <c r="E74" s="829">
        <v>1.5517035478423008E-2</v>
      </c>
      <c r="F74" s="829">
        <v>2.2207386345868989E-2</v>
      </c>
      <c r="G74" s="829">
        <v>4.5088064301264073E-3</v>
      </c>
      <c r="H74" s="829">
        <v>0.45561519597674849</v>
      </c>
      <c r="I74" s="9"/>
      <c r="J74" s="30"/>
      <c r="K74" s="2"/>
      <c r="R74" s="2"/>
      <c r="S74" s="954"/>
      <c r="T74" s="448">
        <v>2025</v>
      </c>
      <c r="U74" s="740">
        <v>0.30439590606112121</v>
      </c>
      <c r="V74" s="740">
        <v>7.7437221410211948E-2</v>
      </c>
      <c r="W74" s="740">
        <v>3.1548840250996989E-2</v>
      </c>
      <c r="X74" s="740">
        <v>1.5517035478423008E-2</v>
      </c>
      <c r="Y74" s="740">
        <v>2.2207386345868982E-2</v>
      </c>
      <c r="Z74" s="740">
        <v>4.5088064301264073E-3</v>
      </c>
      <c r="AA74" s="516">
        <v>0.45561519597674854</v>
      </c>
      <c r="AB74" s="453"/>
      <c r="AC74" s="453"/>
      <c r="AD74" s="453"/>
    </row>
    <row r="75" spans="1:30" x14ac:dyDescent="0.35">
      <c r="A75" s="12"/>
      <c r="B75" s="64"/>
      <c r="C75" s="7"/>
      <c r="D75" s="7"/>
      <c r="E75" s="7"/>
      <c r="F75" s="7"/>
      <c r="G75" s="7"/>
      <c r="H75" s="64"/>
      <c r="R75" s="822"/>
      <c r="S75" s="954" t="s">
        <v>11</v>
      </c>
      <c r="T75" s="448">
        <v>2013</v>
      </c>
      <c r="U75" s="516">
        <v>0.20378784204525005</v>
      </c>
      <c r="V75" s="516">
        <v>9.0596816376204231E-2</v>
      </c>
      <c r="W75" s="516">
        <v>1.6749685647554798E-2</v>
      </c>
      <c r="X75" s="516">
        <v>7.8130950504806135E-3</v>
      </c>
      <c r="Y75" s="516">
        <v>1.6742346536744172E-2</v>
      </c>
      <c r="Z75" s="516">
        <v>6.696938614697669E-3</v>
      </c>
      <c r="AA75" s="516">
        <v>0.34238672427093153</v>
      </c>
    </row>
    <row r="76" spans="1:30" ht="18.5" x14ac:dyDescent="0.45">
      <c r="A76" s="21"/>
      <c r="B76" s="31"/>
      <c r="C76" s="31"/>
      <c r="D76" s="31"/>
      <c r="E76" s="31"/>
      <c r="F76" s="31"/>
      <c r="G76" s="31"/>
      <c r="H76" s="31"/>
      <c r="I76" s="64"/>
      <c r="J76" s="7"/>
      <c r="O76" s="427"/>
      <c r="P76" s="427"/>
      <c r="Q76" s="22"/>
      <c r="R76" s="2"/>
      <c r="S76" s="954"/>
      <c r="T76" s="448">
        <v>2025</v>
      </c>
      <c r="U76" s="516">
        <v>0.14672339936476791</v>
      </c>
      <c r="V76" s="516">
        <v>6.6623069557605191E-2</v>
      </c>
      <c r="W76" s="516">
        <v>1.2054173460792631E-2</v>
      </c>
      <c r="X76" s="516">
        <v>5.6252809483698946E-3</v>
      </c>
      <c r="Y76" s="516">
        <v>1.2054173460792633E-2</v>
      </c>
      <c r="Z76" s="516">
        <v>4.8216693843170519E-3</v>
      </c>
      <c r="AA76" s="516">
        <v>0.24790176617664531</v>
      </c>
    </row>
    <row r="77" spans="1:30" x14ac:dyDescent="0.35">
      <c r="O77" s="427"/>
      <c r="P77" s="427"/>
      <c r="Q77" s="22"/>
      <c r="R77" s="822"/>
      <c r="S77" s="448" t="s">
        <v>25</v>
      </c>
      <c r="T77" s="448">
        <v>2013</v>
      </c>
      <c r="U77" s="516">
        <v>0.23729936830079326</v>
      </c>
      <c r="V77" s="516">
        <v>5.813834523369435E-2</v>
      </c>
      <c r="W77" s="516">
        <v>9.7520288342791746E-3</v>
      </c>
      <c r="X77" s="516">
        <v>1.560324613484668E-2</v>
      </c>
      <c r="Y77" s="516">
        <v>1.9504057668558349E-2</v>
      </c>
      <c r="Z77" s="516">
        <v>0</v>
      </c>
      <c r="AA77" s="516">
        <v>0.34029704617217182</v>
      </c>
    </row>
    <row r="78" spans="1:30" x14ac:dyDescent="0.35">
      <c r="O78" s="427"/>
      <c r="P78" s="427"/>
      <c r="Q78" s="428"/>
      <c r="R78" s="2"/>
      <c r="S78" s="448"/>
      <c r="T78" s="448">
        <v>2025</v>
      </c>
      <c r="U78" s="516">
        <v>0.36850822214440498</v>
      </c>
      <c r="V78" s="516">
        <v>0.10133976108971138</v>
      </c>
      <c r="W78" s="516">
        <v>1.9174214647671422E-2</v>
      </c>
      <c r="X78" s="516">
        <v>1.9174214647671422E-2</v>
      </c>
      <c r="Y78" s="516">
        <v>3.0275075759481188E-2</v>
      </c>
      <c r="Z78" s="516">
        <v>0</v>
      </c>
      <c r="AA78" s="516">
        <v>0.53847148828894043</v>
      </c>
    </row>
    <row r="79" spans="1:30" x14ac:dyDescent="0.35">
      <c r="C79" s="31"/>
      <c r="D79" s="31"/>
      <c r="E79" s="31"/>
      <c r="F79" s="31"/>
      <c r="G79" s="31"/>
      <c r="H79" s="31"/>
      <c r="O79" s="427"/>
      <c r="P79" s="427"/>
      <c r="Q79" s="428"/>
      <c r="R79" s="822"/>
      <c r="S79" s="448" t="s">
        <v>19</v>
      </c>
      <c r="T79" s="448">
        <v>2013</v>
      </c>
      <c r="U79" s="516">
        <v>0.22496508801246287</v>
      </c>
      <c r="V79" s="516">
        <v>6.1813463539944005E-2</v>
      </c>
      <c r="W79" s="516">
        <v>1.8482179429219758E-2</v>
      </c>
      <c r="X79" s="516">
        <v>1.8482179429219758E-2</v>
      </c>
      <c r="Y79" s="516">
        <v>1.4662529013847674E-2</v>
      </c>
      <c r="Z79" s="516">
        <v>0</v>
      </c>
      <c r="AA79" s="516">
        <v>0.33840543942469409</v>
      </c>
    </row>
    <row r="80" spans="1:30" x14ac:dyDescent="0.35">
      <c r="C80" s="31"/>
      <c r="D80" s="31"/>
      <c r="E80" s="31"/>
      <c r="F80" s="31"/>
      <c r="G80" s="31"/>
      <c r="H80" s="31"/>
      <c r="I80" s="31"/>
      <c r="J80" s="31"/>
      <c r="O80" s="427"/>
      <c r="P80" s="427"/>
      <c r="Q80" s="428"/>
      <c r="R80" s="2"/>
      <c r="S80" s="448"/>
      <c r="T80" s="448">
        <v>2025</v>
      </c>
      <c r="U80" s="516">
        <v>0.19540515295546967</v>
      </c>
      <c r="V80" s="516">
        <v>5.8576434459101386E-2</v>
      </c>
      <c r="W80" s="516">
        <v>1.6053660282243646E-2</v>
      </c>
      <c r="X80" s="516">
        <v>1.6053660282243646E-2</v>
      </c>
      <c r="Y80" s="516">
        <v>1.2735903823913292E-2</v>
      </c>
      <c r="Z80" s="516">
        <v>0</v>
      </c>
      <c r="AA80" s="516">
        <v>0.2988248118029716</v>
      </c>
    </row>
    <row r="81" spans="2:27" x14ac:dyDescent="0.35">
      <c r="B81" s="31"/>
      <c r="C81" s="31"/>
      <c r="D81" s="31"/>
      <c r="E81" s="31"/>
      <c r="F81" s="31"/>
      <c r="G81" s="31"/>
      <c r="H81" s="31"/>
      <c r="O81" s="427"/>
      <c r="P81" s="427"/>
      <c r="Q81" s="428"/>
      <c r="R81" s="822"/>
      <c r="S81" s="954" t="s">
        <v>15</v>
      </c>
      <c r="T81" s="448">
        <v>2013</v>
      </c>
      <c r="U81" s="516">
        <v>0.21508332584110071</v>
      </c>
      <c r="V81" s="516">
        <v>7.376768806963889E-2</v>
      </c>
      <c r="W81" s="516">
        <v>1.7678081575980883E-2</v>
      </c>
      <c r="X81" s="516">
        <v>8.8390407879904414E-3</v>
      </c>
      <c r="Y81" s="516">
        <v>1.2963926489052643E-2</v>
      </c>
      <c r="Z81" s="516">
        <v>8.8390407879904414E-4</v>
      </c>
      <c r="AA81" s="516">
        <v>0.3292159668425626</v>
      </c>
    </row>
    <row r="82" spans="2:27" x14ac:dyDescent="0.35">
      <c r="O82" s="427"/>
      <c r="P82" s="427"/>
      <c r="Q82" s="428"/>
      <c r="R82" s="2"/>
      <c r="S82" s="954"/>
      <c r="T82" s="448">
        <v>2025</v>
      </c>
      <c r="U82" s="516">
        <v>0.26866958839796823</v>
      </c>
      <c r="V82" s="516">
        <v>9.4179153219923997E-2</v>
      </c>
      <c r="W82" s="516">
        <v>2.2072756194377936E-2</v>
      </c>
      <c r="X82" s="516">
        <v>1.1036378097188966E-2</v>
      </c>
      <c r="Y82" s="516">
        <v>1.618668787587715E-2</v>
      </c>
      <c r="Z82" s="516">
        <v>1.1036378097188967E-3</v>
      </c>
      <c r="AA82" s="516">
        <v>0.41324820159505515</v>
      </c>
    </row>
    <row r="83" spans="2:27" x14ac:dyDescent="0.35">
      <c r="G83" s="32"/>
      <c r="O83" s="427"/>
      <c r="P83" s="427"/>
      <c r="Q83" s="428"/>
      <c r="R83" s="822"/>
      <c r="S83" s="954" t="s">
        <v>29</v>
      </c>
      <c r="T83" s="448">
        <v>2013</v>
      </c>
      <c r="U83" s="516">
        <v>0.21637842937200005</v>
      </c>
      <c r="V83" s="516">
        <v>4.0286958818699252E-2</v>
      </c>
      <c r="W83" s="516">
        <v>0</v>
      </c>
      <c r="X83" s="516">
        <v>8.2994466060493152E-3</v>
      </c>
      <c r="Y83" s="516">
        <v>8.2994466060493169E-3</v>
      </c>
      <c r="Z83" s="516">
        <v>3.3197786424197261E-3</v>
      </c>
      <c r="AA83" s="516">
        <v>0.27658406004521763</v>
      </c>
    </row>
    <row r="84" spans="2:27" x14ac:dyDescent="0.35">
      <c r="G84" s="32"/>
      <c r="O84" s="427"/>
      <c r="P84" s="427"/>
      <c r="Q84" s="428"/>
      <c r="R84" s="2"/>
      <c r="S84" s="954"/>
      <c r="T84" s="448">
        <v>2025</v>
      </c>
      <c r="U84" s="516">
        <v>0.41868439201574137</v>
      </c>
      <c r="V84" s="516">
        <v>8.164345644306957E-2</v>
      </c>
      <c r="W84" s="516">
        <v>0</v>
      </c>
      <c r="X84" s="516">
        <v>1.6052090832019882E-2</v>
      </c>
      <c r="Y84" s="516">
        <v>1.6052090832019882E-2</v>
      </c>
      <c r="Z84" s="516">
        <v>6.4208363328079531E-3</v>
      </c>
      <c r="AA84" s="516">
        <v>0.53885286645565866</v>
      </c>
    </row>
    <row r="85" spans="2:27" x14ac:dyDescent="0.35">
      <c r="G85" s="32"/>
      <c r="O85" s="427"/>
      <c r="P85" s="427"/>
      <c r="Q85" s="428"/>
      <c r="R85" s="822"/>
      <c r="S85" s="448" t="s">
        <v>22</v>
      </c>
      <c r="T85" s="448">
        <v>2013</v>
      </c>
      <c r="U85" s="516">
        <v>0.18819818749349776</v>
      </c>
      <c r="V85" s="516">
        <v>4.0937810734523107E-2</v>
      </c>
      <c r="W85" s="516">
        <v>1.5468344177547761E-2</v>
      </c>
      <c r="X85" s="516">
        <v>9.7966179791135824E-3</v>
      </c>
      <c r="Y85" s="516">
        <v>1.546834417754776E-2</v>
      </c>
      <c r="Z85" s="516">
        <v>0</v>
      </c>
      <c r="AA85" s="516">
        <v>0.26986930456222996</v>
      </c>
    </row>
    <row r="86" spans="2:27" x14ac:dyDescent="0.35">
      <c r="G86" s="32"/>
      <c r="O86" s="427"/>
      <c r="P86" s="427"/>
      <c r="Q86" s="428"/>
      <c r="R86" s="2"/>
      <c r="S86" s="448"/>
      <c r="T86" s="448">
        <v>2025</v>
      </c>
      <c r="U86" s="516">
        <v>6.1986797623778738E-3</v>
      </c>
      <c r="V86" s="516">
        <v>1.9060940269311961E-3</v>
      </c>
      <c r="W86" s="516">
        <v>5.0925729234126474E-4</v>
      </c>
      <c r="X86" s="516">
        <v>3.2252961848280095E-4</v>
      </c>
      <c r="Y86" s="516">
        <v>5.0925729234126474E-4</v>
      </c>
      <c r="Z86" s="516">
        <v>0</v>
      </c>
      <c r="AA86" s="516">
        <v>9.4458179924744017E-3</v>
      </c>
    </row>
    <row r="87" spans="2:27" x14ac:dyDescent="0.35">
      <c r="G87" s="9"/>
      <c r="O87" s="427"/>
      <c r="P87" s="427"/>
      <c r="Q87" s="428"/>
      <c r="R87" s="822"/>
      <c r="S87" s="448" t="s">
        <v>12</v>
      </c>
      <c r="T87" s="448">
        <v>2013</v>
      </c>
      <c r="U87" s="516">
        <v>0.15517232954099469</v>
      </c>
      <c r="V87" s="516">
        <v>7.0864864688187423E-2</v>
      </c>
      <c r="W87" s="516">
        <v>1.275389009925984E-2</v>
      </c>
      <c r="X87" s="516">
        <v>1.7005186799013122E-2</v>
      </c>
      <c r="Y87" s="516">
        <v>4.8974937981157785E-3</v>
      </c>
      <c r="Z87" s="516">
        <v>3.5710892277927555E-3</v>
      </c>
      <c r="AA87" s="516">
        <v>0.26426485415336359</v>
      </c>
    </row>
    <row r="88" spans="2:27" x14ac:dyDescent="0.35">
      <c r="G88" s="32"/>
      <c r="O88" s="427"/>
      <c r="P88" s="427"/>
      <c r="Q88" s="428"/>
      <c r="R88" s="2"/>
      <c r="S88" s="448"/>
      <c r="T88" s="448">
        <v>2025</v>
      </c>
      <c r="U88" s="516">
        <v>0.16563150338532012</v>
      </c>
      <c r="V88" s="516">
        <v>7.7072807255530548E-2</v>
      </c>
      <c r="W88" s="516">
        <v>1.3607583255448582E-2</v>
      </c>
      <c r="X88" s="516">
        <v>1.814344434059811E-2</v>
      </c>
      <c r="Y88" s="516">
        <v>5.2253119700922555E-3</v>
      </c>
      <c r="Z88" s="516">
        <v>4.0822749766345747E-3</v>
      </c>
      <c r="AA88" s="516">
        <v>0.28376292518362417</v>
      </c>
    </row>
    <row r="89" spans="2:27" x14ac:dyDescent="0.35">
      <c r="G89" s="32"/>
      <c r="O89" s="427"/>
      <c r="P89" s="427"/>
      <c r="Q89" s="428"/>
      <c r="R89" s="822"/>
      <c r="S89" s="448" t="s">
        <v>14</v>
      </c>
      <c r="T89" s="448">
        <v>2013</v>
      </c>
      <c r="U89" s="516">
        <v>0.14994018775599496</v>
      </c>
      <c r="V89" s="516">
        <v>5.9518715647008197E-2</v>
      </c>
      <c r="W89" s="516">
        <v>1.2318451179427783E-2</v>
      </c>
      <c r="X89" s="516">
        <v>8.6229158255994483E-3</v>
      </c>
      <c r="Y89" s="516">
        <v>1.4700018407450489E-2</v>
      </c>
      <c r="Z89" s="516">
        <v>0</v>
      </c>
      <c r="AA89" s="516">
        <v>0.2451002888154809</v>
      </c>
    </row>
    <row r="90" spans="2:27" x14ac:dyDescent="0.35">
      <c r="G90" s="32"/>
      <c r="O90" s="427"/>
      <c r="P90" s="427"/>
      <c r="Q90" s="428"/>
      <c r="R90" s="2"/>
      <c r="S90" s="448"/>
      <c r="T90" s="448">
        <v>2025</v>
      </c>
      <c r="U90" s="516">
        <v>0.15402084951629272</v>
      </c>
      <c r="V90" s="516">
        <v>6.1487315486522705E-2</v>
      </c>
      <c r="W90" s="516">
        <v>1.2653701077579094E-2</v>
      </c>
      <c r="X90" s="516">
        <v>8.8575907543053667E-3</v>
      </c>
      <c r="Y90" s="516">
        <v>1.5100083285911052E-2</v>
      </c>
      <c r="Z90" s="516">
        <v>0</v>
      </c>
      <c r="AA90" s="516">
        <v>0.25211954012061094</v>
      </c>
    </row>
    <row r="91" spans="2:27" x14ac:dyDescent="0.35">
      <c r="G91" s="32"/>
      <c r="O91" s="427"/>
      <c r="P91" s="427"/>
      <c r="Q91" s="428"/>
      <c r="R91" s="822"/>
      <c r="S91" s="448" t="s">
        <v>28</v>
      </c>
      <c r="T91" s="448">
        <v>2013</v>
      </c>
      <c r="U91" s="516">
        <v>0.14874173741316807</v>
      </c>
      <c r="V91" s="516">
        <v>3.5236917593179512E-2</v>
      </c>
      <c r="W91" s="516">
        <v>0</v>
      </c>
      <c r="X91" s="516">
        <v>6.1126741402671809E-3</v>
      </c>
      <c r="Y91" s="516">
        <v>1.2225348280534362E-2</v>
      </c>
      <c r="Z91" s="516">
        <v>2.4450696561068722E-3</v>
      </c>
      <c r="AA91" s="516">
        <v>0.20476174708325601</v>
      </c>
    </row>
    <row r="92" spans="2:27" x14ac:dyDescent="0.35">
      <c r="G92" s="32"/>
      <c r="O92" s="427"/>
      <c r="P92" s="427"/>
      <c r="Q92" s="428"/>
      <c r="R92" s="2"/>
      <c r="S92" s="448"/>
      <c r="T92" s="448">
        <v>2025</v>
      </c>
      <c r="U92" s="516">
        <v>0.2055041822830394</v>
      </c>
      <c r="V92" s="516">
        <v>5.1745953098869327E-2</v>
      </c>
      <c r="W92" s="516">
        <v>0</v>
      </c>
      <c r="X92" s="516">
        <v>8.4416768929937314E-3</v>
      </c>
      <c r="Y92" s="516">
        <v>1.6883353785987463E-2</v>
      </c>
      <c r="Z92" s="516">
        <v>3.3766707571974927E-3</v>
      </c>
      <c r="AA92" s="516">
        <v>0.28595183681808745</v>
      </c>
    </row>
    <row r="93" spans="2:27" x14ac:dyDescent="0.35">
      <c r="G93" s="32"/>
      <c r="O93" s="427"/>
      <c r="P93" s="427"/>
      <c r="Q93" s="428"/>
      <c r="R93" s="822"/>
      <c r="S93" s="448" t="s">
        <v>26</v>
      </c>
      <c r="T93" s="448">
        <v>2013</v>
      </c>
      <c r="U93" s="516">
        <v>0.15956032078524277</v>
      </c>
      <c r="V93" s="516">
        <v>3.904048834301229E-2</v>
      </c>
      <c r="W93" s="516">
        <v>1.3108800590309133E-2</v>
      </c>
      <c r="X93" s="516">
        <v>7.8652803541854784E-3</v>
      </c>
      <c r="Y93" s="516">
        <v>1.0050080452570335E-2</v>
      </c>
      <c r="Z93" s="516">
        <v>2.4469761101910386E-3</v>
      </c>
      <c r="AA93" s="516">
        <v>0.23207194663551106</v>
      </c>
    </row>
    <row r="94" spans="2:27" x14ac:dyDescent="0.35">
      <c r="G94" s="32"/>
      <c r="O94" s="427"/>
      <c r="P94" s="427"/>
      <c r="Q94" s="428"/>
      <c r="R94" s="2"/>
      <c r="S94" s="448"/>
      <c r="T94" s="448">
        <v>2025</v>
      </c>
      <c r="U94" s="753">
        <v>0.19019474646326937</v>
      </c>
      <c r="V94" s="753">
        <v>4.6535979281436657E-2</v>
      </c>
      <c r="W94" s="753">
        <v>1.562559533875036E-2</v>
      </c>
      <c r="X94" s="753">
        <v>9.3753572032502161E-3</v>
      </c>
      <c r="Y94" s="753">
        <v>1.1979623093041944E-2</v>
      </c>
      <c r="Z94" s="753">
        <v>2.9167777965667342E-3</v>
      </c>
      <c r="AA94" s="516">
        <v>0.27662807917631532</v>
      </c>
    </row>
    <row r="95" spans="2:27" x14ac:dyDescent="0.35">
      <c r="G95" s="32"/>
      <c r="O95" s="427"/>
      <c r="P95" s="427"/>
      <c r="Q95" s="428"/>
      <c r="R95" s="822"/>
      <c r="S95" s="448" t="s">
        <v>24</v>
      </c>
      <c r="T95" s="448">
        <v>2013</v>
      </c>
      <c r="U95" s="516">
        <v>7.6071340208097735E-2</v>
      </c>
      <c r="V95" s="516">
        <v>1.7310648858482013E-2</v>
      </c>
      <c r="W95" s="516">
        <v>3.1696391753374058E-3</v>
      </c>
      <c r="X95" s="516">
        <v>2.9583298969815788E-3</v>
      </c>
      <c r="Y95" s="516">
        <v>7.9162858141847807E-3</v>
      </c>
      <c r="Z95" s="516">
        <v>0</v>
      </c>
      <c r="AA95" s="516">
        <v>0.10742624395308351</v>
      </c>
    </row>
    <row r="96" spans="2:27" x14ac:dyDescent="0.35">
      <c r="G96" s="32"/>
      <c r="O96" s="427"/>
      <c r="P96" s="427"/>
      <c r="Q96" s="428"/>
      <c r="R96" s="2"/>
      <c r="S96" s="448"/>
      <c r="T96" s="448">
        <v>2025</v>
      </c>
      <c r="U96" s="753">
        <v>0.18083926013157414</v>
      </c>
      <c r="V96" s="753">
        <v>5.2951926054585992E-2</v>
      </c>
      <c r="W96" s="753">
        <v>7.5349691721489217E-3</v>
      </c>
      <c r="X96" s="753">
        <v>9.904658786919384E-3</v>
      </c>
      <c r="Y96" s="753">
        <v>1.8818851695146833E-2</v>
      </c>
      <c r="Z96" s="753">
        <v>0</v>
      </c>
      <c r="AA96" s="516">
        <v>0.27004966584037526</v>
      </c>
    </row>
    <row r="97" spans="7:27" x14ac:dyDescent="0.35">
      <c r="G97" s="32"/>
      <c r="R97" s="822"/>
      <c r="S97" s="448" t="s">
        <v>31</v>
      </c>
      <c r="T97" s="448">
        <v>2013</v>
      </c>
      <c r="U97" s="516">
        <v>9.7757846915806731E-2</v>
      </c>
      <c r="V97" s="516">
        <v>1.3167961721156521E-2</v>
      </c>
      <c r="W97" s="516"/>
      <c r="X97" s="516">
        <v>3.749616046085738E-3</v>
      </c>
      <c r="Y97" s="516">
        <v>4.4459733117873743E-3</v>
      </c>
      <c r="Z97" s="516">
        <v>0</v>
      </c>
      <c r="AA97" s="516">
        <v>0.11912139799483637</v>
      </c>
    </row>
    <row r="98" spans="7:27" x14ac:dyDescent="0.35">
      <c r="G98" s="32"/>
      <c r="R98" s="427"/>
      <c r="S98" s="448"/>
      <c r="T98" s="448">
        <v>2025</v>
      </c>
      <c r="U98" s="753">
        <v>0.1541622635018241</v>
      </c>
      <c r="V98" s="753">
        <v>2.034941878224078E-2</v>
      </c>
      <c r="W98" s="753">
        <v>0</v>
      </c>
      <c r="X98" s="753">
        <v>5.9104822243004071E-3</v>
      </c>
      <c r="Y98" s="753">
        <v>6.3326595260361513E-3</v>
      </c>
      <c r="Z98" s="753">
        <v>0</v>
      </c>
      <c r="AA98" s="516">
        <v>0.18675482403440144</v>
      </c>
    </row>
    <row r="99" spans="7:27" ht="18.5" x14ac:dyDescent="0.45">
      <c r="G99" s="32"/>
      <c r="R99" s="792"/>
      <c r="S99" s="11"/>
      <c r="T99" s="793"/>
      <c r="U99" s="11"/>
      <c r="V99" s="11"/>
      <c r="W99" s="11"/>
      <c r="X99" s="11"/>
      <c r="Y99" s="11"/>
      <c r="Z99" s="11"/>
    </row>
    <row r="100" spans="7:27" ht="18.5" x14ac:dyDescent="0.45">
      <c r="G100" s="32"/>
      <c r="R100" s="792"/>
      <c r="S100" s="999"/>
      <c r="T100" s="999"/>
      <c r="U100" s="999"/>
      <c r="V100" s="999"/>
      <c r="W100" s="999"/>
      <c r="X100" s="999"/>
      <c r="Y100" s="999"/>
      <c r="Z100" s="999"/>
      <c r="AA100" s="999"/>
    </row>
    <row r="101" spans="7:27" x14ac:dyDescent="0.35">
      <c r="G101" s="32"/>
      <c r="S101" s="999"/>
      <c r="T101" s="999"/>
      <c r="U101" s="999"/>
      <c r="V101" s="999"/>
      <c r="W101" s="999"/>
      <c r="X101" s="999"/>
      <c r="Y101" s="999"/>
      <c r="Z101" s="999"/>
      <c r="AA101" s="999"/>
    </row>
    <row r="102" spans="7:27" ht="18.5" x14ac:dyDescent="0.45">
      <c r="G102" s="32"/>
      <c r="R102" s="792"/>
      <c r="S102" s="983"/>
      <c r="U102" s="1"/>
      <c r="V102" s="1"/>
      <c r="W102" s="1"/>
      <c r="X102" s="1"/>
      <c r="Y102" s="1"/>
      <c r="Z102" s="1"/>
      <c r="AA102" s="1"/>
    </row>
    <row r="103" spans="7:27" ht="18.5" x14ac:dyDescent="0.45">
      <c r="G103" s="32"/>
      <c r="R103" s="792"/>
      <c r="S103" s="983"/>
      <c r="U103" s="1"/>
      <c r="V103" s="1"/>
      <c r="W103" s="1"/>
      <c r="X103" s="1"/>
      <c r="Y103" s="1"/>
      <c r="Z103" s="1"/>
      <c r="AA103" s="1"/>
    </row>
    <row r="104" spans="7:27" ht="18.5" x14ac:dyDescent="0.45">
      <c r="G104" s="32"/>
      <c r="R104" s="792"/>
      <c r="S104" s="983"/>
      <c r="U104" s="1"/>
      <c r="V104" s="1"/>
      <c r="W104" s="1"/>
      <c r="X104" s="1"/>
      <c r="Y104" s="1"/>
      <c r="Z104" s="1"/>
      <c r="AA104" s="1"/>
    </row>
    <row r="105" spans="7:27" ht="18.5" x14ac:dyDescent="0.45">
      <c r="G105" s="32"/>
      <c r="R105" s="792"/>
      <c r="S105" s="944"/>
      <c r="U105" s="1"/>
      <c r="V105" s="1"/>
      <c r="W105" s="1"/>
      <c r="X105" s="1"/>
      <c r="Y105" s="1"/>
      <c r="Z105" s="1"/>
      <c r="AA105" s="1"/>
    </row>
    <row r="106" spans="7:27" ht="18.5" x14ac:dyDescent="0.45">
      <c r="G106" s="32"/>
      <c r="R106" s="792"/>
      <c r="S106" s="944"/>
      <c r="U106" s="1"/>
      <c r="V106" s="1"/>
      <c r="W106" s="1"/>
      <c r="X106" s="1"/>
      <c r="Y106" s="1"/>
      <c r="Z106" s="1"/>
      <c r="AA106" s="1"/>
    </row>
    <row r="107" spans="7:27" ht="18.5" x14ac:dyDescent="0.45">
      <c r="G107" s="32"/>
      <c r="R107" s="792"/>
      <c r="S107" s="944"/>
      <c r="U107" s="1"/>
      <c r="V107" s="1"/>
      <c r="W107" s="1"/>
      <c r="X107" s="1"/>
      <c r="Y107" s="1"/>
      <c r="Z107" s="1"/>
      <c r="AA107" s="1"/>
    </row>
    <row r="108" spans="7:27" ht="18.5" x14ac:dyDescent="0.45">
      <c r="G108" s="32"/>
      <c r="R108" s="792"/>
      <c r="S108" s="944"/>
      <c r="U108" s="1"/>
      <c r="V108" s="1"/>
      <c r="W108" s="1"/>
      <c r="X108" s="1"/>
      <c r="Y108" s="1"/>
      <c r="Z108" s="1"/>
      <c r="AA108" s="1"/>
    </row>
    <row r="109" spans="7:27" ht="18.5" x14ac:dyDescent="0.45">
      <c r="G109" s="32"/>
      <c r="R109" s="792"/>
      <c r="S109" s="944"/>
      <c r="U109" s="1"/>
      <c r="V109" s="1"/>
      <c r="W109" s="1"/>
      <c r="X109" s="1"/>
      <c r="Y109" s="1"/>
      <c r="Z109" s="1"/>
      <c r="AA109" s="1"/>
    </row>
    <row r="110" spans="7:27" ht="18.5" x14ac:dyDescent="0.45">
      <c r="G110" s="32"/>
      <c r="R110" s="792"/>
      <c r="S110" s="944"/>
      <c r="U110" s="1"/>
      <c r="V110" s="1"/>
      <c r="W110" s="1"/>
      <c r="X110" s="1"/>
      <c r="Y110" s="1"/>
      <c r="Z110" s="1"/>
      <c r="AA110" s="1"/>
    </row>
    <row r="111" spans="7:27" ht="18.5" x14ac:dyDescent="0.45">
      <c r="G111" s="32"/>
      <c r="R111" s="792"/>
      <c r="S111" s="944"/>
      <c r="U111" s="1"/>
      <c r="V111" s="1"/>
      <c r="W111" s="1"/>
      <c r="X111" s="1"/>
      <c r="Y111" s="1"/>
      <c r="Z111" s="1"/>
      <c r="AA111" s="1"/>
    </row>
    <row r="112" spans="7:27" ht="18.5" x14ac:dyDescent="0.45">
      <c r="G112" s="32"/>
      <c r="R112" s="792"/>
      <c r="S112" s="944"/>
      <c r="U112" s="1"/>
      <c r="V112" s="1"/>
      <c r="W112" s="1"/>
      <c r="X112" s="1"/>
      <c r="Y112" s="1"/>
      <c r="Z112" s="1"/>
      <c r="AA112" s="1"/>
    </row>
    <row r="113" spans="1:34" ht="18.5" x14ac:dyDescent="0.45">
      <c r="G113" s="32"/>
      <c r="R113" s="792"/>
      <c r="S113" s="944"/>
      <c r="U113" s="1"/>
      <c r="V113" s="1"/>
      <c r="W113" s="1"/>
      <c r="X113" s="1"/>
      <c r="Y113" s="1"/>
      <c r="Z113" s="1"/>
      <c r="AA113" s="1"/>
    </row>
    <row r="114" spans="1:34" ht="18.5" x14ac:dyDescent="0.45">
      <c r="G114" s="32"/>
      <c r="R114" s="792"/>
      <c r="S114" s="944"/>
      <c r="U114" s="1"/>
      <c r="V114" s="1"/>
      <c r="W114" s="1"/>
      <c r="X114" s="1"/>
      <c r="Y114" s="1"/>
      <c r="Z114" s="1"/>
      <c r="AA114" s="1"/>
    </row>
    <row r="115" spans="1:34" ht="18.5" x14ac:dyDescent="0.45">
      <c r="G115" s="32"/>
      <c r="R115" s="792"/>
      <c r="S115" s="944"/>
      <c r="U115" s="1"/>
      <c r="V115" s="1"/>
      <c r="W115" s="1"/>
      <c r="X115" s="1"/>
      <c r="Y115" s="1"/>
      <c r="Z115" s="1"/>
      <c r="AA115" s="1"/>
    </row>
    <row r="116" spans="1:34" ht="18.5" x14ac:dyDescent="0.45">
      <c r="G116" s="32"/>
      <c r="R116" s="792"/>
      <c r="S116" s="944"/>
      <c r="U116" s="1"/>
      <c r="V116" s="1"/>
      <c r="W116" s="1"/>
      <c r="X116" s="1"/>
      <c r="Y116" s="1"/>
      <c r="Z116" s="1"/>
      <c r="AA116" s="1"/>
    </row>
    <row r="117" spans="1:34" ht="18.5" x14ac:dyDescent="0.45">
      <c r="G117" s="32"/>
      <c r="R117" s="792"/>
      <c r="S117" s="944"/>
      <c r="U117" s="1"/>
      <c r="V117" s="1"/>
      <c r="W117" s="1"/>
      <c r="X117" s="1"/>
      <c r="Y117" s="1"/>
      <c r="Z117" s="1"/>
      <c r="AA117" s="1"/>
    </row>
    <row r="118" spans="1:34" ht="18.5" x14ac:dyDescent="0.45">
      <c r="G118" s="32"/>
      <c r="R118" s="792"/>
      <c r="S118" s="944"/>
      <c r="U118" s="1"/>
      <c r="V118" s="1"/>
      <c r="W118" s="1"/>
      <c r="X118" s="1"/>
      <c r="Y118" s="1"/>
      <c r="Z118" s="1"/>
      <c r="AA118" s="1"/>
    </row>
    <row r="119" spans="1:34" ht="18.5" x14ac:dyDescent="0.45">
      <c r="G119" s="32"/>
      <c r="R119" s="792"/>
      <c r="S119" s="944"/>
      <c r="U119" s="1"/>
      <c r="V119" s="1"/>
      <c r="W119" s="1"/>
      <c r="X119" s="1"/>
      <c r="Y119" s="1"/>
      <c r="Z119" s="1"/>
      <c r="AA119" s="1"/>
    </row>
    <row r="120" spans="1:34" ht="18.5" x14ac:dyDescent="0.45">
      <c r="G120" s="32"/>
      <c r="R120" s="792"/>
      <c r="S120" s="980"/>
      <c r="U120" s="1"/>
      <c r="V120" s="1"/>
      <c r="W120" s="1"/>
      <c r="X120" s="1"/>
      <c r="Y120" s="1"/>
      <c r="Z120" s="1"/>
      <c r="AA120" s="1"/>
    </row>
    <row r="121" spans="1:34" ht="18.5" x14ac:dyDescent="0.45">
      <c r="G121" s="32"/>
      <c r="R121" s="792"/>
      <c r="S121" s="980"/>
      <c r="U121" s="1"/>
      <c r="V121" s="1"/>
      <c r="W121" s="1"/>
      <c r="X121" s="1"/>
      <c r="Y121" s="1"/>
      <c r="Z121" s="1"/>
      <c r="AA121" s="1"/>
    </row>
    <row r="122" spans="1:34" ht="18.5" x14ac:dyDescent="0.45">
      <c r="G122" s="32"/>
      <c r="R122" s="792"/>
      <c r="S122" s="980"/>
      <c r="U122" s="1"/>
      <c r="V122" s="1"/>
      <c r="W122" s="1"/>
      <c r="X122" s="1"/>
      <c r="Y122" s="1"/>
      <c r="Z122" s="1"/>
      <c r="AA122" s="1"/>
    </row>
    <row r="123" spans="1:34" ht="18.5" x14ac:dyDescent="0.45">
      <c r="G123" s="32"/>
      <c r="R123" s="792"/>
      <c r="T123" s="824"/>
    </row>
    <row r="124" spans="1:34" ht="18.5" x14ac:dyDescent="0.45">
      <c r="G124" s="32"/>
      <c r="R124" s="792"/>
      <c r="T124" s="824"/>
      <c r="U124" s="2"/>
    </row>
    <row r="125" spans="1:34" ht="18.5" x14ac:dyDescent="0.45">
      <c r="G125" s="32"/>
      <c r="R125" s="792"/>
      <c r="T125" s="824"/>
    </row>
    <row r="126" spans="1:34" x14ac:dyDescent="0.35">
      <c r="A126" s="482"/>
      <c r="B126" s="482"/>
      <c r="C126" s="482"/>
      <c r="D126" s="482"/>
      <c r="E126" s="482"/>
      <c r="F126" s="482"/>
      <c r="G126" s="481"/>
      <c r="H126" s="482"/>
      <c r="T126" s="579"/>
      <c r="U126" s="2"/>
    </row>
    <row r="127" spans="1:34" x14ac:dyDescent="0.35">
      <c r="A127" s="486"/>
      <c r="B127" s="487"/>
      <c r="C127" s="487"/>
      <c r="D127" s="486"/>
      <c r="E127" s="486"/>
      <c r="F127" s="482"/>
      <c r="G127" s="482"/>
      <c r="H127" s="482"/>
    </row>
    <row r="128" spans="1:34" s="482" customFormat="1" x14ac:dyDescent="0.35">
      <c r="A128" s="356"/>
      <c r="B128" s="488"/>
      <c r="C128" s="488"/>
      <c r="D128" s="356"/>
      <c r="E128" s="356"/>
      <c r="R128"/>
      <c r="S128"/>
      <c r="T128"/>
      <c r="U128" s="2"/>
      <c r="V128"/>
      <c r="W128"/>
      <c r="X128"/>
      <c r="Y128"/>
      <c r="Z128"/>
      <c r="AA128"/>
      <c r="AB128"/>
      <c r="AC128"/>
      <c r="AD128"/>
      <c r="AE128"/>
      <c r="AF128"/>
      <c r="AG128"/>
      <c r="AH128"/>
    </row>
    <row r="129" spans="1:34" s="482" customFormat="1" x14ac:dyDescent="0.35">
      <c r="A129" s="486"/>
      <c r="B129" s="487"/>
      <c r="C129" s="487"/>
      <c r="D129" s="486"/>
      <c r="E129" s="486"/>
      <c r="R129"/>
      <c r="S129"/>
      <c r="T129" s="793"/>
      <c r="U129"/>
      <c r="V129"/>
      <c r="W129"/>
      <c r="X129"/>
      <c r="Y129"/>
      <c r="Z129"/>
      <c r="AA129"/>
      <c r="AB129"/>
      <c r="AC129"/>
      <c r="AD129"/>
      <c r="AE129"/>
      <c r="AF129"/>
      <c r="AG129"/>
      <c r="AH129"/>
    </row>
    <row r="130" spans="1:34" s="482" customFormat="1" x14ac:dyDescent="0.35">
      <c r="A130" s="356"/>
      <c r="B130" s="488"/>
      <c r="C130" s="488"/>
      <c r="D130" s="356"/>
      <c r="E130" s="356"/>
      <c r="R130"/>
      <c r="S130"/>
      <c r="T130"/>
      <c r="U130"/>
      <c r="V130"/>
      <c r="W130"/>
      <c r="X130"/>
      <c r="Y130"/>
      <c r="Z130"/>
      <c r="AA130"/>
      <c r="AB130"/>
      <c r="AC130"/>
      <c r="AD130"/>
      <c r="AE130"/>
      <c r="AF130"/>
      <c r="AG130"/>
      <c r="AH130"/>
    </row>
    <row r="131" spans="1:34" s="482" customFormat="1" x14ac:dyDescent="0.35">
      <c r="A131" s="486"/>
      <c r="B131" s="487"/>
      <c r="C131" s="487"/>
      <c r="D131" s="486"/>
      <c r="E131" s="486"/>
      <c r="R131"/>
      <c r="S131"/>
      <c r="T131"/>
      <c r="U131" s="2"/>
      <c r="V131"/>
      <c r="W131"/>
      <c r="X131"/>
      <c r="Y131"/>
      <c r="Z131"/>
      <c r="AA131"/>
      <c r="AB131"/>
      <c r="AC131"/>
      <c r="AD131"/>
      <c r="AE131"/>
      <c r="AF131"/>
      <c r="AG131"/>
      <c r="AH131"/>
    </row>
    <row r="132" spans="1:34" s="482" customFormat="1" x14ac:dyDescent="0.35">
      <c r="A132" s="356"/>
      <c r="B132" s="488"/>
      <c r="C132" s="488"/>
      <c r="D132" s="356"/>
      <c r="E132" s="356"/>
      <c r="R132"/>
      <c r="S132"/>
      <c r="T132"/>
      <c r="U132"/>
      <c r="V132"/>
      <c r="W132"/>
      <c r="X132"/>
      <c r="Y132"/>
      <c r="Z132"/>
      <c r="AA132"/>
      <c r="AB132"/>
      <c r="AC132"/>
      <c r="AD132"/>
      <c r="AE132"/>
      <c r="AF132"/>
      <c r="AG132"/>
      <c r="AH132"/>
    </row>
    <row r="133" spans="1:34" s="482" customFormat="1" x14ac:dyDescent="0.35">
      <c r="A133" s="486"/>
      <c r="B133" s="487"/>
      <c r="C133" s="487"/>
      <c r="D133" s="486"/>
      <c r="E133" s="486"/>
      <c r="R133"/>
      <c r="S133"/>
      <c r="T133" s="579"/>
      <c r="U133"/>
      <c r="V133"/>
      <c r="W133"/>
      <c r="X133"/>
      <c r="Y133"/>
      <c r="Z133"/>
      <c r="AA133"/>
      <c r="AB133"/>
      <c r="AC133"/>
      <c r="AD133"/>
      <c r="AE133"/>
      <c r="AF133"/>
      <c r="AG133"/>
      <c r="AH133"/>
    </row>
    <row r="134" spans="1:34" s="482" customFormat="1" x14ac:dyDescent="0.35">
      <c r="A134" s="356"/>
      <c r="B134" s="488"/>
      <c r="C134" s="488"/>
      <c r="D134" s="356"/>
      <c r="E134" s="356"/>
      <c r="R134"/>
      <c r="S134"/>
      <c r="T134"/>
      <c r="U134" s="2"/>
      <c r="V134"/>
      <c r="W134"/>
      <c r="X134"/>
      <c r="Y134"/>
      <c r="Z134"/>
      <c r="AA134"/>
      <c r="AB134"/>
      <c r="AC134"/>
      <c r="AD134"/>
      <c r="AE134"/>
      <c r="AF134"/>
      <c r="AG134"/>
      <c r="AH134"/>
    </row>
    <row r="135" spans="1:34" s="482" customFormat="1" x14ac:dyDescent="0.35">
      <c r="A135" s="486"/>
      <c r="B135" s="487"/>
      <c r="C135" s="487"/>
      <c r="D135" s="486"/>
      <c r="E135" s="486"/>
      <c r="R135"/>
      <c r="S135"/>
      <c r="T135"/>
      <c r="U135"/>
      <c r="V135"/>
      <c r="W135"/>
      <c r="X135"/>
      <c r="Y135"/>
      <c r="Z135"/>
      <c r="AA135"/>
      <c r="AB135"/>
      <c r="AC135"/>
      <c r="AD135"/>
      <c r="AE135"/>
      <c r="AF135"/>
      <c r="AG135"/>
      <c r="AH135"/>
    </row>
    <row r="136" spans="1:34" s="482" customFormat="1" x14ac:dyDescent="0.35">
      <c r="A136" s="356"/>
      <c r="B136" s="488"/>
      <c r="C136" s="488"/>
      <c r="D136" s="356"/>
      <c r="E136" s="356"/>
      <c r="R136"/>
      <c r="S136"/>
      <c r="T136"/>
      <c r="U136"/>
      <c r="V136"/>
      <c r="W136"/>
      <c r="X136"/>
      <c r="Y136"/>
      <c r="Z136"/>
      <c r="AA136"/>
      <c r="AB136"/>
      <c r="AC136"/>
      <c r="AD136"/>
      <c r="AE136"/>
      <c r="AF136"/>
      <c r="AG136"/>
      <c r="AH136"/>
    </row>
    <row r="137" spans="1:34" s="482" customFormat="1" x14ac:dyDescent="0.35">
      <c r="D137" s="489"/>
      <c r="E137" s="489"/>
      <c r="R137"/>
      <c r="S137"/>
      <c r="T137"/>
      <c r="U137" s="2"/>
      <c r="V137"/>
      <c r="W137"/>
      <c r="X137"/>
      <c r="Y137"/>
      <c r="Z137"/>
      <c r="AA137"/>
      <c r="AB137"/>
      <c r="AC137"/>
      <c r="AD137"/>
      <c r="AE137"/>
      <c r="AF137"/>
      <c r="AG137"/>
      <c r="AH137"/>
    </row>
    <row r="138" spans="1:34" s="482" customFormat="1" x14ac:dyDescent="0.35">
      <c r="D138" s="489"/>
      <c r="E138" s="489"/>
      <c r="R138"/>
      <c r="S138"/>
      <c r="T138"/>
      <c r="U138"/>
      <c r="V138"/>
      <c r="W138"/>
      <c r="X138"/>
      <c r="Y138"/>
      <c r="Z138"/>
      <c r="AA138"/>
      <c r="AB138"/>
      <c r="AC138"/>
      <c r="AD138"/>
      <c r="AE138"/>
      <c r="AF138"/>
      <c r="AG138"/>
      <c r="AH138"/>
    </row>
    <row r="139" spans="1:34" s="482" customFormat="1" x14ac:dyDescent="0.35">
      <c r="R139"/>
      <c r="S139"/>
      <c r="T139"/>
      <c r="U139"/>
      <c r="V139"/>
      <c r="W139"/>
      <c r="X139"/>
      <c r="Y139"/>
      <c r="Z139"/>
      <c r="AA139"/>
      <c r="AB139"/>
      <c r="AC139"/>
      <c r="AD139"/>
      <c r="AE139"/>
      <c r="AF139"/>
      <c r="AG139"/>
      <c r="AH139"/>
    </row>
    <row r="140" spans="1:34" s="482" customFormat="1" x14ac:dyDescent="0.35">
      <c r="R140"/>
      <c r="S140"/>
      <c r="T140"/>
      <c r="U140"/>
      <c r="V140"/>
      <c r="W140"/>
      <c r="X140"/>
      <c r="Y140"/>
      <c r="Z140"/>
      <c r="AA140"/>
      <c r="AB140"/>
      <c r="AC140"/>
      <c r="AD140"/>
      <c r="AE140"/>
      <c r="AF140"/>
      <c r="AG140"/>
      <c r="AH140"/>
    </row>
    <row r="141" spans="1:34" s="482" customFormat="1" x14ac:dyDescent="0.35">
      <c r="R141"/>
      <c r="S141"/>
      <c r="T141"/>
      <c r="U141"/>
      <c r="V141"/>
      <c r="W141"/>
      <c r="X141"/>
      <c r="Y141"/>
      <c r="Z141"/>
      <c r="AA141"/>
      <c r="AB141"/>
      <c r="AC141"/>
      <c r="AD141"/>
      <c r="AE141"/>
      <c r="AF141"/>
      <c r="AG141"/>
      <c r="AH141"/>
    </row>
    <row r="142" spans="1:34" s="482" customFormat="1" x14ac:dyDescent="0.35">
      <c r="R142"/>
      <c r="S142"/>
      <c r="T142"/>
      <c r="U142"/>
      <c r="V142"/>
      <c r="W142"/>
      <c r="X142"/>
      <c r="Y142"/>
      <c r="Z142"/>
      <c r="AA142"/>
      <c r="AB142"/>
      <c r="AC142"/>
      <c r="AD142"/>
      <c r="AE142"/>
      <c r="AF142"/>
      <c r="AG142"/>
      <c r="AH142"/>
    </row>
    <row r="143" spans="1:34" s="482" customFormat="1" x14ac:dyDescent="0.35">
      <c r="R143"/>
      <c r="S143"/>
      <c r="T143"/>
      <c r="U143"/>
      <c r="V143"/>
      <c r="W143"/>
      <c r="X143"/>
      <c r="Y143"/>
      <c r="Z143"/>
      <c r="AA143"/>
      <c r="AB143"/>
      <c r="AC143"/>
      <c r="AD143"/>
      <c r="AE143"/>
      <c r="AF143"/>
      <c r="AG143"/>
      <c r="AH143"/>
    </row>
    <row r="144" spans="1:34" s="482" customFormat="1" x14ac:dyDescent="0.35">
      <c r="R144"/>
      <c r="S144"/>
      <c r="T144"/>
      <c r="U144"/>
      <c r="V144"/>
      <c r="W144"/>
      <c r="X144"/>
      <c r="Y144"/>
      <c r="Z144"/>
      <c r="AA144"/>
      <c r="AB144"/>
      <c r="AC144"/>
      <c r="AD144"/>
      <c r="AE144"/>
      <c r="AF144"/>
      <c r="AG144"/>
      <c r="AH144"/>
    </row>
    <row r="145" spans="18:34" s="482" customFormat="1" x14ac:dyDescent="0.35">
      <c r="R145"/>
      <c r="S145"/>
      <c r="T145"/>
      <c r="U145"/>
      <c r="V145"/>
      <c r="W145"/>
      <c r="X145"/>
      <c r="Y145"/>
      <c r="Z145"/>
      <c r="AA145"/>
      <c r="AB145"/>
      <c r="AC145"/>
      <c r="AD145"/>
      <c r="AE145"/>
      <c r="AF145"/>
      <c r="AG145"/>
      <c r="AH145"/>
    </row>
    <row r="146" spans="18:34" s="482" customFormat="1" x14ac:dyDescent="0.35">
      <c r="R146"/>
      <c r="S146"/>
      <c r="T146"/>
      <c r="U146"/>
      <c r="V146"/>
      <c r="W146"/>
      <c r="X146"/>
      <c r="Y146"/>
      <c r="Z146"/>
      <c r="AA146"/>
      <c r="AB146"/>
      <c r="AC146"/>
      <c r="AD146"/>
      <c r="AE146"/>
      <c r="AF146"/>
      <c r="AG146"/>
      <c r="AH146"/>
    </row>
    <row r="147" spans="18:34" s="482" customFormat="1" x14ac:dyDescent="0.35">
      <c r="R147"/>
      <c r="S147"/>
      <c r="T147"/>
      <c r="U147"/>
      <c r="V147"/>
      <c r="W147"/>
      <c r="X147"/>
      <c r="Y147"/>
      <c r="Z147"/>
      <c r="AA147"/>
      <c r="AB147"/>
      <c r="AC147"/>
      <c r="AD147"/>
      <c r="AE147"/>
      <c r="AF147"/>
      <c r="AG147"/>
      <c r="AH147"/>
    </row>
    <row r="148" spans="18:34" s="482" customFormat="1" x14ac:dyDescent="0.35">
      <c r="R148"/>
      <c r="S148"/>
      <c r="T148"/>
      <c r="U148"/>
      <c r="V148"/>
      <c r="W148"/>
      <c r="X148"/>
      <c r="Y148"/>
      <c r="Z148"/>
      <c r="AA148"/>
      <c r="AB148"/>
      <c r="AC148"/>
      <c r="AD148"/>
      <c r="AE148"/>
      <c r="AF148"/>
      <c r="AG148"/>
      <c r="AH148"/>
    </row>
    <row r="149" spans="18:34" s="482" customFormat="1" x14ac:dyDescent="0.35">
      <c r="R149"/>
      <c r="S149"/>
      <c r="T149"/>
      <c r="U149"/>
      <c r="V149"/>
      <c r="W149"/>
      <c r="X149"/>
      <c r="Y149"/>
      <c r="Z149"/>
      <c r="AA149"/>
      <c r="AB149"/>
      <c r="AC149"/>
      <c r="AD149"/>
      <c r="AE149"/>
      <c r="AF149"/>
      <c r="AG149"/>
      <c r="AH149"/>
    </row>
    <row r="150" spans="18:34" s="482" customFormat="1" x14ac:dyDescent="0.35">
      <c r="R150"/>
      <c r="S150"/>
      <c r="T150"/>
      <c r="U150"/>
      <c r="V150"/>
      <c r="W150"/>
      <c r="X150"/>
      <c r="Y150"/>
      <c r="Z150"/>
      <c r="AA150"/>
      <c r="AB150"/>
      <c r="AC150"/>
      <c r="AD150"/>
      <c r="AE150"/>
      <c r="AF150"/>
      <c r="AG150"/>
      <c r="AH150"/>
    </row>
    <row r="151" spans="18:34" s="482" customFormat="1" x14ac:dyDescent="0.35">
      <c r="R151"/>
      <c r="S151"/>
      <c r="T151"/>
      <c r="U151"/>
      <c r="V151"/>
      <c r="W151"/>
      <c r="X151"/>
      <c r="Y151"/>
      <c r="Z151"/>
      <c r="AA151"/>
      <c r="AB151"/>
      <c r="AC151"/>
      <c r="AD151"/>
      <c r="AE151"/>
      <c r="AF151"/>
      <c r="AG151"/>
      <c r="AH151"/>
    </row>
    <row r="152" spans="18:34" s="482" customFormat="1" x14ac:dyDescent="0.35"/>
    <row r="153" spans="18:34" s="482" customFormat="1" x14ac:dyDescent="0.35"/>
    <row r="154" spans="18:34" s="482" customFormat="1" x14ac:dyDescent="0.35"/>
    <row r="155" spans="18:34" s="482" customFormat="1" x14ac:dyDescent="0.35"/>
    <row r="156" spans="18:34" s="482" customFormat="1" x14ac:dyDescent="0.35"/>
    <row r="157" spans="18:34" s="482" customFormat="1" x14ac:dyDescent="0.35"/>
    <row r="158" spans="18:34" s="482" customFormat="1" x14ac:dyDescent="0.35"/>
    <row r="159" spans="18:34" s="482" customFormat="1" x14ac:dyDescent="0.35"/>
    <row r="160" spans="18:34" s="482" customFormat="1" x14ac:dyDescent="0.35"/>
    <row r="161" s="482" customFormat="1" x14ac:dyDescent="0.35"/>
    <row r="162" s="482" customFormat="1" x14ac:dyDescent="0.35"/>
    <row r="163" s="482" customFormat="1" x14ac:dyDescent="0.35"/>
    <row r="164" s="482" customFormat="1" x14ac:dyDescent="0.35"/>
    <row r="165" s="482" customFormat="1" x14ac:dyDescent="0.35"/>
    <row r="166" s="482" customFormat="1" x14ac:dyDescent="0.35"/>
    <row r="167" s="482" customFormat="1" x14ac:dyDescent="0.35"/>
    <row r="168" s="482" customFormat="1" x14ac:dyDescent="0.35"/>
    <row r="169" s="482" customFormat="1" x14ac:dyDescent="0.35"/>
    <row r="170" s="482" customFormat="1" x14ac:dyDescent="0.35"/>
    <row r="171" s="482" customFormat="1" x14ac:dyDescent="0.35"/>
    <row r="172" s="482" customFormat="1" x14ac:dyDescent="0.35"/>
    <row r="173" s="482" customFormat="1" x14ac:dyDescent="0.35"/>
    <row r="174" s="482" customFormat="1" x14ac:dyDescent="0.35"/>
    <row r="175" s="482" customFormat="1" x14ac:dyDescent="0.35"/>
    <row r="176" s="482" customFormat="1" x14ac:dyDescent="0.35"/>
    <row r="177" s="482" customFormat="1" x14ac:dyDescent="0.35"/>
    <row r="178" s="482" customFormat="1" x14ac:dyDescent="0.35"/>
    <row r="179" s="482" customFormat="1" x14ac:dyDescent="0.35"/>
    <row r="180" s="482" customFormat="1" x14ac:dyDescent="0.35"/>
    <row r="181" s="482" customFormat="1" x14ac:dyDescent="0.35"/>
    <row r="182" s="482" customFormat="1" x14ac:dyDescent="0.35"/>
    <row r="183" s="482" customFormat="1" x14ac:dyDescent="0.35"/>
    <row r="184" s="482" customFormat="1" x14ac:dyDescent="0.35"/>
    <row r="185" s="482" customFormat="1" x14ac:dyDescent="0.35"/>
    <row r="186" s="482" customFormat="1" x14ac:dyDescent="0.35"/>
    <row r="187" s="482" customFormat="1" x14ac:dyDescent="0.35"/>
    <row r="188" s="482" customFormat="1" x14ac:dyDescent="0.35"/>
    <row r="189" s="482" customFormat="1" x14ac:dyDescent="0.35"/>
    <row r="190" s="482" customFormat="1" x14ac:dyDescent="0.35"/>
    <row r="191" s="482" customFormat="1" x14ac:dyDescent="0.35"/>
    <row r="192" s="482" customFormat="1" x14ac:dyDescent="0.35"/>
    <row r="193" s="482" customFormat="1" x14ac:dyDescent="0.35"/>
    <row r="194" s="482" customFormat="1" x14ac:dyDescent="0.35"/>
    <row r="195" s="482" customFormat="1" x14ac:dyDescent="0.35"/>
    <row r="196" s="482" customFormat="1" x14ac:dyDescent="0.35"/>
    <row r="197" s="482" customFormat="1" x14ac:dyDescent="0.35"/>
    <row r="198" s="482" customFormat="1" x14ac:dyDescent="0.35"/>
    <row r="199" s="482" customFormat="1" x14ac:dyDescent="0.35"/>
    <row r="200" s="482" customFormat="1" x14ac:dyDescent="0.35"/>
    <row r="201" s="482" customFormat="1" x14ac:dyDescent="0.35"/>
    <row r="202" s="482" customFormat="1" x14ac:dyDescent="0.35"/>
    <row r="203" s="482" customFormat="1" x14ac:dyDescent="0.35"/>
    <row r="204" s="482" customFormat="1" x14ac:dyDescent="0.35"/>
    <row r="205" s="482" customFormat="1" x14ac:dyDescent="0.35"/>
    <row r="206" s="482" customFormat="1" x14ac:dyDescent="0.35"/>
    <row r="207" s="482" customFormat="1" x14ac:dyDescent="0.35"/>
    <row r="208" s="482" customFormat="1" x14ac:dyDescent="0.35"/>
    <row r="209" s="482" customFormat="1" x14ac:dyDescent="0.35"/>
    <row r="210" s="482" customFormat="1" x14ac:dyDescent="0.35"/>
    <row r="211" s="482" customFormat="1" x14ac:dyDescent="0.35"/>
    <row r="212" s="482" customFormat="1" x14ac:dyDescent="0.35"/>
    <row r="213" s="482" customFormat="1" x14ac:dyDescent="0.35"/>
    <row r="214" s="482" customFormat="1" x14ac:dyDescent="0.35"/>
    <row r="215" s="482" customFormat="1" x14ac:dyDescent="0.35"/>
    <row r="216" s="482" customFormat="1" x14ac:dyDescent="0.35"/>
    <row r="217" s="482" customFormat="1" x14ac:dyDescent="0.35"/>
    <row r="218" s="482" customFormat="1" x14ac:dyDescent="0.35"/>
    <row r="219" s="482" customFormat="1" x14ac:dyDescent="0.35"/>
    <row r="220" s="482" customFormat="1" x14ac:dyDescent="0.35"/>
    <row r="221" s="482" customFormat="1" x14ac:dyDescent="0.35"/>
    <row r="222" s="482" customFormat="1" x14ac:dyDescent="0.35"/>
    <row r="223" s="482" customFormat="1" x14ac:dyDescent="0.35"/>
    <row r="224" s="482" customFormat="1" x14ac:dyDescent="0.35"/>
    <row r="225" s="482" customFormat="1" x14ac:dyDescent="0.35"/>
    <row r="226" s="482" customFormat="1" x14ac:dyDescent="0.35"/>
    <row r="227" s="482" customFormat="1" x14ac:dyDescent="0.35"/>
    <row r="228" s="482" customFormat="1" x14ac:dyDescent="0.35"/>
    <row r="229" s="482" customFormat="1" x14ac:dyDescent="0.35"/>
    <row r="230" s="482" customFormat="1" x14ac:dyDescent="0.35"/>
    <row r="231" s="482" customFormat="1" x14ac:dyDescent="0.35"/>
    <row r="232" s="482" customFormat="1" x14ac:dyDescent="0.35"/>
    <row r="233" s="482" customFormat="1" x14ac:dyDescent="0.35"/>
    <row r="234" s="482" customFormat="1" x14ac:dyDescent="0.35"/>
    <row r="235" s="482" customFormat="1" x14ac:dyDescent="0.35"/>
    <row r="236" s="482" customFormat="1" x14ac:dyDescent="0.35"/>
    <row r="237" s="482" customFormat="1" x14ac:dyDescent="0.35"/>
    <row r="238" s="482" customFormat="1" x14ac:dyDescent="0.35"/>
    <row r="239" s="482" customFormat="1" x14ac:dyDescent="0.35"/>
    <row r="240" s="482" customFormat="1" x14ac:dyDescent="0.35"/>
    <row r="241" s="482" customFormat="1" x14ac:dyDescent="0.35"/>
    <row r="242" s="482" customFormat="1" x14ac:dyDescent="0.35"/>
    <row r="243" s="482" customFormat="1" x14ac:dyDescent="0.35"/>
    <row r="244" s="482" customFormat="1" x14ac:dyDescent="0.35"/>
    <row r="245" s="482" customFormat="1" x14ac:dyDescent="0.35"/>
    <row r="246" s="482" customFormat="1" x14ac:dyDescent="0.35"/>
    <row r="247" s="482" customFormat="1" x14ac:dyDescent="0.35"/>
    <row r="248" s="482" customFormat="1" x14ac:dyDescent="0.35"/>
    <row r="249" s="482" customFormat="1" x14ac:dyDescent="0.35"/>
    <row r="250" s="482" customFormat="1" x14ac:dyDescent="0.35"/>
    <row r="251" s="482" customFormat="1" x14ac:dyDescent="0.35"/>
    <row r="252" s="482" customFormat="1" x14ac:dyDescent="0.35"/>
    <row r="253" s="482" customFormat="1" x14ac:dyDescent="0.35"/>
    <row r="254" s="482" customFormat="1" x14ac:dyDescent="0.35"/>
    <row r="255" s="482" customFormat="1" x14ac:dyDescent="0.35"/>
    <row r="256" s="482" customFormat="1" x14ac:dyDescent="0.35"/>
    <row r="257" s="482" customFormat="1" x14ac:dyDescent="0.35"/>
    <row r="258" s="482" customFormat="1" x14ac:dyDescent="0.35"/>
    <row r="259" s="482" customFormat="1" x14ac:dyDescent="0.35"/>
    <row r="260" s="482" customFormat="1" x14ac:dyDescent="0.35"/>
    <row r="261" s="482" customFormat="1" x14ac:dyDescent="0.35"/>
    <row r="262" s="482" customFormat="1" x14ac:dyDescent="0.35"/>
    <row r="263" s="482" customFormat="1" x14ac:dyDescent="0.35"/>
    <row r="264" s="482" customFormat="1" x14ac:dyDescent="0.35"/>
    <row r="265" s="482" customFormat="1" x14ac:dyDescent="0.35"/>
    <row r="266" s="482" customFormat="1" x14ac:dyDescent="0.35"/>
    <row r="267" s="482" customFormat="1" x14ac:dyDescent="0.35"/>
    <row r="268" s="482" customFormat="1" x14ac:dyDescent="0.35"/>
    <row r="269" s="482" customFormat="1" x14ac:dyDescent="0.35"/>
    <row r="270" s="482" customFormat="1" x14ac:dyDescent="0.35"/>
    <row r="271" s="482" customFormat="1" x14ac:dyDescent="0.35"/>
    <row r="272" s="482" customFormat="1" x14ac:dyDescent="0.35"/>
    <row r="273" s="482" customFormat="1" x14ac:dyDescent="0.35"/>
    <row r="274" s="482" customFormat="1" x14ac:dyDescent="0.35"/>
    <row r="275" s="482" customFormat="1" x14ac:dyDescent="0.35"/>
    <row r="276" s="482" customFormat="1" x14ac:dyDescent="0.35"/>
    <row r="277" s="482" customFormat="1" x14ac:dyDescent="0.35"/>
    <row r="278" s="482" customFormat="1" x14ac:dyDescent="0.35"/>
    <row r="279" s="482" customFormat="1" x14ac:dyDescent="0.35"/>
    <row r="280" s="482" customFormat="1" x14ac:dyDescent="0.35"/>
    <row r="281" s="482" customFormat="1" x14ac:dyDescent="0.35"/>
    <row r="282" s="482" customFormat="1" x14ac:dyDescent="0.35"/>
    <row r="283" s="482" customFormat="1" x14ac:dyDescent="0.35"/>
    <row r="284" s="482" customFormat="1" x14ac:dyDescent="0.35"/>
    <row r="285" s="482" customFormat="1" x14ac:dyDescent="0.35"/>
    <row r="286" s="482" customFormat="1" x14ac:dyDescent="0.35"/>
    <row r="287" s="482" customFormat="1" x14ac:dyDescent="0.35"/>
    <row r="288" s="482" customFormat="1" x14ac:dyDescent="0.35"/>
    <row r="289" s="482" customFormat="1" x14ac:dyDescent="0.35"/>
    <row r="290" s="482" customFormat="1" x14ac:dyDescent="0.35"/>
    <row r="291" s="482" customFormat="1" x14ac:dyDescent="0.35"/>
    <row r="292" s="482" customFormat="1" x14ac:dyDescent="0.35"/>
    <row r="293" s="482" customFormat="1" x14ac:dyDescent="0.35"/>
    <row r="294" s="482" customFormat="1" x14ac:dyDescent="0.35"/>
    <row r="295" s="482" customFormat="1" x14ac:dyDescent="0.35"/>
    <row r="296" s="482" customFormat="1" x14ac:dyDescent="0.35"/>
    <row r="297" s="482" customFormat="1" x14ac:dyDescent="0.35"/>
    <row r="298" s="482" customFormat="1" x14ac:dyDescent="0.35"/>
    <row r="299" s="482" customFormat="1" x14ac:dyDescent="0.35"/>
    <row r="300" s="482" customFormat="1" x14ac:dyDescent="0.35"/>
    <row r="301" s="482" customFormat="1" x14ac:dyDescent="0.35"/>
    <row r="302" s="482" customFormat="1" x14ac:dyDescent="0.35"/>
    <row r="303" s="482" customFormat="1" x14ac:dyDescent="0.35"/>
    <row r="304" s="482" customFormat="1" x14ac:dyDescent="0.35"/>
    <row r="305" s="482" customFormat="1" x14ac:dyDescent="0.35"/>
    <row r="306" s="482" customFormat="1" x14ac:dyDescent="0.35"/>
    <row r="307" s="482" customFormat="1" x14ac:dyDescent="0.35"/>
    <row r="308" s="482" customFormat="1" x14ac:dyDescent="0.35"/>
    <row r="309" s="482" customFormat="1" x14ac:dyDescent="0.35"/>
    <row r="310" s="482" customFormat="1" x14ac:dyDescent="0.35"/>
    <row r="311" s="482" customFormat="1" x14ac:dyDescent="0.35"/>
    <row r="312" s="482" customFormat="1" x14ac:dyDescent="0.35"/>
    <row r="313" s="482" customFormat="1" x14ac:dyDescent="0.35"/>
    <row r="314" s="482" customFormat="1" x14ac:dyDescent="0.35"/>
    <row r="315" s="482" customFormat="1" x14ac:dyDescent="0.35"/>
    <row r="316" s="482" customFormat="1" x14ac:dyDescent="0.35"/>
    <row r="317" s="482" customFormat="1" x14ac:dyDescent="0.35"/>
    <row r="318" s="482" customFormat="1" x14ac:dyDescent="0.35"/>
    <row r="319" s="482" customFormat="1" x14ac:dyDescent="0.35"/>
    <row r="320" s="482" customFormat="1" x14ac:dyDescent="0.35"/>
    <row r="321" s="482" customFormat="1" x14ac:dyDescent="0.35"/>
    <row r="322" s="482" customFormat="1" x14ac:dyDescent="0.35"/>
    <row r="323" s="482" customFormat="1" x14ac:dyDescent="0.35"/>
    <row r="324" s="482" customFormat="1" x14ac:dyDescent="0.35"/>
    <row r="325" s="482" customFormat="1" x14ac:dyDescent="0.35"/>
    <row r="326" s="482" customFormat="1" x14ac:dyDescent="0.35"/>
    <row r="327" s="482" customFormat="1" x14ac:dyDescent="0.35"/>
    <row r="328" s="482" customFormat="1" x14ac:dyDescent="0.35"/>
    <row r="329" s="482" customFormat="1" x14ac:dyDescent="0.35"/>
    <row r="330" s="482" customFormat="1" x14ac:dyDescent="0.35"/>
    <row r="331" s="482" customFormat="1" x14ac:dyDescent="0.35"/>
    <row r="332" s="482" customFormat="1" x14ac:dyDescent="0.35"/>
    <row r="333" s="482" customFormat="1" x14ac:dyDescent="0.35"/>
    <row r="334" s="482" customFormat="1" x14ac:dyDescent="0.35"/>
    <row r="335" s="482" customFormat="1" x14ac:dyDescent="0.35"/>
    <row r="336" s="482" customFormat="1" x14ac:dyDescent="0.35"/>
    <row r="337" s="482" customFormat="1" x14ac:dyDescent="0.35"/>
    <row r="338" s="482" customFormat="1" x14ac:dyDescent="0.35"/>
    <row r="339" s="482" customFormat="1" x14ac:dyDescent="0.35"/>
    <row r="340" s="482" customFormat="1" x14ac:dyDescent="0.35"/>
    <row r="341" s="482" customFormat="1" x14ac:dyDescent="0.35"/>
    <row r="342" s="482" customFormat="1" x14ac:dyDescent="0.35"/>
    <row r="343" s="482" customFormat="1" x14ac:dyDescent="0.35"/>
    <row r="344" s="482" customFormat="1" x14ac:dyDescent="0.35"/>
    <row r="345" s="482" customFormat="1" x14ac:dyDescent="0.35"/>
    <row r="346" s="482" customFormat="1" x14ac:dyDescent="0.35"/>
    <row r="347" s="482" customFormat="1" x14ac:dyDescent="0.35"/>
    <row r="348" s="482" customFormat="1" x14ac:dyDescent="0.35"/>
    <row r="349" s="482" customFormat="1" x14ac:dyDescent="0.35"/>
    <row r="350" s="482" customFormat="1" x14ac:dyDescent="0.35"/>
    <row r="351" s="482" customFormat="1" x14ac:dyDescent="0.35"/>
    <row r="352" s="482" customFormat="1" x14ac:dyDescent="0.35"/>
    <row r="353" s="482" customFormat="1" x14ac:dyDescent="0.35"/>
    <row r="354" s="482" customFormat="1" x14ac:dyDescent="0.35"/>
    <row r="355" s="482" customFormat="1" x14ac:dyDescent="0.35"/>
    <row r="356" s="482" customFormat="1" x14ac:dyDescent="0.35"/>
    <row r="357" s="482" customFormat="1" x14ac:dyDescent="0.35"/>
    <row r="358" s="482" customFormat="1" x14ac:dyDescent="0.35"/>
    <row r="359" s="482" customFormat="1" x14ac:dyDescent="0.35"/>
    <row r="360" s="482" customFormat="1" x14ac:dyDescent="0.35"/>
    <row r="361" s="482" customFormat="1" x14ac:dyDescent="0.35"/>
    <row r="362" s="482" customFormat="1" x14ac:dyDescent="0.35"/>
    <row r="363" s="482" customFormat="1" x14ac:dyDescent="0.35"/>
    <row r="364" s="482" customFormat="1" x14ac:dyDescent="0.35"/>
    <row r="365" s="482" customFormat="1" x14ac:dyDescent="0.35"/>
    <row r="366" s="482" customFormat="1" x14ac:dyDescent="0.35"/>
    <row r="367" s="482" customFormat="1" x14ac:dyDescent="0.35"/>
    <row r="368" s="482" customFormat="1" x14ac:dyDescent="0.35"/>
    <row r="369" s="482" customFormat="1" x14ac:dyDescent="0.35"/>
    <row r="370" s="482" customFormat="1" x14ac:dyDescent="0.35"/>
    <row r="371" s="482" customFormat="1" x14ac:dyDescent="0.35"/>
    <row r="372" s="482" customFormat="1" x14ac:dyDescent="0.35"/>
    <row r="373" s="482" customFormat="1" x14ac:dyDescent="0.35"/>
    <row r="374" s="482" customFormat="1" x14ac:dyDescent="0.35"/>
    <row r="375" s="482" customFormat="1" x14ac:dyDescent="0.35"/>
    <row r="376" s="482" customFormat="1" x14ac:dyDescent="0.35"/>
    <row r="377" s="482" customFormat="1" x14ac:dyDescent="0.35"/>
    <row r="378" s="482" customFormat="1" x14ac:dyDescent="0.35"/>
    <row r="379" s="482" customFormat="1" x14ac:dyDescent="0.35"/>
    <row r="380" s="482" customFormat="1" x14ac:dyDescent="0.35"/>
    <row r="381" s="482" customFormat="1" x14ac:dyDescent="0.35"/>
    <row r="382" s="482" customFormat="1" x14ac:dyDescent="0.35"/>
    <row r="383" s="482" customFormat="1" x14ac:dyDescent="0.35"/>
    <row r="384" s="482" customFormat="1" x14ac:dyDescent="0.35"/>
    <row r="385" spans="1:8" s="482" customFormat="1" x14ac:dyDescent="0.35"/>
    <row r="386" spans="1:8" s="482" customFormat="1" x14ac:dyDescent="0.35"/>
    <row r="387" spans="1:8" s="482" customFormat="1" x14ac:dyDescent="0.35">
      <c r="A387"/>
      <c r="B387"/>
      <c r="C387"/>
      <c r="D387"/>
      <c r="E387"/>
      <c r="F387"/>
      <c r="G387"/>
      <c r="H387"/>
    </row>
  </sheetData>
  <mergeCells count="32">
    <mergeCell ref="D53:E53"/>
    <mergeCell ref="F53:G53"/>
    <mergeCell ref="S57:S58"/>
    <mergeCell ref="A28:A29"/>
    <mergeCell ref="B28:D29"/>
    <mergeCell ref="F28:O28"/>
    <mergeCell ref="P28:Q29"/>
    <mergeCell ref="R28:U28"/>
    <mergeCell ref="F29:J29"/>
    <mergeCell ref="K29:O29"/>
    <mergeCell ref="R29:S29"/>
    <mergeCell ref="T29:U29"/>
    <mergeCell ref="AB58:AH58"/>
    <mergeCell ref="S59:S60"/>
    <mergeCell ref="S105:S107"/>
    <mergeCell ref="S63:S64"/>
    <mergeCell ref="S65:S66"/>
    <mergeCell ref="S67:S68"/>
    <mergeCell ref="S69:S70"/>
    <mergeCell ref="S71:S72"/>
    <mergeCell ref="S73:S74"/>
    <mergeCell ref="S75:S76"/>
    <mergeCell ref="S81:S82"/>
    <mergeCell ref="S83:S84"/>
    <mergeCell ref="S100:AA101"/>
    <mergeCell ref="S102:S104"/>
    <mergeCell ref="S61:S62"/>
    <mergeCell ref="S108:S110"/>
    <mergeCell ref="S111:S113"/>
    <mergeCell ref="S114:S116"/>
    <mergeCell ref="S117:S119"/>
    <mergeCell ref="S120:S122"/>
  </mergeCells>
  <pageMargins left="0.7" right="0.7" top="0.75" bottom="0.75" header="0.3" footer="0.3"/>
  <pageSetup paperSize="9" orientation="portrait" r:id="rId1"/>
  <drawing r:id="rId2"/>
  <legacy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4E635-2D52-4FFE-A708-0F96B330A7A5}">
  <dimension ref="A1:O19"/>
  <sheetViews>
    <sheetView showGridLines="0" zoomScaleNormal="100" workbookViewId="0">
      <selection activeCell="D12" sqref="D12"/>
    </sheetView>
  </sheetViews>
  <sheetFormatPr defaultRowHeight="14.5" x14ac:dyDescent="0.35"/>
  <cols>
    <col min="1" max="1" width="13.90625" customWidth="1"/>
    <col min="2" max="12" width="7.36328125" customWidth="1"/>
  </cols>
  <sheetData>
    <row r="1" spans="1:15" ht="15" thickBot="1" x14ac:dyDescent="0.4">
      <c r="A1" s="711" t="s">
        <v>501</v>
      </c>
    </row>
    <row r="2" spans="1:15" ht="14.5" customHeight="1" x14ac:dyDescent="0.35">
      <c r="A2" s="1003" t="s">
        <v>169</v>
      </c>
      <c r="B2" s="1014" t="s">
        <v>629</v>
      </c>
      <c r="C2" s="1015"/>
      <c r="D2" s="1016"/>
      <c r="E2" s="1006">
        <v>2023</v>
      </c>
      <c r="F2" s="1007"/>
      <c r="G2" s="1008"/>
      <c r="H2" s="1012">
        <v>2013</v>
      </c>
      <c r="I2" s="1007"/>
      <c r="J2" s="1008"/>
      <c r="K2" s="1023" t="s">
        <v>466</v>
      </c>
      <c r="L2" s="1024"/>
      <c r="M2" s="684"/>
      <c r="N2" s="845"/>
      <c r="O2" s="1020"/>
    </row>
    <row r="3" spans="1:15" ht="14.5" customHeight="1" thickBot="1" x14ac:dyDescent="0.4">
      <c r="A3" s="1004"/>
      <c r="B3" s="1017"/>
      <c r="C3" s="1018"/>
      <c r="D3" s="1019"/>
      <c r="E3" s="1009"/>
      <c r="F3" s="1010"/>
      <c r="G3" s="1011"/>
      <c r="H3" s="1013"/>
      <c r="I3" s="1010"/>
      <c r="J3" s="1011"/>
      <c r="K3" s="1025"/>
      <c r="L3" s="1026"/>
      <c r="M3" s="844"/>
      <c r="N3" s="845"/>
      <c r="O3" s="1020"/>
    </row>
    <row r="4" spans="1:15" ht="15.5" customHeight="1" x14ac:dyDescent="0.35">
      <c r="A4" s="1004"/>
      <c r="B4" s="1021" t="s">
        <v>76</v>
      </c>
      <c r="C4" s="1021" t="s">
        <v>77</v>
      </c>
      <c r="D4" s="1021" t="s">
        <v>79</v>
      </c>
      <c r="E4" s="1003" t="s">
        <v>76</v>
      </c>
      <c r="F4" s="1003" t="s">
        <v>77</v>
      </c>
      <c r="G4" s="1003" t="s">
        <v>79</v>
      </c>
      <c r="H4" s="1003" t="s">
        <v>76</v>
      </c>
      <c r="I4" s="1003" t="s">
        <v>77</v>
      </c>
      <c r="J4" s="1003" t="s">
        <v>79</v>
      </c>
      <c r="K4" s="1003" t="s">
        <v>488</v>
      </c>
      <c r="L4" s="1003" t="s">
        <v>489</v>
      </c>
      <c r="M4" s="845"/>
      <c r="N4" s="845"/>
      <c r="O4" s="23"/>
    </row>
    <row r="5" spans="1:15" ht="15" thickBot="1" x14ac:dyDescent="0.4">
      <c r="A5" s="1005"/>
      <c r="B5" s="1022"/>
      <c r="C5" s="1022"/>
      <c r="D5" s="1022"/>
      <c r="E5" s="1005"/>
      <c r="F5" s="1005"/>
      <c r="G5" s="1005"/>
      <c r="H5" s="1005"/>
      <c r="I5" s="1005"/>
      <c r="J5" s="1005"/>
      <c r="K5" s="1005"/>
      <c r="L5" s="1005"/>
      <c r="M5" s="844"/>
      <c r="N5" s="845"/>
      <c r="O5" s="23"/>
    </row>
    <row r="6" spans="1:15" ht="15.5" x14ac:dyDescent="0.35">
      <c r="A6" s="712" t="s">
        <v>113</v>
      </c>
      <c r="B6" s="718">
        <v>0.16</v>
      </c>
      <c r="C6" s="719">
        <v>0.105</v>
      </c>
      <c r="D6" s="720">
        <v>0.01</v>
      </c>
      <c r="E6" s="721">
        <v>0.16</v>
      </c>
      <c r="F6" s="722">
        <v>0.105</v>
      </c>
      <c r="G6" s="723">
        <v>0.01</v>
      </c>
      <c r="H6" s="721">
        <v>0.13</v>
      </c>
      <c r="I6" s="722">
        <v>0.105</v>
      </c>
      <c r="J6" s="723">
        <v>0.01</v>
      </c>
      <c r="K6" s="715">
        <v>3</v>
      </c>
      <c r="L6" s="716">
        <v>0</v>
      </c>
      <c r="M6" s="1001"/>
      <c r="N6" s="1002"/>
      <c r="O6" s="23"/>
    </row>
    <row r="7" spans="1:15" ht="15.5" x14ac:dyDescent="0.35">
      <c r="A7" s="713" t="s">
        <v>102</v>
      </c>
      <c r="B7" s="718">
        <v>0.13900000000000001</v>
      </c>
      <c r="C7" s="719">
        <v>0.14799999999999999</v>
      </c>
      <c r="D7" s="720">
        <v>9.8000000000000004E-2</v>
      </c>
      <c r="E7" s="721">
        <v>0.13900000000000001</v>
      </c>
      <c r="F7" s="722">
        <v>0.14799999999999999</v>
      </c>
      <c r="G7" s="723">
        <v>9.8000000000000004E-2</v>
      </c>
      <c r="H7" s="721">
        <v>9.0999999999999998E-2</v>
      </c>
      <c r="I7" s="722">
        <v>0.14799999999999999</v>
      </c>
      <c r="J7" s="723">
        <v>0.11799999999999999</v>
      </c>
      <c r="K7" s="715">
        <v>2.7</v>
      </c>
      <c r="L7" s="716">
        <v>0</v>
      </c>
      <c r="M7" s="1001"/>
      <c r="N7" s="1002"/>
      <c r="O7" s="23"/>
    </row>
    <row r="8" spans="1:15" ht="15.5" x14ac:dyDescent="0.35">
      <c r="A8" s="712" t="s">
        <v>110</v>
      </c>
      <c r="B8" s="718">
        <v>0.13</v>
      </c>
      <c r="C8" s="719">
        <v>0.09</v>
      </c>
      <c r="D8" s="720">
        <v>0.106</v>
      </c>
      <c r="E8" s="721">
        <v>0.13</v>
      </c>
      <c r="F8" s="722">
        <v>0.09</v>
      </c>
      <c r="G8" s="723">
        <v>0.106</v>
      </c>
      <c r="H8" s="721">
        <v>0.13</v>
      </c>
      <c r="I8" s="722">
        <v>0.09</v>
      </c>
      <c r="J8" s="723">
        <v>0.09</v>
      </c>
      <c r="K8" s="715">
        <v>1.6</v>
      </c>
      <c r="L8" s="716">
        <v>0</v>
      </c>
      <c r="M8" s="1001"/>
      <c r="N8" s="1002"/>
      <c r="O8" s="23"/>
    </row>
    <row r="9" spans="1:15" ht="15.5" x14ac:dyDescent="0.35">
      <c r="A9" s="712" t="s">
        <v>293</v>
      </c>
      <c r="B9" s="718">
        <v>0.13200000000000001</v>
      </c>
      <c r="C9" s="719"/>
      <c r="D9" s="720"/>
      <c r="E9" s="721">
        <v>0.13200000000000001</v>
      </c>
      <c r="F9" s="722"/>
      <c r="G9" s="723"/>
      <c r="H9" s="724">
        <v>0.11700000000000001</v>
      </c>
      <c r="I9" s="722"/>
      <c r="J9" s="723"/>
      <c r="K9" s="717">
        <v>1.5</v>
      </c>
      <c r="L9" s="714">
        <v>0</v>
      </c>
      <c r="M9" s="1001"/>
      <c r="N9" s="1002"/>
      <c r="O9" s="23"/>
    </row>
    <row r="10" spans="1:15" ht="15.5" x14ac:dyDescent="0.35">
      <c r="A10" s="713" t="s">
        <v>97</v>
      </c>
      <c r="B10" s="718">
        <v>0.218</v>
      </c>
      <c r="C10" s="719">
        <v>0.13600000000000001</v>
      </c>
      <c r="D10" s="720">
        <v>6.6000000000000003E-2</v>
      </c>
      <c r="E10" s="721">
        <v>0.218</v>
      </c>
      <c r="F10" s="722">
        <v>0.13600000000000001</v>
      </c>
      <c r="G10" s="723">
        <v>6.6000000000000003E-2</v>
      </c>
      <c r="H10" s="721">
        <v>0.21199999999999999</v>
      </c>
      <c r="I10" s="722">
        <v>0.13600000000000001</v>
      </c>
      <c r="J10" s="723">
        <v>6.3E-2</v>
      </c>
      <c r="K10" s="715">
        <v>0.9</v>
      </c>
      <c r="L10" s="716">
        <v>0</v>
      </c>
      <c r="M10" s="685"/>
      <c r="N10" s="1001"/>
      <c r="O10" s="1002"/>
    </row>
    <row r="11" spans="1:15" ht="15.5" x14ac:dyDescent="0.35">
      <c r="A11" s="712" t="s">
        <v>106</v>
      </c>
      <c r="B11" s="718">
        <v>0.06</v>
      </c>
      <c r="C11" s="719">
        <v>0</v>
      </c>
      <c r="D11" s="720">
        <v>0.13500000000000001</v>
      </c>
      <c r="E11" s="721">
        <v>0.06</v>
      </c>
      <c r="F11" s="722">
        <v>0</v>
      </c>
      <c r="G11" s="723">
        <v>0.13500000000000001</v>
      </c>
      <c r="H11" s="721">
        <v>0.05</v>
      </c>
      <c r="I11" s="722">
        <v>0</v>
      </c>
      <c r="J11" s="723">
        <v>0.13800000000000001</v>
      </c>
      <c r="K11" s="715">
        <v>0.7</v>
      </c>
      <c r="L11" s="716">
        <v>0</v>
      </c>
      <c r="M11" s="1001"/>
      <c r="N11" s="1002"/>
      <c r="O11" s="23"/>
    </row>
    <row r="12" spans="1:15" ht="15.5" x14ac:dyDescent="0.35">
      <c r="A12" s="713" t="s">
        <v>101</v>
      </c>
      <c r="B12" s="718">
        <v>0.16</v>
      </c>
      <c r="C12" s="719">
        <v>0.04</v>
      </c>
      <c r="D12" s="720">
        <v>0.13</v>
      </c>
      <c r="E12" s="721">
        <v>0.16</v>
      </c>
      <c r="F12" s="722">
        <v>0.04</v>
      </c>
      <c r="G12" s="723">
        <v>0.13</v>
      </c>
      <c r="H12" s="721">
        <v>0.16</v>
      </c>
      <c r="I12" s="722">
        <v>0.04</v>
      </c>
      <c r="J12" s="723">
        <v>0.126</v>
      </c>
      <c r="K12" s="715">
        <v>0.4</v>
      </c>
      <c r="L12" s="716">
        <v>0</v>
      </c>
      <c r="M12" s="1001"/>
      <c r="N12" s="1002"/>
      <c r="O12" s="23"/>
    </row>
    <row r="13" spans="1:15" ht="15.5" x14ac:dyDescent="0.35">
      <c r="A13" s="712" t="s">
        <v>100</v>
      </c>
      <c r="B13" s="718">
        <v>0.11</v>
      </c>
      <c r="C13" s="719">
        <v>7.0000000000000007E-2</v>
      </c>
      <c r="D13" s="720">
        <v>7.1300000000000002E-2</v>
      </c>
      <c r="E13" s="721">
        <v>0.1</v>
      </c>
      <c r="F13" s="722">
        <v>7.0000000000000007E-2</v>
      </c>
      <c r="G13" s="723">
        <v>6.9000000000000006E-2</v>
      </c>
      <c r="H13" s="721">
        <v>0.1</v>
      </c>
      <c r="I13" s="722">
        <v>7.0000000000000007E-2</v>
      </c>
      <c r="J13" s="723">
        <v>6.7000000000000004E-2</v>
      </c>
      <c r="K13" s="715">
        <v>0.2</v>
      </c>
      <c r="L13" s="716">
        <v>1.4</v>
      </c>
      <c r="M13" s="1001"/>
      <c r="N13" s="1002"/>
      <c r="O13" s="23"/>
    </row>
    <row r="14" spans="1:15" ht="15.5" x14ac:dyDescent="0.35">
      <c r="A14" s="712" t="s">
        <v>107</v>
      </c>
      <c r="B14" s="718">
        <v>8.8999999999999996E-2</v>
      </c>
      <c r="C14" s="719">
        <v>7.6999999999999999E-2</v>
      </c>
      <c r="D14" s="720">
        <v>0.08</v>
      </c>
      <c r="E14" s="721">
        <v>7.0999999999999994E-2</v>
      </c>
      <c r="F14" s="722">
        <v>7.9000000000000001E-2</v>
      </c>
      <c r="G14" s="723">
        <v>0.08</v>
      </c>
      <c r="H14" s="721">
        <v>6.3E-2</v>
      </c>
      <c r="I14" s="722">
        <v>8.6999999999999994E-2</v>
      </c>
      <c r="J14" s="723">
        <v>0.08</v>
      </c>
      <c r="K14" s="715">
        <v>0.1</v>
      </c>
      <c r="L14" s="716">
        <v>1.5</v>
      </c>
      <c r="M14" s="1001"/>
      <c r="N14" s="1002"/>
      <c r="O14" s="23"/>
    </row>
    <row r="15" spans="1:15" ht="15.5" x14ac:dyDescent="0.35">
      <c r="A15" s="712" t="s">
        <v>122</v>
      </c>
      <c r="B15" s="718">
        <v>0.14499999999999999</v>
      </c>
      <c r="C15" s="719">
        <v>8.5000000000000006E-2</v>
      </c>
      <c r="D15" s="720">
        <v>5.0999999999999997E-2</v>
      </c>
      <c r="E15" s="721">
        <v>0.13500000000000001</v>
      </c>
      <c r="F15" s="722">
        <v>8.5000000000000006E-2</v>
      </c>
      <c r="G15" s="723">
        <v>5.0999999999999997E-2</v>
      </c>
      <c r="H15" s="721">
        <v>0.13500000000000001</v>
      </c>
      <c r="I15" s="722">
        <v>8.5000000000000006E-2</v>
      </c>
      <c r="J15" s="723">
        <v>5.0999999999999997E-2</v>
      </c>
      <c r="K15" s="715">
        <v>0</v>
      </c>
      <c r="L15" s="716">
        <v>1</v>
      </c>
      <c r="M15" s="1001"/>
      <c r="N15" s="1002"/>
      <c r="O15" s="23"/>
    </row>
    <row r="16" spans="1:15" ht="15.5" x14ac:dyDescent="0.35">
      <c r="A16" s="712" t="s">
        <v>105</v>
      </c>
      <c r="B16" s="718">
        <v>0.06</v>
      </c>
      <c r="C16" s="719">
        <v>7.4999999999999997E-2</v>
      </c>
      <c r="D16" s="720">
        <v>1.2E-2</v>
      </c>
      <c r="E16" s="721">
        <v>0.03</v>
      </c>
      <c r="F16" s="722">
        <v>7.4999999999999997E-2</v>
      </c>
      <c r="G16" s="723">
        <v>4.2000000000000003E-2</v>
      </c>
      <c r="H16" s="721">
        <v>0.03</v>
      </c>
      <c r="I16" s="722">
        <v>7.4999999999999997E-2</v>
      </c>
      <c r="J16" s="723">
        <v>4.2000000000000003E-2</v>
      </c>
      <c r="K16" s="715">
        <v>0</v>
      </c>
      <c r="L16" s="716">
        <v>0</v>
      </c>
      <c r="M16" s="1001"/>
      <c r="N16" s="1002"/>
      <c r="O16" s="23"/>
    </row>
    <row r="17" spans="1:15" ht="15.5" x14ac:dyDescent="0.35">
      <c r="A17" s="712" t="s">
        <v>103</v>
      </c>
      <c r="B17" s="718">
        <v>0.105</v>
      </c>
      <c r="C17" s="719">
        <v>5.1999999999999998E-2</v>
      </c>
      <c r="D17" s="720">
        <v>0.13300000000000001</v>
      </c>
      <c r="E17" s="721">
        <v>0.105</v>
      </c>
      <c r="F17" s="722">
        <v>5.1999999999999998E-2</v>
      </c>
      <c r="G17" s="723">
        <v>0.13300000000000001</v>
      </c>
      <c r="H17" s="721">
        <v>9.7000000000000003E-2</v>
      </c>
      <c r="I17" s="722">
        <v>5.7000000000000002E-2</v>
      </c>
      <c r="J17" s="723">
        <v>0.13500000000000001</v>
      </c>
      <c r="K17" s="715">
        <v>0</v>
      </c>
      <c r="L17" s="716">
        <v>0</v>
      </c>
      <c r="M17" s="1001"/>
      <c r="N17" s="1002"/>
      <c r="O17" s="23"/>
    </row>
    <row r="18" spans="1:15" ht="15.5" x14ac:dyDescent="0.35">
      <c r="A18" s="854" t="s">
        <v>115</v>
      </c>
      <c r="B18" s="855">
        <v>0.22</v>
      </c>
      <c r="C18" s="856"/>
      <c r="D18" s="857">
        <v>8.7999999999999995E-2</v>
      </c>
      <c r="E18" s="858">
        <v>0.13</v>
      </c>
      <c r="F18" s="859"/>
      <c r="G18" s="860">
        <v>8.7999999999999995E-2</v>
      </c>
      <c r="H18" s="858">
        <v>0.13</v>
      </c>
      <c r="I18" s="859"/>
      <c r="J18" s="860">
        <v>8.7999999999999995E-2</v>
      </c>
      <c r="K18" s="861">
        <v>0</v>
      </c>
      <c r="L18" s="862">
        <v>9</v>
      </c>
      <c r="M18" s="1001"/>
      <c r="N18" s="1002"/>
      <c r="O18" s="23"/>
    </row>
    <row r="19" spans="1:15" x14ac:dyDescent="0.35">
      <c r="A19" s="725" t="s">
        <v>531</v>
      </c>
    </row>
  </sheetData>
  <autoFilter ref="A2:L5" xr:uid="{1804E635-2D52-4FFE-A708-0F96B330A7A5}">
    <filterColumn colId="1" showButton="0"/>
    <filterColumn colId="2" showButton="0"/>
    <filterColumn colId="4" showButton="0"/>
    <filterColumn colId="5" showButton="0"/>
    <filterColumn colId="7" showButton="0"/>
    <filterColumn colId="8" showButton="0"/>
    <filterColumn colId="10" showButton="0"/>
    <sortState xmlns:xlrd2="http://schemas.microsoft.com/office/spreadsheetml/2017/richdata2" ref="A9:L19">
      <sortCondition descending="1" ref="K2:K5"/>
    </sortState>
  </autoFilter>
  <mergeCells count="30">
    <mergeCell ref="O2:O3"/>
    <mergeCell ref="B4:B5"/>
    <mergeCell ref="C4:C5"/>
    <mergeCell ref="D4:D5"/>
    <mergeCell ref="E4:E5"/>
    <mergeCell ref="F4:F5"/>
    <mergeCell ref="G4:G5"/>
    <mergeCell ref="H4:H5"/>
    <mergeCell ref="K2:L3"/>
    <mergeCell ref="K4:K5"/>
    <mergeCell ref="L4:L5"/>
    <mergeCell ref="A2:A5"/>
    <mergeCell ref="E2:G3"/>
    <mergeCell ref="H2:J3"/>
    <mergeCell ref="J4:J5"/>
    <mergeCell ref="B2:D3"/>
    <mergeCell ref="I4:I5"/>
    <mergeCell ref="M6:N6"/>
    <mergeCell ref="M7:N7"/>
    <mergeCell ref="M17:N17"/>
    <mergeCell ref="M18:N18"/>
    <mergeCell ref="M8:N8"/>
    <mergeCell ref="M9:N9"/>
    <mergeCell ref="M11:N11"/>
    <mergeCell ref="M12:N12"/>
    <mergeCell ref="M16:N16"/>
    <mergeCell ref="M15:N15"/>
    <mergeCell ref="M13:N13"/>
    <mergeCell ref="M14:N14"/>
    <mergeCell ref="N10:O10"/>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P33"/>
  <sheetViews>
    <sheetView showGridLines="0" zoomScale="85" zoomScaleNormal="85" workbookViewId="0">
      <selection activeCell="A32" sqref="A32"/>
    </sheetView>
  </sheetViews>
  <sheetFormatPr defaultColWidth="9.1796875" defaultRowHeight="14.5" x14ac:dyDescent="0.35"/>
  <cols>
    <col min="1" max="1" width="15.36328125" customWidth="1"/>
    <col min="2" max="2" width="11.1796875" customWidth="1"/>
    <col min="3" max="3" width="9.90625" customWidth="1"/>
    <col min="5" max="5" width="29.54296875" customWidth="1"/>
    <col min="8" max="8" width="11.1796875" customWidth="1"/>
    <col min="9" max="9" width="11.54296875" customWidth="1"/>
    <col min="10" max="10" width="15.1796875" customWidth="1"/>
    <col min="13" max="13" width="10.54296875" customWidth="1"/>
  </cols>
  <sheetData>
    <row r="1" spans="1:13" x14ac:dyDescent="0.35">
      <c r="A1" s="5" t="s">
        <v>535</v>
      </c>
    </row>
    <row r="2" spans="1:13" ht="15" thickBot="1" x14ac:dyDescent="0.4">
      <c r="A2" s="5"/>
      <c r="J2" s="64"/>
    </row>
    <row r="3" spans="1:13" ht="23.15" customHeight="1" thickBot="1" x14ac:dyDescent="0.4">
      <c r="A3" s="1027" t="s">
        <v>169</v>
      </c>
      <c r="B3" s="797" t="s">
        <v>460</v>
      </c>
      <c r="C3" s="1027" t="s">
        <v>283</v>
      </c>
      <c r="D3" s="1027" t="s">
        <v>461</v>
      </c>
      <c r="E3" s="1027" t="s">
        <v>284</v>
      </c>
      <c r="F3" s="1027" t="s">
        <v>76</v>
      </c>
      <c r="G3" s="1027" t="s">
        <v>77</v>
      </c>
      <c r="H3" s="1027" t="s">
        <v>79</v>
      </c>
      <c r="I3" s="1027" t="s">
        <v>285</v>
      </c>
      <c r="J3" s="1027" t="s">
        <v>286</v>
      </c>
      <c r="K3" s="1027" t="s">
        <v>287</v>
      </c>
      <c r="L3" s="1027" t="s">
        <v>288</v>
      </c>
      <c r="M3" s="1027" t="s">
        <v>641</v>
      </c>
    </row>
    <row r="4" spans="1:13" ht="15" thickBot="1" x14ac:dyDescent="0.4">
      <c r="A4" s="1028"/>
      <c r="B4" s="726" t="s">
        <v>543</v>
      </c>
      <c r="C4" s="1028"/>
      <c r="D4" s="1028"/>
      <c r="E4" s="1028"/>
      <c r="F4" s="1028"/>
      <c r="G4" s="1028"/>
      <c r="H4" s="1028"/>
      <c r="I4" s="1028"/>
      <c r="J4" s="1028"/>
      <c r="K4" s="1028"/>
      <c r="L4" s="1028"/>
      <c r="M4" s="1028"/>
    </row>
    <row r="5" spans="1:13" ht="24" customHeight="1" thickBot="1" x14ac:dyDescent="0.4">
      <c r="A5" s="863" t="s">
        <v>97</v>
      </c>
      <c r="B5" s="864">
        <v>757</v>
      </c>
      <c r="C5" s="865">
        <v>30</v>
      </c>
      <c r="D5" s="865">
        <v>14</v>
      </c>
      <c r="E5" s="866" t="s">
        <v>290</v>
      </c>
      <c r="F5" s="867">
        <v>0.218</v>
      </c>
      <c r="G5" s="867">
        <v>0.13600000000000001</v>
      </c>
      <c r="H5" s="867">
        <v>6.6000000000000003E-2</v>
      </c>
      <c r="I5" s="867">
        <v>0.41899999999999998</v>
      </c>
      <c r="J5" s="867">
        <v>0.41899999999999998</v>
      </c>
      <c r="K5" s="865">
        <v>150</v>
      </c>
      <c r="L5" s="865">
        <v>60</v>
      </c>
      <c r="M5" s="868">
        <v>61874</v>
      </c>
    </row>
    <row r="6" spans="1:13" ht="15" thickBot="1" x14ac:dyDescent="0.4">
      <c r="A6" s="863" t="s">
        <v>98</v>
      </c>
      <c r="B6" s="869">
        <v>1113</v>
      </c>
      <c r="C6" s="865">
        <v>60</v>
      </c>
      <c r="D6" s="865">
        <v>20</v>
      </c>
      <c r="E6" s="866" t="s">
        <v>294</v>
      </c>
      <c r="F6" s="867">
        <v>0.16200000000000001</v>
      </c>
      <c r="G6" s="867">
        <v>0.1</v>
      </c>
      <c r="H6" s="867">
        <v>1.7000000000000001E-2</v>
      </c>
      <c r="I6" s="867">
        <v>0.27900000000000003</v>
      </c>
      <c r="J6" s="867">
        <v>0.24399999999999999</v>
      </c>
      <c r="K6" s="865">
        <v>150</v>
      </c>
      <c r="L6" s="865">
        <v>90</v>
      </c>
      <c r="M6" s="870">
        <v>20250</v>
      </c>
    </row>
    <row r="7" spans="1:13" ht="15" thickBot="1" x14ac:dyDescent="0.4">
      <c r="A7" s="863" t="s">
        <v>99</v>
      </c>
      <c r="B7" s="869">
        <v>612</v>
      </c>
      <c r="C7" s="865">
        <v>30</v>
      </c>
      <c r="D7" s="865">
        <v>40</v>
      </c>
      <c r="E7" s="866" t="s">
        <v>290</v>
      </c>
      <c r="F7" s="867">
        <v>0.28999999999999998</v>
      </c>
      <c r="G7" s="867">
        <v>0</v>
      </c>
      <c r="H7" s="867">
        <v>0.14000000000000001</v>
      </c>
      <c r="I7" s="867">
        <v>0.43</v>
      </c>
      <c r="J7" s="867">
        <v>0.42</v>
      </c>
      <c r="K7" s="865">
        <v>58</v>
      </c>
      <c r="L7" s="865">
        <v>45</v>
      </c>
      <c r="M7" s="870">
        <v>44336</v>
      </c>
    </row>
    <row r="8" spans="1:13" ht="15" thickBot="1" x14ac:dyDescent="0.4">
      <c r="A8" s="863" t="s">
        <v>100</v>
      </c>
      <c r="B8" s="869">
        <v>1162</v>
      </c>
      <c r="C8" s="865">
        <v>0</v>
      </c>
      <c r="D8" s="865">
        <v>15</v>
      </c>
      <c r="E8" s="866" t="s">
        <v>290</v>
      </c>
      <c r="F8" s="867">
        <v>0.11</v>
      </c>
      <c r="G8" s="867">
        <v>7.0000000000000007E-2</v>
      </c>
      <c r="H8" s="867">
        <v>7.1300000000000002E-2</v>
      </c>
      <c r="I8" s="867">
        <v>0.251</v>
      </c>
      <c r="J8" s="867">
        <v>0.251</v>
      </c>
      <c r="K8" s="865">
        <v>150</v>
      </c>
      <c r="L8" s="865">
        <v>30</v>
      </c>
      <c r="M8" s="870">
        <v>67859</v>
      </c>
    </row>
    <row r="9" spans="1:13" ht="23" x14ac:dyDescent="0.35">
      <c r="A9" s="871" t="s">
        <v>101</v>
      </c>
      <c r="B9" s="872">
        <v>949</v>
      </c>
      <c r="C9" s="871">
        <v>30</v>
      </c>
      <c r="D9" s="871">
        <v>15</v>
      </c>
      <c r="E9" s="873" t="s">
        <v>462</v>
      </c>
      <c r="F9" s="874">
        <v>0.16</v>
      </c>
      <c r="G9" s="874">
        <v>0.04</v>
      </c>
      <c r="H9" s="874">
        <v>0.13</v>
      </c>
      <c r="I9" s="874">
        <v>0.33</v>
      </c>
      <c r="J9" s="874">
        <v>0.32300000000000001</v>
      </c>
      <c r="K9" s="871">
        <v>110</v>
      </c>
      <c r="L9" s="871">
        <v>8</v>
      </c>
      <c r="M9" s="875">
        <v>42383</v>
      </c>
    </row>
    <row r="10" spans="1:13" ht="23" x14ac:dyDescent="0.35">
      <c r="A10" s="876"/>
      <c r="B10" s="877"/>
      <c r="C10" s="876"/>
      <c r="D10" s="876"/>
      <c r="E10" s="878" t="s">
        <v>636</v>
      </c>
      <c r="F10" s="879"/>
      <c r="G10" s="879"/>
      <c r="H10" s="879"/>
      <c r="I10" s="879"/>
      <c r="J10" s="879"/>
      <c r="K10" s="876"/>
      <c r="L10" s="876"/>
      <c r="M10" s="880"/>
    </row>
    <row r="11" spans="1:13" ht="23.5" thickBot="1" x14ac:dyDescent="0.4">
      <c r="A11" s="863"/>
      <c r="B11" s="881"/>
      <c r="C11" s="863"/>
      <c r="D11" s="863"/>
      <c r="E11" s="882" t="s">
        <v>637</v>
      </c>
      <c r="F11" s="883"/>
      <c r="G11" s="883"/>
      <c r="H11" s="883"/>
      <c r="I11" s="883"/>
      <c r="J11" s="883"/>
      <c r="K11" s="863"/>
      <c r="L11" s="863"/>
      <c r="M11" s="884"/>
    </row>
    <row r="12" spans="1:13" ht="15" thickBot="1" x14ac:dyDescent="0.4">
      <c r="A12" s="863" t="s">
        <v>102</v>
      </c>
      <c r="B12" s="869">
        <v>1300</v>
      </c>
      <c r="C12" s="865">
        <v>30</v>
      </c>
      <c r="D12" s="865">
        <v>14</v>
      </c>
      <c r="E12" s="866" t="s">
        <v>290</v>
      </c>
      <c r="F12" s="867">
        <v>0.13900000000000001</v>
      </c>
      <c r="G12" s="867">
        <v>0.14799999999999999</v>
      </c>
      <c r="H12" s="867">
        <v>9.8000000000000004E-2</v>
      </c>
      <c r="I12" s="867">
        <v>0.38400000000000001</v>
      </c>
      <c r="J12" s="867">
        <v>0.38400000000000001</v>
      </c>
      <c r="K12" s="865">
        <v>106</v>
      </c>
      <c r="L12" s="865">
        <v>30</v>
      </c>
      <c r="M12" s="870">
        <v>65425</v>
      </c>
    </row>
    <row r="13" spans="1:13" ht="15" thickBot="1" x14ac:dyDescent="0.4">
      <c r="A13" s="863" t="s">
        <v>112</v>
      </c>
      <c r="B13" s="869">
        <v>921</v>
      </c>
      <c r="C13" s="865">
        <v>30</v>
      </c>
      <c r="D13" s="865">
        <v>18</v>
      </c>
      <c r="E13" s="866" t="s">
        <v>290</v>
      </c>
      <c r="F13" s="867">
        <v>0.1</v>
      </c>
      <c r="G13" s="867">
        <v>0.10100000000000001</v>
      </c>
      <c r="H13" s="867">
        <v>2.5000000000000001E-2</v>
      </c>
      <c r="I13" s="867">
        <v>0.22600000000000001</v>
      </c>
      <c r="J13" s="867">
        <v>0.22600000000000001</v>
      </c>
      <c r="K13" s="865">
        <v>115</v>
      </c>
      <c r="L13" s="865">
        <v>28</v>
      </c>
      <c r="M13" s="870">
        <v>58140</v>
      </c>
    </row>
    <row r="14" spans="1:13" ht="15" thickBot="1" x14ac:dyDescent="0.4">
      <c r="A14" s="863" t="s">
        <v>103</v>
      </c>
      <c r="B14" s="869">
        <v>1083</v>
      </c>
      <c r="C14" s="865">
        <v>30</v>
      </c>
      <c r="D14" s="865">
        <v>15</v>
      </c>
      <c r="E14" s="866" t="s">
        <v>290</v>
      </c>
      <c r="F14" s="867">
        <v>0.105</v>
      </c>
      <c r="G14" s="867">
        <v>5.1999999999999998E-2</v>
      </c>
      <c r="H14" s="867">
        <v>0.13300000000000001</v>
      </c>
      <c r="I14" s="867">
        <v>0.28899999999999998</v>
      </c>
      <c r="J14" s="867">
        <v>0.28899999999999998</v>
      </c>
      <c r="K14" s="865">
        <v>150</v>
      </c>
      <c r="L14" s="885"/>
      <c r="M14" s="870">
        <v>32568</v>
      </c>
    </row>
    <row r="15" spans="1:13" ht="15" thickBot="1" x14ac:dyDescent="0.4">
      <c r="A15" s="863" t="s">
        <v>113</v>
      </c>
      <c r="B15" s="869">
        <v>893</v>
      </c>
      <c r="C15" s="865">
        <v>19</v>
      </c>
      <c r="D15" s="865">
        <v>19</v>
      </c>
      <c r="E15" s="866" t="s">
        <v>294</v>
      </c>
      <c r="F15" s="867">
        <v>0.16</v>
      </c>
      <c r="G15" s="867">
        <v>0.105</v>
      </c>
      <c r="H15" s="867">
        <v>0.01</v>
      </c>
      <c r="I15" s="867">
        <v>0.27500000000000002</v>
      </c>
      <c r="J15" s="867">
        <v>0.27500000000000002</v>
      </c>
      <c r="K15" s="865">
        <v>150</v>
      </c>
      <c r="L15" s="885"/>
      <c r="M15" s="870">
        <v>29086</v>
      </c>
    </row>
    <row r="16" spans="1:13" ht="15" thickBot="1" x14ac:dyDescent="0.4">
      <c r="A16" s="863" t="s">
        <v>104</v>
      </c>
      <c r="B16" s="869">
        <v>987</v>
      </c>
      <c r="C16" s="865">
        <v>60</v>
      </c>
      <c r="D16" s="865">
        <v>15</v>
      </c>
      <c r="E16" s="866" t="s">
        <v>294</v>
      </c>
      <c r="F16" s="867">
        <v>5.5E-2</v>
      </c>
      <c r="G16" s="867">
        <v>0.06</v>
      </c>
      <c r="H16" s="867">
        <v>0.06</v>
      </c>
      <c r="I16" s="867">
        <v>0.17499999999999999</v>
      </c>
      <c r="J16" s="867">
        <v>0.17499999999999999</v>
      </c>
      <c r="K16" s="865">
        <v>150</v>
      </c>
      <c r="L16" s="885"/>
      <c r="M16" s="870">
        <v>34913</v>
      </c>
    </row>
    <row r="17" spans="1:16" ht="15" thickBot="1" x14ac:dyDescent="0.4">
      <c r="A17" s="863" t="s">
        <v>105</v>
      </c>
      <c r="B17" s="869">
        <v>1251</v>
      </c>
      <c r="C17" s="865">
        <v>30</v>
      </c>
      <c r="D17" s="865">
        <v>20</v>
      </c>
      <c r="E17" s="866" t="s">
        <v>294</v>
      </c>
      <c r="F17" s="867">
        <v>0.06</v>
      </c>
      <c r="G17" s="867">
        <v>7.4999999999999997E-2</v>
      </c>
      <c r="H17" s="867">
        <v>1.2E-2</v>
      </c>
      <c r="I17" s="867">
        <v>0.14699999999999999</v>
      </c>
      <c r="J17" s="867">
        <v>0.11</v>
      </c>
      <c r="K17" s="865">
        <v>150</v>
      </c>
      <c r="L17" s="865">
        <v>60</v>
      </c>
      <c r="M17" s="870">
        <v>18866</v>
      </c>
    </row>
    <row r="18" spans="1:16" ht="15" customHeight="1" thickBot="1" x14ac:dyDescent="0.4">
      <c r="A18" s="863" t="s">
        <v>106</v>
      </c>
      <c r="B18" s="869">
        <v>736</v>
      </c>
      <c r="C18" s="865">
        <v>0</v>
      </c>
      <c r="D18" s="865">
        <v>14</v>
      </c>
      <c r="E18" s="866" t="s">
        <v>290</v>
      </c>
      <c r="F18" s="867">
        <v>0.06</v>
      </c>
      <c r="G18" s="867">
        <v>0</v>
      </c>
      <c r="H18" s="867">
        <v>0.13500000000000001</v>
      </c>
      <c r="I18" s="867">
        <v>0.19500000000000001</v>
      </c>
      <c r="J18" s="867">
        <v>0.19500000000000001</v>
      </c>
      <c r="K18" s="865">
        <v>70</v>
      </c>
      <c r="L18" s="865">
        <v>28</v>
      </c>
      <c r="M18" s="870">
        <v>21087</v>
      </c>
    </row>
    <row r="19" spans="1:16" x14ac:dyDescent="0.35">
      <c r="A19" s="871" t="s">
        <v>121</v>
      </c>
      <c r="B19" s="872">
        <v>831</v>
      </c>
      <c r="C19" s="871">
        <v>15</v>
      </c>
      <c r="D19" s="871">
        <v>20</v>
      </c>
      <c r="E19" s="873" t="s">
        <v>463</v>
      </c>
      <c r="F19" s="874">
        <v>8.8999999999999996E-2</v>
      </c>
      <c r="G19" s="874">
        <v>7.6999999999999999E-2</v>
      </c>
      <c r="H19" s="874">
        <v>0.08</v>
      </c>
      <c r="I19" s="874">
        <v>0.246</v>
      </c>
      <c r="J19" s="874">
        <v>0.29499999999999998</v>
      </c>
      <c r="K19" s="871">
        <v>190</v>
      </c>
      <c r="L19" s="886"/>
      <c r="M19" s="875">
        <v>55145</v>
      </c>
    </row>
    <row r="20" spans="1:16" ht="23" x14ac:dyDescent="0.35">
      <c r="A20" s="876"/>
      <c r="B20" s="877"/>
      <c r="C20" s="876"/>
      <c r="D20" s="876"/>
      <c r="E20" s="878" t="s">
        <v>638</v>
      </c>
      <c r="F20" s="879"/>
      <c r="G20" s="879"/>
      <c r="H20" s="879"/>
      <c r="I20" s="879"/>
      <c r="J20" s="879"/>
      <c r="K20" s="876"/>
      <c r="L20" s="887"/>
      <c r="M20" s="880"/>
    </row>
    <row r="21" spans="1:16" ht="23.5" thickBot="1" x14ac:dyDescent="0.4">
      <c r="A21" s="863"/>
      <c r="B21" s="881"/>
      <c r="C21" s="863"/>
      <c r="D21" s="863"/>
      <c r="E21" s="882" t="s">
        <v>639</v>
      </c>
      <c r="F21" s="883"/>
      <c r="G21" s="883"/>
      <c r="H21" s="883"/>
      <c r="I21" s="883"/>
      <c r="J21" s="883"/>
      <c r="K21" s="863"/>
      <c r="L21" s="888"/>
      <c r="M21" s="884"/>
    </row>
    <row r="22" spans="1:16" x14ac:dyDescent="0.35">
      <c r="A22" s="871" t="s">
        <v>122</v>
      </c>
      <c r="B22" s="872">
        <v>1380</v>
      </c>
      <c r="C22" s="871">
        <v>30</v>
      </c>
      <c r="D22" s="871">
        <v>30</v>
      </c>
      <c r="E22" s="873" t="s">
        <v>294</v>
      </c>
      <c r="F22" s="874">
        <v>0.14499999999999999</v>
      </c>
      <c r="G22" s="874">
        <v>8.5000000000000006E-2</v>
      </c>
      <c r="H22" s="874">
        <v>5.0999999999999997E-2</v>
      </c>
      <c r="I22" s="874">
        <v>0.28100000000000003</v>
      </c>
      <c r="J22" s="874">
        <v>0.28100000000000003</v>
      </c>
      <c r="K22" s="871">
        <v>119</v>
      </c>
      <c r="L22" s="886"/>
      <c r="M22" s="875">
        <v>84762</v>
      </c>
    </row>
    <row r="23" spans="1:16" ht="49.5" customHeight="1" thickBot="1" x14ac:dyDescent="0.4">
      <c r="A23" s="863"/>
      <c r="B23" s="881"/>
      <c r="C23" s="863"/>
      <c r="D23" s="863"/>
      <c r="E23" s="866" t="s">
        <v>532</v>
      </c>
      <c r="F23" s="883"/>
      <c r="G23" s="883"/>
      <c r="H23" s="883"/>
      <c r="I23" s="883"/>
      <c r="J23" s="883"/>
      <c r="K23" s="863"/>
      <c r="L23" s="888"/>
      <c r="M23" s="884"/>
    </row>
    <row r="24" spans="1:16" ht="15" thickBot="1" x14ac:dyDescent="0.4">
      <c r="A24" s="863" t="s">
        <v>111</v>
      </c>
      <c r="B24" s="869">
        <v>1107</v>
      </c>
      <c r="C24" s="865">
        <v>30</v>
      </c>
      <c r="D24" s="865">
        <v>12</v>
      </c>
      <c r="E24" s="866" t="s">
        <v>290</v>
      </c>
      <c r="F24" s="889">
        <v>0.23</v>
      </c>
      <c r="G24" s="890"/>
      <c r="H24" s="867">
        <v>2.5000000000000001E-2</v>
      </c>
      <c r="I24" s="867">
        <v>0.255</v>
      </c>
      <c r="J24" s="867">
        <v>0.255</v>
      </c>
      <c r="K24" s="865">
        <v>75</v>
      </c>
      <c r="L24" s="865">
        <v>45</v>
      </c>
      <c r="M24" s="870">
        <v>36649</v>
      </c>
    </row>
    <row r="25" spans="1:16" ht="15" thickBot="1" x14ac:dyDescent="0.4">
      <c r="A25" s="863" t="s">
        <v>110</v>
      </c>
      <c r="B25" s="869">
        <v>634</v>
      </c>
      <c r="C25" s="865">
        <v>60</v>
      </c>
      <c r="D25" s="865">
        <v>30</v>
      </c>
      <c r="E25" s="866" t="s">
        <v>290</v>
      </c>
      <c r="F25" s="867">
        <v>0.13</v>
      </c>
      <c r="G25" s="867">
        <v>0.09</v>
      </c>
      <c r="H25" s="867">
        <v>0.106</v>
      </c>
      <c r="I25" s="867">
        <v>0.32600000000000001</v>
      </c>
      <c r="J25" s="867">
        <v>0.32600000000000001</v>
      </c>
      <c r="K25" s="865">
        <v>225</v>
      </c>
      <c r="L25" s="885"/>
      <c r="M25" s="870">
        <v>32201</v>
      </c>
      <c r="N25" s="2"/>
      <c r="O25" s="2"/>
      <c r="P25" s="2"/>
    </row>
    <row r="26" spans="1:16" ht="23" x14ac:dyDescent="0.35">
      <c r="A26" s="871" t="s">
        <v>114</v>
      </c>
      <c r="B26" s="872">
        <v>896</v>
      </c>
      <c r="C26" s="871">
        <v>30</v>
      </c>
      <c r="D26" s="871">
        <v>21</v>
      </c>
      <c r="E26" s="873" t="s">
        <v>533</v>
      </c>
      <c r="F26" s="874">
        <v>0.22500000000000001</v>
      </c>
      <c r="G26" s="874">
        <v>9.5000000000000001E-2</v>
      </c>
      <c r="H26" s="874">
        <v>7.0999999999999994E-2</v>
      </c>
      <c r="I26" s="874">
        <v>0.376</v>
      </c>
      <c r="J26" s="874">
        <v>0.376</v>
      </c>
      <c r="K26" s="871">
        <v>179</v>
      </c>
      <c r="L26" s="886"/>
      <c r="M26" s="875">
        <v>69772</v>
      </c>
    </row>
    <row r="27" spans="1:16" ht="15" thickBot="1" x14ac:dyDescent="0.4">
      <c r="A27" s="863"/>
      <c r="B27" s="881"/>
      <c r="C27" s="863"/>
      <c r="D27" s="863"/>
      <c r="E27" s="866" t="s">
        <v>534</v>
      </c>
      <c r="F27" s="883"/>
      <c r="G27" s="883"/>
      <c r="H27" s="883"/>
      <c r="I27" s="883"/>
      <c r="J27" s="883"/>
      <c r="K27" s="863"/>
      <c r="L27" s="888"/>
      <c r="M27" s="884"/>
    </row>
    <row r="28" spans="1:16" ht="15" thickBot="1" x14ac:dyDescent="0.4">
      <c r="A28" s="863" t="s">
        <v>115</v>
      </c>
      <c r="B28" s="869">
        <v>9</v>
      </c>
      <c r="C28" s="865">
        <v>30</v>
      </c>
      <c r="D28" s="865">
        <v>19</v>
      </c>
      <c r="E28" s="866" t="s">
        <v>294</v>
      </c>
      <c r="F28" s="867">
        <v>0.22</v>
      </c>
      <c r="G28" s="867"/>
      <c r="H28" s="867">
        <v>8.7999999999999995E-2</v>
      </c>
      <c r="I28" s="867">
        <v>0.308</v>
      </c>
      <c r="J28" s="867">
        <v>0.308</v>
      </c>
      <c r="K28" s="865">
        <v>150</v>
      </c>
      <c r="L28" s="885"/>
      <c r="M28" s="870">
        <v>18255</v>
      </c>
    </row>
    <row r="29" spans="1:16" ht="15" thickBot="1" x14ac:dyDescent="0.4">
      <c r="A29" s="891" t="s">
        <v>293</v>
      </c>
      <c r="B29" s="869">
        <v>974</v>
      </c>
      <c r="C29" s="865">
        <v>0</v>
      </c>
      <c r="D29" s="865">
        <v>14</v>
      </c>
      <c r="E29" s="866" t="s">
        <v>294</v>
      </c>
      <c r="F29" s="892">
        <v>0.13200000000000001</v>
      </c>
      <c r="G29" s="893"/>
      <c r="H29" s="894"/>
      <c r="I29" s="895">
        <v>0.13200000000000001</v>
      </c>
      <c r="J29" s="895">
        <v>0.13200000000000001</v>
      </c>
      <c r="K29" s="865">
        <v>75</v>
      </c>
      <c r="L29" s="885"/>
      <c r="M29" s="870">
        <v>75842</v>
      </c>
    </row>
    <row r="30" spans="1:16" x14ac:dyDescent="0.35">
      <c r="C30" s="88"/>
    </row>
    <row r="31" spans="1:16" x14ac:dyDescent="0.35">
      <c r="A31" s="1135" t="s">
        <v>642</v>
      </c>
      <c r="C31" s="88"/>
    </row>
    <row r="32" spans="1:16" x14ac:dyDescent="0.35">
      <c r="C32" s="88"/>
      <c r="D32" s="88"/>
    </row>
    <row r="33" spans="3:4" x14ac:dyDescent="0.35">
      <c r="C33" s="88"/>
      <c r="D33" s="88"/>
    </row>
  </sheetData>
  <mergeCells count="12">
    <mergeCell ref="M3:M4"/>
    <mergeCell ref="H3:H4"/>
    <mergeCell ref="I3:I4"/>
    <mergeCell ref="J3:J4"/>
    <mergeCell ref="K3:K4"/>
    <mergeCell ref="L3:L4"/>
    <mergeCell ref="G3:G4"/>
    <mergeCell ref="A3:A4"/>
    <mergeCell ref="C3:C4"/>
    <mergeCell ref="D3:D4"/>
    <mergeCell ref="E3:E4"/>
    <mergeCell ref="F3:F4"/>
  </mergeCells>
  <pageMargins left="0.7" right="0.7" top="0.75" bottom="0.75" header="0.3" footer="0.3"/>
  <pageSetup orientation="landscape" r:id="rId1"/>
  <drawing r:id="rId2"/>
  <legacy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C0CAC-55D6-4AF8-A1DA-39D3AD6FF67F}">
  <sheetPr>
    <tabColor theme="8"/>
  </sheetPr>
  <dimension ref="A1:K78"/>
  <sheetViews>
    <sheetView topLeftCell="A29" zoomScale="55" zoomScaleNormal="55" workbookViewId="0">
      <selection activeCell="C7" sqref="C7"/>
    </sheetView>
  </sheetViews>
  <sheetFormatPr defaultRowHeight="14.5" x14ac:dyDescent="0.35"/>
  <cols>
    <col min="6" max="6" width="9.90625" style="22" customWidth="1"/>
    <col min="10" max="10" width="11.36328125" customWidth="1"/>
  </cols>
  <sheetData>
    <row r="1" spans="1:8" ht="15" x14ac:dyDescent="0.35">
      <c r="A1" s="58" t="s">
        <v>197</v>
      </c>
    </row>
    <row r="2" spans="1:8" x14ac:dyDescent="0.35">
      <c r="A2" t="s">
        <v>165</v>
      </c>
    </row>
    <row r="4" spans="1:8" x14ac:dyDescent="0.35">
      <c r="B4" s="944" t="s">
        <v>186</v>
      </c>
      <c r="C4" s="944"/>
      <c r="D4" s="944"/>
      <c r="E4" s="944"/>
      <c r="G4" s="944"/>
      <c r="H4" s="944"/>
    </row>
    <row r="5" spans="1:8" x14ac:dyDescent="0.35">
      <c r="C5" t="s">
        <v>76</v>
      </c>
      <c r="D5" t="s">
        <v>77</v>
      </c>
      <c r="E5" t="s">
        <v>192</v>
      </c>
      <c r="G5" t="s">
        <v>138</v>
      </c>
      <c r="H5" t="s">
        <v>186</v>
      </c>
    </row>
    <row r="6" spans="1:8" x14ac:dyDescent="0.35">
      <c r="A6" s="944" t="s">
        <v>14</v>
      </c>
      <c r="B6">
        <v>2013</v>
      </c>
      <c r="C6" s="7">
        <v>0.15</v>
      </c>
      <c r="D6" s="7">
        <v>4.4999999999999998E-2</v>
      </c>
      <c r="E6" s="7">
        <v>1.25E-3</v>
      </c>
      <c r="F6" s="22" t="s">
        <v>198</v>
      </c>
      <c r="G6" s="9">
        <f>VLOOKUP(F6,$J$30:$K$51,2,0)</f>
        <v>0.43305821917808218</v>
      </c>
      <c r="H6" s="2">
        <f>SUM(C6:E6)</f>
        <v>0.19625000000000001</v>
      </c>
    </row>
    <row r="7" spans="1:8" x14ac:dyDescent="0.35">
      <c r="A7" s="944"/>
      <c r="B7">
        <v>2023</v>
      </c>
      <c r="C7" s="7">
        <v>0.15</v>
      </c>
      <c r="D7" s="7">
        <v>0.03</v>
      </c>
      <c r="E7" s="2">
        <v>1E-3</v>
      </c>
      <c r="F7" s="22" t="s">
        <v>199</v>
      </c>
      <c r="G7" s="9">
        <f t="shared" ref="G7:G27" si="0">VLOOKUP(F7,$J$30:$K$51,2,0)</f>
        <v>0.43611111111111112</v>
      </c>
      <c r="H7" s="2">
        <f t="shared" ref="H7:H27" si="1">SUM(C7:E7)</f>
        <v>0.18099999999999999</v>
      </c>
    </row>
    <row r="8" spans="1:8" x14ac:dyDescent="0.35">
      <c r="A8" s="944" t="s">
        <v>11</v>
      </c>
      <c r="B8">
        <v>2013</v>
      </c>
      <c r="C8" s="7">
        <v>0.11904109589041097</v>
      </c>
      <c r="D8" s="7">
        <v>7.4999999999999997E-2</v>
      </c>
      <c r="E8" s="7">
        <v>0</v>
      </c>
      <c r="F8" s="22" t="s">
        <v>200</v>
      </c>
      <c r="G8" s="9">
        <f t="shared" si="0"/>
        <v>0.51698630136986301</v>
      </c>
      <c r="H8" s="2">
        <f t="shared" si="1"/>
        <v>0.19404109589041096</v>
      </c>
    </row>
    <row r="9" spans="1:8" x14ac:dyDescent="0.35">
      <c r="A9" s="944"/>
      <c r="B9">
        <v>2023</v>
      </c>
      <c r="C9" s="7">
        <v>0.11</v>
      </c>
      <c r="D9" s="7">
        <v>0.06</v>
      </c>
      <c r="E9" s="7">
        <v>0</v>
      </c>
      <c r="F9" s="22" t="s">
        <v>201</v>
      </c>
      <c r="G9" s="9">
        <f t="shared" si="0"/>
        <v>0.52655555555555555</v>
      </c>
      <c r="H9" s="2">
        <f t="shared" si="1"/>
        <v>0.16999999999999998</v>
      </c>
    </row>
    <row r="10" spans="1:8" x14ac:dyDescent="0.35">
      <c r="A10" s="944" t="s">
        <v>13</v>
      </c>
      <c r="B10">
        <v>2013</v>
      </c>
      <c r="C10" s="7">
        <v>0.12709999999999999</v>
      </c>
      <c r="D10" s="7">
        <v>0</v>
      </c>
      <c r="E10" s="7">
        <v>0</v>
      </c>
      <c r="F10" s="22" t="s">
        <v>202</v>
      </c>
      <c r="G10" s="9">
        <f t="shared" si="0"/>
        <v>0.49778493150684933</v>
      </c>
      <c r="H10" s="2">
        <f t="shared" si="1"/>
        <v>0.12709999999999999</v>
      </c>
    </row>
    <row r="11" spans="1:8" x14ac:dyDescent="0.35">
      <c r="A11" s="944"/>
      <c r="B11">
        <v>2023</v>
      </c>
      <c r="C11" s="7">
        <v>0.12709999999999999</v>
      </c>
      <c r="D11" s="7">
        <v>0</v>
      </c>
      <c r="E11" s="7">
        <v>0</v>
      </c>
      <c r="F11" s="22" t="s">
        <v>203</v>
      </c>
      <c r="G11" s="9">
        <f t="shared" si="0"/>
        <v>0.51975555555555564</v>
      </c>
      <c r="H11" s="2">
        <f t="shared" si="1"/>
        <v>0.12709999999999999</v>
      </c>
    </row>
    <row r="12" spans="1:8" x14ac:dyDescent="0.35">
      <c r="A12" s="944" t="s">
        <v>19</v>
      </c>
      <c r="B12">
        <v>2013</v>
      </c>
      <c r="C12" s="7">
        <v>9.8458904109589032E-2</v>
      </c>
      <c r="D12" s="7">
        <v>1.0958904109589039E-2</v>
      </c>
      <c r="E12" s="7">
        <v>1.3527397260273974E-2</v>
      </c>
      <c r="F12" s="22" t="s">
        <v>204</v>
      </c>
      <c r="G12" s="9">
        <f t="shared" si="0"/>
        <v>0.38185753424657531</v>
      </c>
      <c r="H12" s="2">
        <f t="shared" si="1"/>
        <v>0.12294520547945205</v>
      </c>
    </row>
    <row r="13" spans="1:8" x14ac:dyDescent="0.35">
      <c r="A13" s="944"/>
      <c r="B13">
        <v>2023</v>
      </c>
      <c r="C13" s="7">
        <v>9.2999999999999999E-2</v>
      </c>
      <c r="D13" s="7">
        <v>5.0000000000000001E-3</v>
      </c>
      <c r="E13" s="7">
        <v>1.2500000000000001E-2</v>
      </c>
      <c r="F13" s="22" t="s">
        <v>205</v>
      </c>
      <c r="G13" s="9">
        <f t="shared" si="0"/>
        <v>0.37497777777777774</v>
      </c>
      <c r="H13" s="2">
        <f t="shared" si="1"/>
        <v>0.1105</v>
      </c>
    </row>
    <row r="14" spans="1:8" x14ac:dyDescent="0.35">
      <c r="A14" s="944" t="s">
        <v>17</v>
      </c>
      <c r="B14">
        <v>2013</v>
      </c>
      <c r="C14" s="7">
        <v>7.4510817261692439E-2</v>
      </c>
      <c r="D14" s="7">
        <v>0</v>
      </c>
      <c r="E14" s="7">
        <v>3.1532439232734299E-2</v>
      </c>
      <c r="F14" s="22" t="s">
        <v>206</v>
      </c>
      <c r="G14" s="9">
        <f t="shared" si="0"/>
        <v>0.40742750840300862</v>
      </c>
      <c r="H14" s="2">
        <f t="shared" si="1"/>
        <v>0.10604325649442674</v>
      </c>
    </row>
    <row r="15" spans="1:8" x14ac:dyDescent="0.35">
      <c r="A15" s="944"/>
      <c r="B15">
        <v>2023</v>
      </c>
      <c r="C15" s="7">
        <v>6.6000000000000003E-2</v>
      </c>
      <c r="D15" s="7">
        <v>0</v>
      </c>
      <c r="E15" s="7">
        <v>0.03</v>
      </c>
      <c r="F15" s="22" t="s">
        <v>207</v>
      </c>
      <c r="G15" s="9">
        <f t="shared" si="0"/>
        <v>0.4029666666666667</v>
      </c>
      <c r="H15" s="2">
        <f t="shared" si="1"/>
        <v>9.6000000000000002E-2</v>
      </c>
    </row>
    <row r="16" spans="1:8" x14ac:dyDescent="0.35">
      <c r="A16" s="944" t="s">
        <v>18</v>
      </c>
      <c r="B16">
        <v>2013</v>
      </c>
      <c r="C16" s="7">
        <v>2.889452054794521E-2</v>
      </c>
      <c r="D16" s="7">
        <v>5.9520547945205476E-2</v>
      </c>
      <c r="E16" s="7">
        <v>1.0821917808219178E-2</v>
      </c>
      <c r="F16" s="22" t="s">
        <v>208</v>
      </c>
      <c r="G16" s="9">
        <f t="shared" si="0"/>
        <v>0.48157808219178083</v>
      </c>
      <c r="H16" s="2">
        <f t="shared" si="1"/>
        <v>9.9236986301369859E-2</v>
      </c>
    </row>
    <row r="17" spans="1:11" x14ac:dyDescent="0.35">
      <c r="A17" s="944"/>
      <c r="B17">
        <v>2023</v>
      </c>
      <c r="C17" s="7">
        <v>5.1999999999999998E-2</v>
      </c>
      <c r="D17" s="7">
        <v>5.5E-2</v>
      </c>
      <c r="E17" s="7">
        <v>0.01</v>
      </c>
      <c r="F17" s="22" t="s">
        <v>209</v>
      </c>
      <c r="G17" s="9">
        <f t="shared" si="0"/>
        <v>0.49788888888888883</v>
      </c>
      <c r="H17" s="2">
        <f t="shared" si="1"/>
        <v>0.11699999999999999</v>
      </c>
    </row>
    <row r="18" spans="1:11" x14ac:dyDescent="0.35">
      <c r="A18" s="944" t="s">
        <v>20</v>
      </c>
      <c r="B18">
        <v>2013</v>
      </c>
      <c r="C18" s="7">
        <v>9.7397260273972594E-2</v>
      </c>
      <c r="D18" s="7">
        <v>0</v>
      </c>
      <c r="E18" s="7">
        <v>0</v>
      </c>
      <c r="F18" s="22" t="s">
        <v>210</v>
      </c>
      <c r="G18" s="9">
        <f t="shared" si="0"/>
        <v>0.34315068493150686</v>
      </c>
      <c r="H18" s="2">
        <f t="shared" si="1"/>
        <v>9.7397260273972594E-2</v>
      </c>
    </row>
    <row r="19" spans="1:11" x14ac:dyDescent="0.35">
      <c r="A19" s="944"/>
      <c r="B19">
        <v>2023</v>
      </c>
      <c r="C19" s="7">
        <v>0.09</v>
      </c>
      <c r="D19" s="7">
        <v>0</v>
      </c>
      <c r="E19" s="7">
        <v>0</v>
      </c>
      <c r="F19" s="22" t="s">
        <v>211</v>
      </c>
      <c r="G19" s="9">
        <f t="shared" si="0"/>
        <v>0.35333333333333333</v>
      </c>
      <c r="H19" s="2">
        <f t="shared" si="1"/>
        <v>0.09</v>
      </c>
    </row>
    <row r="20" spans="1:11" x14ac:dyDescent="0.35">
      <c r="A20" s="944" t="s">
        <v>25</v>
      </c>
      <c r="B20">
        <v>2013</v>
      </c>
      <c r="C20" s="7">
        <v>6.25E-2</v>
      </c>
      <c r="D20" s="7">
        <v>0.03</v>
      </c>
      <c r="E20" s="7">
        <v>0</v>
      </c>
      <c r="F20" s="22" t="s">
        <v>212</v>
      </c>
      <c r="G20" s="9">
        <f t="shared" si="0"/>
        <v>0.34154109589041098</v>
      </c>
      <c r="H20" s="2">
        <f t="shared" si="1"/>
        <v>9.2499999999999999E-2</v>
      </c>
    </row>
    <row r="21" spans="1:11" x14ac:dyDescent="0.35">
      <c r="A21" s="944"/>
      <c r="B21">
        <v>2023</v>
      </c>
      <c r="C21" s="7">
        <v>6.3E-2</v>
      </c>
      <c r="D21" s="7">
        <v>0.03</v>
      </c>
      <c r="E21" s="7">
        <v>0</v>
      </c>
      <c r="F21" s="22" t="s">
        <v>213</v>
      </c>
      <c r="G21" s="9">
        <f t="shared" si="0"/>
        <v>0.34466666666666662</v>
      </c>
      <c r="H21" s="2">
        <f t="shared" si="1"/>
        <v>9.2999999999999999E-2</v>
      </c>
    </row>
    <row r="22" spans="1:11" x14ac:dyDescent="0.35">
      <c r="A22" s="944" t="s">
        <v>26</v>
      </c>
      <c r="B22">
        <v>2013</v>
      </c>
      <c r="C22" s="7">
        <v>3.1058904109589044E-2</v>
      </c>
      <c r="D22" s="7">
        <v>3.2898630136986302E-2</v>
      </c>
      <c r="E22" s="7">
        <v>5.4109589041095895E-4</v>
      </c>
      <c r="F22" s="22" t="s">
        <v>214</v>
      </c>
      <c r="G22" s="9">
        <f t="shared" si="0"/>
        <v>0.38723424657534256</v>
      </c>
      <c r="H22" s="2">
        <f t="shared" si="1"/>
        <v>6.4498630136986312E-2</v>
      </c>
    </row>
    <row r="23" spans="1:11" x14ac:dyDescent="0.35">
      <c r="A23" s="944"/>
      <c r="B23">
        <v>2023</v>
      </c>
      <c r="C23" s="7">
        <v>2.9000000000000001E-2</v>
      </c>
      <c r="D23" s="7">
        <v>3.04E-2</v>
      </c>
      <c r="E23" s="7">
        <v>5.0000000000000001E-3</v>
      </c>
      <c r="F23" s="22" t="s">
        <v>215</v>
      </c>
      <c r="G23" s="9">
        <f t="shared" si="0"/>
        <v>0.37477777777777777</v>
      </c>
      <c r="H23" s="2">
        <f t="shared" si="1"/>
        <v>6.4399999999999999E-2</v>
      </c>
    </row>
    <row r="24" spans="1:11" x14ac:dyDescent="0.35">
      <c r="A24" s="944" t="s">
        <v>21</v>
      </c>
      <c r="B24">
        <v>2013</v>
      </c>
      <c r="C24" s="7">
        <v>1.83E-2</v>
      </c>
      <c r="D24" s="7">
        <v>0.02</v>
      </c>
      <c r="E24" s="7">
        <v>0.01</v>
      </c>
      <c r="F24" s="22" t="s">
        <v>216</v>
      </c>
      <c r="G24" s="9">
        <f t="shared" si="0"/>
        <v>0.41437123287671235</v>
      </c>
      <c r="H24" s="2">
        <f t="shared" si="1"/>
        <v>4.8300000000000003E-2</v>
      </c>
    </row>
    <row r="25" spans="1:11" x14ac:dyDescent="0.35">
      <c r="A25" s="944"/>
      <c r="B25">
        <v>2023</v>
      </c>
      <c r="C25" s="7">
        <v>1.7999999999999999E-2</v>
      </c>
      <c r="D25" s="7">
        <v>0.02</v>
      </c>
      <c r="E25" s="7">
        <v>0.01</v>
      </c>
      <c r="F25" s="22" t="s">
        <v>217</v>
      </c>
      <c r="G25" s="9">
        <f t="shared" si="0"/>
        <v>0.41866666666666674</v>
      </c>
      <c r="H25" s="2">
        <f t="shared" si="1"/>
        <v>4.8000000000000001E-2</v>
      </c>
    </row>
    <row r="26" spans="1:11" x14ac:dyDescent="0.35">
      <c r="A26" s="944" t="s">
        <v>24</v>
      </c>
      <c r="B26">
        <v>2013</v>
      </c>
      <c r="C26" s="7">
        <v>1.7999999999999999E-2</v>
      </c>
      <c r="D26" s="7">
        <v>0.01</v>
      </c>
      <c r="E26" s="7">
        <v>0</v>
      </c>
      <c r="F26" s="22" t="s">
        <v>218</v>
      </c>
      <c r="G26" s="7">
        <v>0.40641979241454151</v>
      </c>
      <c r="H26" s="2">
        <v>2.7999999999999997E-2</v>
      </c>
    </row>
    <row r="27" spans="1:11" x14ac:dyDescent="0.35">
      <c r="A27" s="944"/>
      <c r="B27">
        <v>2023</v>
      </c>
      <c r="C27" s="7">
        <v>1.7999999999999999E-2</v>
      </c>
      <c r="D27" s="7">
        <v>0.01</v>
      </c>
      <c r="E27" s="7">
        <v>0</v>
      </c>
      <c r="F27" s="22" t="s">
        <v>219</v>
      </c>
      <c r="G27" s="9">
        <f t="shared" si="0"/>
        <v>0.40641979241454151</v>
      </c>
      <c r="H27" s="2">
        <f t="shared" si="1"/>
        <v>2.7999999999999997E-2</v>
      </c>
    </row>
    <row r="29" spans="1:11" ht="87" x14ac:dyDescent="0.35">
      <c r="A29" s="439"/>
      <c r="B29" s="438"/>
      <c r="C29" s="433" t="s">
        <v>76</v>
      </c>
      <c r="D29" s="433" t="s">
        <v>77</v>
      </c>
      <c r="E29" s="433" t="s">
        <v>192</v>
      </c>
      <c r="F29" s="433" t="s">
        <v>82</v>
      </c>
      <c r="G29" s="433" t="s">
        <v>83</v>
      </c>
      <c r="H29" s="449" t="s">
        <v>80</v>
      </c>
      <c r="I29" s="433" t="s">
        <v>81</v>
      </c>
    </row>
    <row r="30" spans="1:11" x14ac:dyDescent="0.35">
      <c r="A30" s="479" t="s">
        <v>11</v>
      </c>
      <c r="B30" s="433">
        <v>2013</v>
      </c>
      <c r="C30" s="434">
        <v>0.11005890410958905</v>
      </c>
      <c r="D30" s="434">
        <v>0.11363013698630138</v>
      </c>
      <c r="E30" s="434">
        <v>5.7680821917808225E-2</v>
      </c>
      <c r="F30" s="434">
        <v>8.2191780821917804E-2</v>
      </c>
      <c r="G30" s="434">
        <v>3.8356164383561646E-2</v>
      </c>
      <c r="H30" s="434">
        <v>8.2191780821917804E-2</v>
      </c>
      <c r="I30" s="434">
        <v>3.287671232876712E-2</v>
      </c>
      <c r="J30" t="str">
        <f>_xlfn.CONCAT(A30,B30)</f>
        <v>ARG2013</v>
      </c>
      <c r="K30" s="7">
        <f>SUM(C30:I30)</f>
        <v>0.51698630136986301</v>
      </c>
    </row>
    <row r="31" spans="1:11" x14ac:dyDescent="0.35">
      <c r="A31" s="479" t="s">
        <v>11</v>
      </c>
      <c r="B31" s="433">
        <v>2023</v>
      </c>
      <c r="C31" s="454">
        <v>0.1077</v>
      </c>
      <c r="D31" s="454">
        <v>0.104</v>
      </c>
      <c r="E31" s="454">
        <v>7.5999999999999998E-2</v>
      </c>
      <c r="F31" s="454">
        <v>8.3299999999999999E-2</v>
      </c>
      <c r="G31" s="454">
        <v>3.888888888888889E-2</v>
      </c>
      <c r="H31" s="454">
        <v>8.3333333333333343E-2</v>
      </c>
      <c r="I31" s="454">
        <v>3.3333333333333333E-2</v>
      </c>
      <c r="J31" t="str">
        <f t="shared" ref="J31:J51" si="2">_xlfn.CONCAT(A31,B31)</f>
        <v>ARG2023</v>
      </c>
      <c r="K31" s="7">
        <f t="shared" ref="K31:K51" si="3">SUM(C31:I31)</f>
        <v>0.52655555555555555</v>
      </c>
    </row>
    <row r="32" spans="1:11" x14ac:dyDescent="0.35">
      <c r="A32" s="478" t="s">
        <v>13</v>
      </c>
      <c r="B32" s="433">
        <v>2013</v>
      </c>
      <c r="C32" s="434">
        <v>0.03</v>
      </c>
      <c r="D32" s="434">
        <v>0.1</v>
      </c>
      <c r="E32" s="434">
        <v>1.7100000000000001E-2</v>
      </c>
      <c r="F32" s="434">
        <v>0.16438356164383561</v>
      </c>
      <c r="G32" s="434">
        <v>5.4794520547945202E-2</v>
      </c>
      <c r="H32" s="434">
        <v>8.2191780821917804E-2</v>
      </c>
      <c r="I32" s="434">
        <v>4.9315068493150691E-2</v>
      </c>
      <c r="J32" t="str">
        <f t="shared" si="2"/>
        <v>BOL2013</v>
      </c>
      <c r="K32" s="7">
        <f t="shared" si="3"/>
        <v>0.49778493150684933</v>
      </c>
    </row>
    <row r="33" spans="1:11" x14ac:dyDescent="0.35">
      <c r="A33" s="478" t="s">
        <v>13</v>
      </c>
      <c r="B33" s="433">
        <v>2023</v>
      </c>
      <c r="C33" s="436">
        <v>0.03</v>
      </c>
      <c r="D33" s="436">
        <v>0.1171</v>
      </c>
      <c r="E33" s="436">
        <v>1.7100000000000001E-2</v>
      </c>
      <c r="F33" s="436">
        <v>0.16666666666666669</v>
      </c>
      <c r="G33" s="436">
        <v>5.5555555555555559E-2</v>
      </c>
      <c r="H33" s="436">
        <v>8.3333333333333329E-2</v>
      </c>
      <c r="I33" s="436">
        <v>0.05</v>
      </c>
      <c r="J33" t="str">
        <f t="shared" si="2"/>
        <v>BOL2023</v>
      </c>
      <c r="K33" s="7">
        <f t="shared" si="3"/>
        <v>0.51975555555555564</v>
      </c>
    </row>
    <row r="34" spans="1:11" x14ac:dyDescent="0.35">
      <c r="A34" s="456" t="s">
        <v>18</v>
      </c>
      <c r="B34" s="433">
        <v>2013</v>
      </c>
      <c r="C34" s="434">
        <v>6.9476712328767107E-2</v>
      </c>
      <c r="D34" s="434">
        <v>0.1001027397260274</v>
      </c>
      <c r="E34" s="434">
        <v>0.11693013698630138</v>
      </c>
      <c r="F34" s="434">
        <v>8.2191780821917804E-2</v>
      </c>
      <c r="G34" s="434">
        <v>3.8356164383561646E-2</v>
      </c>
      <c r="H34" s="434">
        <v>5.8082191780821926E-2</v>
      </c>
      <c r="I34" s="434">
        <v>1.643835616438356E-2</v>
      </c>
      <c r="J34" t="str">
        <f t="shared" si="2"/>
        <v>CRI2013</v>
      </c>
      <c r="K34" s="7">
        <f t="shared" si="3"/>
        <v>0.48157808219178083</v>
      </c>
    </row>
    <row r="35" spans="1:11" x14ac:dyDescent="0.35">
      <c r="A35" s="456" t="s">
        <v>18</v>
      </c>
      <c r="B35" s="433">
        <v>2023</v>
      </c>
      <c r="C35" s="436">
        <v>8.6999999999999994E-2</v>
      </c>
      <c r="D35" s="436">
        <v>9.2999999999999999E-2</v>
      </c>
      <c r="E35" s="436">
        <v>0.12</v>
      </c>
      <c r="F35" s="436">
        <v>8.3333333333333329E-2</v>
      </c>
      <c r="G35" s="436">
        <v>3.8888888888888883E-2</v>
      </c>
      <c r="H35" s="436">
        <v>5.8999999999999997E-2</v>
      </c>
      <c r="I35" s="436">
        <v>1.6666666666666666E-2</v>
      </c>
      <c r="J35" t="str">
        <f t="shared" si="2"/>
        <v>CRI2023</v>
      </c>
      <c r="K35" s="7">
        <f t="shared" si="3"/>
        <v>0.49788888888888883</v>
      </c>
    </row>
    <row r="36" spans="1:11" x14ac:dyDescent="0.35">
      <c r="A36" s="433" t="s">
        <v>14</v>
      </c>
      <c r="B36" s="433">
        <v>2013</v>
      </c>
      <c r="C36" s="434">
        <v>7.4999999999999997E-2</v>
      </c>
      <c r="D36" s="434">
        <v>0.05</v>
      </c>
      <c r="E36" s="434">
        <v>7.0250000000000007E-2</v>
      </c>
      <c r="F36" s="434">
        <v>8.2191780821917804E-2</v>
      </c>
      <c r="G36" s="434">
        <v>5.7534246575342472E-2</v>
      </c>
      <c r="H36" s="434">
        <v>9.808219178082192E-2</v>
      </c>
      <c r="I36" s="434">
        <v>0</v>
      </c>
      <c r="J36" t="str">
        <f t="shared" si="2"/>
        <v>URY2013</v>
      </c>
      <c r="K36" s="7">
        <f t="shared" si="3"/>
        <v>0.43305821917808218</v>
      </c>
    </row>
    <row r="37" spans="1:11" x14ac:dyDescent="0.35">
      <c r="A37" s="433" t="s">
        <v>14</v>
      </c>
      <c r="B37" s="433">
        <v>2023</v>
      </c>
      <c r="C37" s="437">
        <v>7.4999999999999997E-2</v>
      </c>
      <c r="D37" s="437">
        <v>0.05</v>
      </c>
      <c r="E37" s="437">
        <v>7.0000000000000007E-2</v>
      </c>
      <c r="F37" s="437">
        <v>8.3333333333333343E-2</v>
      </c>
      <c r="G37" s="437">
        <v>5.8333333333333341E-2</v>
      </c>
      <c r="H37" s="437">
        <v>9.9444444444444446E-2</v>
      </c>
      <c r="I37" s="437">
        <v>0</v>
      </c>
      <c r="J37" t="str">
        <f t="shared" si="2"/>
        <v>URY2023</v>
      </c>
      <c r="K37" s="7">
        <f t="shared" si="3"/>
        <v>0.43611111111111112</v>
      </c>
    </row>
    <row r="38" spans="1:11" x14ac:dyDescent="0.35">
      <c r="A38" s="456" t="s">
        <v>21</v>
      </c>
      <c r="B38" s="433">
        <v>2013</v>
      </c>
      <c r="C38" s="434">
        <v>3.6700000000000003E-2</v>
      </c>
      <c r="D38" s="434">
        <v>0.04</v>
      </c>
      <c r="E38" s="434">
        <v>0.05</v>
      </c>
      <c r="F38" s="434">
        <v>0.16438356164383561</v>
      </c>
      <c r="G38" s="434">
        <v>4.1095890410958902E-2</v>
      </c>
      <c r="H38" s="434">
        <v>8.2191780821917818E-2</v>
      </c>
      <c r="I38" s="434">
        <v>0</v>
      </c>
      <c r="J38" t="str">
        <f t="shared" si="2"/>
        <v>GTM2013</v>
      </c>
      <c r="K38" s="7">
        <f t="shared" si="3"/>
        <v>0.41437123287671235</v>
      </c>
    </row>
    <row r="39" spans="1:11" x14ac:dyDescent="0.35">
      <c r="A39" s="456" t="s">
        <v>21</v>
      </c>
      <c r="B39" s="433">
        <v>2023</v>
      </c>
      <c r="C39" s="436">
        <v>3.6999999999999998E-2</v>
      </c>
      <c r="D39" s="436">
        <v>0.04</v>
      </c>
      <c r="E39" s="436">
        <v>0.05</v>
      </c>
      <c r="F39" s="436">
        <v>0.16666666666666669</v>
      </c>
      <c r="G39" s="436">
        <v>4.1666666666666671E-2</v>
      </c>
      <c r="H39" s="436">
        <v>8.3333333333333343E-2</v>
      </c>
      <c r="I39" s="436">
        <v>0</v>
      </c>
      <c r="J39" t="str">
        <f t="shared" si="2"/>
        <v>GTM2023</v>
      </c>
      <c r="K39" s="7">
        <f t="shared" si="3"/>
        <v>0.41866666666666674</v>
      </c>
    </row>
    <row r="40" spans="1:11" x14ac:dyDescent="0.35">
      <c r="A40" s="433" t="s">
        <v>24</v>
      </c>
      <c r="B40" s="433">
        <v>2013</v>
      </c>
      <c r="C40" s="432">
        <v>7.1835616438356203E-2</v>
      </c>
      <c r="D40" s="432">
        <v>7.1508681303430424E-2</v>
      </c>
      <c r="E40" s="434">
        <v>8.3079452054794514E-2</v>
      </c>
      <c r="F40" s="432">
        <v>4.1095890410958902E-2</v>
      </c>
      <c r="G40" s="432">
        <v>3.8356164383561639E-2</v>
      </c>
      <c r="H40" s="432">
        <v>0.10410958904109588</v>
      </c>
      <c r="I40" s="432">
        <v>0</v>
      </c>
      <c r="J40" t="str">
        <f t="shared" si="2"/>
        <v>MEX2013</v>
      </c>
      <c r="K40" s="7">
        <f t="shared" si="3"/>
        <v>0.40998539363219755</v>
      </c>
    </row>
    <row r="41" spans="1:11" x14ac:dyDescent="0.35">
      <c r="A41" s="433" t="s">
        <v>24</v>
      </c>
      <c r="B41" s="433">
        <v>2023</v>
      </c>
      <c r="C41" s="431">
        <v>6.9000000000000006E-2</v>
      </c>
      <c r="D41" s="431">
        <v>7.1508681303430424E-2</v>
      </c>
      <c r="E41" s="436">
        <v>7.9799999999999996E-2</v>
      </c>
      <c r="F41" s="431">
        <v>4.1666666666666664E-2</v>
      </c>
      <c r="G41" s="431">
        <v>3.8888888888888883E-2</v>
      </c>
      <c r="H41" s="431">
        <v>0.10555555555555554</v>
      </c>
      <c r="I41" s="431">
        <v>0</v>
      </c>
      <c r="J41" t="str">
        <f t="shared" si="2"/>
        <v>MEX2023</v>
      </c>
      <c r="K41" s="7">
        <f t="shared" si="3"/>
        <v>0.40641979241454151</v>
      </c>
    </row>
    <row r="42" spans="1:11" x14ac:dyDescent="0.35">
      <c r="A42" s="433" t="s">
        <v>17</v>
      </c>
      <c r="B42" s="433">
        <v>2013</v>
      </c>
      <c r="C42" s="434">
        <v>3.4786676733621472E-2</v>
      </c>
      <c r="D42" s="434">
        <v>5.7099999999999998E-2</v>
      </c>
      <c r="E42" s="434">
        <v>2.5586500436510458E-2</v>
      </c>
      <c r="F42" s="434">
        <v>0.16666665999999999</v>
      </c>
      <c r="G42" s="434">
        <v>4.1095890410958909E-2</v>
      </c>
      <c r="H42" s="434">
        <v>8.2191780821917818E-2</v>
      </c>
      <c r="I42" s="434">
        <v>0</v>
      </c>
      <c r="J42" t="str">
        <f t="shared" si="2"/>
        <v>ECU2013</v>
      </c>
      <c r="K42" s="7">
        <f t="shared" si="3"/>
        <v>0.40742750840300862</v>
      </c>
    </row>
    <row r="43" spans="1:11" x14ac:dyDescent="0.35">
      <c r="A43" s="433" t="s">
        <v>17</v>
      </c>
      <c r="B43" s="433">
        <v>2023</v>
      </c>
      <c r="C43" s="436">
        <v>3.7999999999999999E-2</v>
      </c>
      <c r="D43" s="436">
        <v>5.16E-2</v>
      </c>
      <c r="E43" s="436">
        <v>2.1700000000000001E-2</v>
      </c>
      <c r="F43" s="436">
        <v>0.16666666666666669</v>
      </c>
      <c r="G43" s="436">
        <v>4.1666666666666671E-2</v>
      </c>
      <c r="H43" s="436">
        <v>8.3333333333333343E-2</v>
      </c>
      <c r="I43" s="436">
        <v>0</v>
      </c>
      <c r="J43" t="str">
        <f t="shared" si="2"/>
        <v>ECU2023</v>
      </c>
      <c r="K43" s="7">
        <f t="shared" si="3"/>
        <v>0.4029666666666667</v>
      </c>
    </row>
    <row r="44" spans="1:11" x14ac:dyDescent="0.35">
      <c r="A44" s="433" t="s">
        <v>19</v>
      </c>
      <c r="B44" s="433">
        <v>2013</v>
      </c>
      <c r="C44" s="434">
        <v>4.2999999999999997E-2</v>
      </c>
      <c r="D44" s="434">
        <v>8.8835616438356163E-2</v>
      </c>
      <c r="E44" s="434">
        <v>2.0432876712328768E-2</v>
      </c>
      <c r="F44" s="434">
        <v>8.2191780821917804E-2</v>
      </c>
      <c r="G44" s="434">
        <v>8.2191780821917804E-2</v>
      </c>
      <c r="H44" s="434">
        <v>6.5205479452054807E-2</v>
      </c>
      <c r="I44" s="434">
        <v>0</v>
      </c>
      <c r="J44" t="str">
        <f t="shared" si="2"/>
        <v>PAN2013</v>
      </c>
      <c r="K44" s="7">
        <f t="shared" si="3"/>
        <v>0.38185753424657531</v>
      </c>
    </row>
    <row r="45" spans="1:11" x14ac:dyDescent="0.35">
      <c r="A45" s="433" t="s">
        <v>19</v>
      </c>
      <c r="B45" s="433">
        <v>2023</v>
      </c>
      <c r="C45" s="436">
        <v>4.2999999999999997E-2</v>
      </c>
      <c r="D45" s="436">
        <v>0.08</v>
      </c>
      <c r="E45" s="436">
        <v>1.9199999999999998E-2</v>
      </c>
      <c r="F45" s="436">
        <v>8.3333333333333329E-2</v>
      </c>
      <c r="G45" s="436">
        <v>8.3333333333333329E-2</v>
      </c>
      <c r="H45" s="436">
        <v>6.6111111111111107E-2</v>
      </c>
      <c r="I45" s="436">
        <v>0</v>
      </c>
      <c r="J45" t="str">
        <f t="shared" si="2"/>
        <v>PAN2023</v>
      </c>
      <c r="K45" s="7">
        <f t="shared" si="3"/>
        <v>0.37497777777777774</v>
      </c>
    </row>
    <row r="46" spans="1:11" x14ac:dyDescent="0.35">
      <c r="A46" s="433" t="s">
        <v>26</v>
      </c>
      <c r="B46" s="543">
        <v>2013</v>
      </c>
      <c r="C46" s="544">
        <v>7.6835616438356194E-2</v>
      </c>
      <c r="D46" s="544">
        <v>7.6727397260273972E-2</v>
      </c>
      <c r="E46" s="544">
        <v>2.3808219178082193E-2</v>
      </c>
      <c r="F46" s="544">
        <v>8.2191780821917804E-2</v>
      </c>
      <c r="G46" s="544">
        <v>4.9315068493150691E-2</v>
      </c>
      <c r="H46" s="544">
        <v>6.3013698630136977E-2</v>
      </c>
      <c r="I46" s="544">
        <v>1.5342465753424656E-2</v>
      </c>
      <c r="J46" s="541" t="str">
        <f t="shared" si="2"/>
        <v>DOM2013</v>
      </c>
      <c r="K46" s="542">
        <f t="shared" si="3"/>
        <v>0.38723424657534256</v>
      </c>
    </row>
    <row r="47" spans="1:11" x14ac:dyDescent="0.35">
      <c r="A47" s="433" t="s">
        <v>26</v>
      </c>
      <c r="B47" s="433">
        <v>2023</v>
      </c>
      <c r="C47" s="431">
        <v>7.0999999999999994E-2</v>
      </c>
      <c r="D47" s="431">
        <v>7.0999999999999994E-2</v>
      </c>
      <c r="E47" s="436">
        <v>0.02</v>
      </c>
      <c r="F47" s="431">
        <v>8.3333333333333343E-2</v>
      </c>
      <c r="G47" s="431">
        <v>0.05</v>
      </c>
      <c r="H47" s="431">
        <v>6.3888888888888898E-2</v>
      </c>
      <c r="I47" s="431">
        <v>1.5555555555555555E-2</v>
      </c>
      <c r="J47" t="str">
        <f t="shared" si="2"/>
        <v>DOM2023</v>
      </c>
      <c r="K47" s="7">
        <f t="shared" si="3"/>
        <v>0.37477777777777777</v>
      </c>
    </row>
    <row r="48" spans="1:11" x14ac:dyDescent="0.35">
      <c r="A48" s="456" t="s">
        <v>20</v>
      </c>
      <c r="B48" s="433">
        <v>2013</v>
      </c>
      <c r="C48" s="434">
        <v>0.15150684931506853</v>
      </c>
      <c r="D48" s="434">
        <v>0</v>
      </c>
      <c r="E48" s="434">
        <v>1.0821917808219178E-2</v>
      </c>
      <c r="F48" s="434">
        <v>8.2191780821917804E-2</v>
      </c>
      <c r="G48" s="434">
        <v>3.287671232876712E-2</v>
      </c>
      <c r="H48" s="434">
        <v>4.1095890410958909E-2</v>
      </c>
      <c r="I48" s="434">
        <v>2.4657534246575345E-2</v>
      </c>
      <c r="J48" t="str">
        <f t="shared" si="2"/>
        <v>PRY2013</v>
      </c>
      <c r="K48" s="7">
        <f t="shared" si="3"/>
        <v>0.34315068493150686</v>
      </c>
    </row>
    <row r="49" spans="1:11" x14ac:dyDescent="0.35">
      <c r="A49" s="456" t="s">
        <v>20</v>
      </c>
      <c r="B49" s="433">
        <v>2023</v>
      </c>
      <c r="C49" s="436">
        <v>0.14000000000000001</v>
      </c>
      <c r="D49" s="436">
        <v>0</v>
      </c>
      <c r="E49" s="436">
        <v>0.03</v>
      </c>
      <c r="F49" s="436">
        <v>8.3333333333333315E-2</v>
      </c>
      <c r="G49" s="436">
        <v>3.3333333333333333E-2</v>
      </c>
      <c r="H49" s="436">
        <v>4.1666666666666664E-2</v>
      </c>
      <c r="I49" s="436">
        <v>2.4999999999999998E-2</v>
      </c>
      <c r="J49" t="str">
        <f t="shared" si="2"/>
        <v>PRY2023</v>
      </c>
      <c r="K49" s="7">
        <f t="shared" si="3"/>
        <v>0.35333333333333333</v>
      </c>
    </row>
    <row r="50" spans="1:11" x14ac:dyDescent="0.35">
      <c r="A50" s="433" t="s">
        <v>25</v>
      </c>
      <c r="B50" s="433">
        <v>2013</v>
      </c>
      <c r="C50" s="434">
        <v>6.7500000000000004E-2</v>
      </c>
      <c r="D50" s="434">
        <v>7.4999999999999997E-2</v>
      </c>
      <c r="E50" s="434">
        <v>0.01</v>
      </c>
      <c r="F50" s="434">
        <v>4.1095890410958909E-2</v>
      </c>
      <c r="G50" s="434">
        <v>6.5753424657534254E-2</v>
      </c>
      <c r="H50" s="434">
        <v>8.2191780821917818E-2</v>
      </c>
      <c r="I50" s="434">
        <v>0</v>
      </c>
      <c r="J50" t="str">
        <f t="shared" si="2"/>
        <v>SLV2013</v>
      </c>
      <c r="K50" s="7">
        <f t="shared" si="3"/>
        <v>0.34154109589041098</v>
      </c>
    </row>
    <row r="51" spans="1:11" x14ac:dyDescent="0.35">
      <c r="A51" s="433" t="s">
        <v>25</v>
      </c>
      <c r="B51" s="433">
        <v>2023</v>
      </c>
      <c r="C51" s="436">
        <v>6.8000000000000005E-2</v>
      </c>
      <c r="D51" s="436">
        <v>7.4999999999999997E-2</v>
      </c>
      <c r="E51" s="436">
        <v>0.01</v>
      </c>
      <c r="F51" s="436">
        <v>4.1666666666666664E-2</v>
      </c>
      <c r="G51" s="436">
        <v>6.6666666666666652E-2</v>
      </c>
      <c r="H51" s="436">
        <v>8.3333333333333329E-2</v>
      </c>
      <c r="I51" s="436">
        <v>0</v>
      </c>
      <c r="J51" t="str">
        <f t="shared" si="2"/>
        <v>SLV2023</v>
      </c>
      <c r="K51" s="7">
        <f t="shared" si="3"/>
        <v>0.34466666666666662</v>
      </c>
    </row>
    <row r="57" spans="1:11" x14ac:dyDescent="0.35">
      <c r="C57" s="7"/>
      <c r="D57" s="7"/>
      <c r="E57" s="7"/>
    </row>
    <row r="58" spans="1:11" x14ac:dyDescent="0.35">
      <c r="C58" s="7"/>
      <c r="D58" s="7"/>
      <c r="E58" s="2"/>
    </row>
    <row r="59" spans="1:11" x14ac:dyDescent="0.35">
      <c r="C59" s="7"/>
      <c r="D59" s="7"/>
      <c r="E59" s="7"/>
    </row>
    <row r="60" spans="1:11" x14ac:dyDescent="0.35">
      <c r="C60" s="7"/>
      <c r="D60" s="7"/>
      <c r="E60" s="7"/>
    </row>
    <row r="61" spans="1:11" x14ac:dyDescent="0.35">
      <c r="C61" s="7"/>
      <c r="D61" s="7"/>
      <c r="E61" s="7"/>
    </row>
    <row r="62" spans="1:11" x14ac:dyDescent="0.35">
      <c r="C62" s="7"/>
      <c r="D62" s="7"/>
      <c r="E62" s="7"/>
    </row>
    <row r="63" spans="1:11" x14ac:dyDescent="0.35">
      <c r="C63" s="7"/>
      <c r="D63" s="7"/>
      <c r="E63" s="7"/>
    </row>
    <row r="64" spans="1:11" x14ac:dyDescent="0.35">
      <c r="C64" s="7"/>
      <c r="D64" s="7"/>
      <c r="E64" s="7"/>
    </row>
    <row r="65" spans="3:5" x14ac:dyDescent="0.35">
      <c r="C65" s="7"/>
      <c r="D65" s="7"/>
      <c r="E65" s="7"/>
    </row>
    <row r="66" spans="3:5" x14ac:dyDescent="0.35">
      <c r="C66" s="7"/>
      <c r="D66" s="7"/>
      <c r="E66" s="7"/>
    </row>
    <row r="67" spans="3:5" x14ac:dyDescent="0.35">
      <c r="C67" s="7"/>
      <c r="D67" s="7"/>
      <c r="E67" s="7"/>
    </row>
    <row r="68" spans="3:5" x14ac:dyDescent="0.35">
      <c r="C68" s="7"/>
      <c r="D68" s="7"/>
      <c r="E68" s="7"/>
    </row>
    <row r="69" spans="3:5" x14ac:dyDescent="0.35">
      <c r="C69" s="7"/>
      <c r="D69" s="7"/>
      <c r="E69" s="7"/>
    </row>
    <row r="70" spans="3:5" x14ac:dyDescent="0.35">
      <c r="C70" s="7"/>
      <c r="D70" s="7"/>
      <c r="E70" s="7"/>
    </row>
    <row r="71" spans="3:5" x14ac:dyDescent="0.35">
      <c r="C71" s="7"/>
      <c r="D71" s="7"/>
      <c r="E71" s="7"/>
    </row>
    <row r="72" spans="3:5" x14ac:dyDescent="0.35">
      <c r="C72" s="7"/>
      <c r="D72" s="7"/>
      <c r="E72" s="7"/>
    </row>
    <row r="73" spans="3:5" x14ac:dyDescent="0.35">
      <c r="C73" s="7"/>
      <c r="D73" s="7"/>
      <c r="E73" s="7"/>
    </row>
    <row r="74" spans="3:5" x14ac:dyDescent="0.35">
      <c r="C74" s="7"/>
      <c r="D74" s="7"/>
      <c r="E74" s="7"/>
    </row>
    <row r="75" spans="3:5" x14ac:dyDescent="0.35">
      <c r="C75" s="7"/>
      <c r="D75" s="7"/>
      <c r="E75" s="7"/>
    </row>
    <row r="76" spans="3:5" x14ac:dyDescent="0.35">
      <c r="C76" s="7"/>
      <c r="D76" s="7"/>
      <c r="E76" s="7"/>
    </row>
    <row r="77" spans="3:5" x14ac:dyDescent="0.35">
      <c r="C77" s="7"/>
      <c r="D77" s="7"/>
      <c r="E77" s="7"/>
    </row>
    <row r="78" spans="3:5" x14ac:dyDescent="0.35">
      <c r="C78" s="7"/>
      <c r="D78" s="7"/>
      <c r="E78" s="7"/>
    </row>
  </sheetData>
  <mergeCells count="13">
    <mergeCell ref="A22:A23"/>
    <mergeCell ref="A24:A25"/>
    <mergeCell ref="A26:A27"/>
    <mergeCell ref="A14:A15"/>
    <mergeCell ref="A16:A17"/>
    <mergeCell ref="A18:A19"/>
    <mergeCell ref="A20:A21"/>
    <mergeCell ref="A12:A13"/>
    <mergeCell ref="B4:E4"/>
    <mergeCell ref="G4:H4"/>
    <mergeCell ref="A6:A7"/>
    <mergeCell ref="A8:A9"/>
    <mergeCell ref="A10:A11"/>
  </mergeCells>
  <phoneticPr fontId="129" type="noConversion"/>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W59"/>
  <sheetViews>
    <sheetView workbookViewId="0"/>
  </sheetViews>
  <sheetFormatPr defaultColWidth="9.1796875" defaultRowHeight="14.5" x14ac:dyDescent="0.35"/>
  <cols>
    <col min="2" max="2" width="14.54296875" customWidth="1"/>
    <col min="3" max="3" width="15.1796875" customWidth="1"/>
    <col min="4" max="4" width="11.90625" customWidth="1"/>
  </cols>
  <sheetData>
    <row r="1" spans="1:23" ht="18.5" x14ac:dyDescent="0.45">
      <c r="A1" s="21" t="s">
        <v>50</v>
      </c>
    </row>
    <row r="2" spans="1:23" hidden="1" x14ac:dyDescent="0.35">
      <c r="B2" t="s">
        <v>11</v>
      </c>
      <c r="C2" t="s">
        <v>13</v>
      </c>
      <c r="D2" t="s">
        <v>12</v>
      </c>
      <c r="E2" t="s">
        <v>28</v>
      </c>
      <c r="F2" t="s">
        <v>15</v>
      </c>
      <c r="G2" t="s">
        <v>18</v>
      </c>
      <c r="H2" t="s">
        <v>17</v>
      </c>
      <c r="I2" t="s">
        <v>21</v>
      </c>
      <c r="J2" t="s">
        <v>27</v>
      </c>
      <c r="K2" t="s">
        <v>29</v>
      </c>
      <c r="L2" t="s">
        <v>24</v>
      </c>
      <c r="M2" t="s">
        <v>23</v>
      </c>
      <c r="N2" t="s">
        <v>19</v>
      </c>
      <c r="O2" t="s">
        <v>16</v>
      </c>
      <c r="P2" t="s">
        <v>51</v>
      </c>
      <c r="Q2" t="s">
        <v>52</v>
      </c>
      <c r="R2" t="s">
        <v>20</v>
      </c>
      <c r="S2" t="s">
        <v>26</v>
      </c>
      <c r="T2" t="s">
        <v>25</v>
      </c>
      <c r="U2" t="s">
        <v>31</v>
      </c>
      <c r="V2" t="s">
        <v>14</v>
      </c>
      <c r="W2" t="s">
        <v>22</v>
      </c>
    </row>
    <row r="3" spans="1:23" hidden="1" x14ac:dyDescent="0.35">
      <c r="A3" s="14" t="s">
        <v>39</v>
      </c>
      <c r="B3">
        <v>0.19858219178082198</v>
      </c>
      <c r="C3">
        <v>0.12709999999999999</v>
      </c>
      <c r="D3">
        <v>9.1679407564991822E-2</v>
      </c>
      <c r="E3">
        <v>0.18960348742778027</v>
      </c>
      <c r="F3">
        <v>7.2522161871009863E-2</v>
      </c>
      <c r="G3">
        <v>6.9465890410958894E-2</v>
      </c>
      <c r="H3">
        <v>0.10735993230119259</v>
      </c>
      <c r="I3">
        <v>4.4470000000000003E-2</v>
      </c>
      <c r="J3">
        <v>2.4669905511387327E-2</v>
      </c>
      <c r="K3">
        <v>6.6936494505293015E-2</v>
      </c>
      <c r="L3">
        <v>2.5723726792496716E-2</v>
      </c>
      <c r="M3">
        <v>0.05</v>
      </c>
      <c r="N3">
        <v>0.12294520547945206</v>
      </c>
      <c r="O3">
        <v>0.11699999999999997</v>
      </c>
      <c r="P3">
        <v>0.13</v>
      </c>
      <c r="Q3">
        <v>0.13</v>
      </c>
      <c r="R3">
        <v>8.7657534246575311E-2</v>
      </c>
      <c r="S3">
        <v>5.8048767123287673E-2</v>
      </c>
      <c r="T3">
        <v>8.1826622528681531E-2</v>
      </c>
      <c r="U3">
        <v>5.6429381397242108E-2</v>
      </c>
      <c r="V3">
        <v>0.19887166665976036</v>
      </c>
      <c r="W3">
        <v>6.0000000000000032E-2</v>
      </c>
    </row>
    <row r="4" spans="1:23" hidden="1" x14ac:dyDescent="0.35">
      <c r="A4" t="s">
        <v>40</v>
      </c>
      <c r="B4">
        <v>0.11904109589041094</v>
      </c>
      <c r="C4">
        <v>0.12709999999999999</v>
      </c>
      <c r="D4">
        <v>9.1679407564991822E-2</v>
      </c>
      <c r="E4">
        <v>9.9367678861881026E-2</v>
      </c>
      <c r="F4">
        <v>3.6522161871009852E-2</v>
      </c>
      <c r="G4">
        <v>2.0226164383561649E-2</v>
      </c>
      <c r="H4">
        <v>7.5435973595758626E-2</v>
      </c>
      <c r="I4">
        <v>1.6469999999999999E-2</v>
      </c>
      <c r="J4">
        <v>4.9339811022774656E-3</v>
      </c>
      <c r="K4">
        <v>2.4998971360913572E-2</v>
      </c>
      <c r="L4">
        <v>1.8219178082191777E-2</v>
      </c>
      <c r="M4">
        <v>3.2000000000000001E-2</v>
      </c>
      <c r="N4">
        <v>9.8458904109589074E-2</v>
      </c>
      <c r="O4">
        <v>0.11699999999999997</v>
      </c>
      <c r="P4">
        <v>0.13</v>
      </c>
      <c r="Q4">
        <v>0.13</v>
      </c>
      <c r="R4">
        <v>8.7657534246575311E-2</v>
      </c>
      <c r="S4">
        <v>2.7953013698630135E-2</v>
      </c>
      <c r="T4">
        <v>5.6250000000000001E-2</v>
      </c>
      <c r="U4">
        <v>4.1247832907211401E-2</v>
      </c>
      <c r="V4">
        <v>0.14737166665976026</v>
      </c>
      <c r="W4">
        <v>4.0000000000000008E-2</v>
      </c>
    </row>
    <row r="5" spans="1:23" hidden="1" x14ac:dyDescent="0.35">
      <c r="A5" t="s">
        <v>41</v>
      </c>
      <c r="B5">
        <v>7.9541095890410946E-2</v>
      </c>
      <c r="E5">
        <v>6.9529392094340975E-2</v>
      </c>
      <c r="F5">
        <v>3.6000000000000011E-2</v>
      </c>
      <c r="G5">
        <v>4.1664383561643828E-2</v>
      </c>
      <c r="I5">
        <v>1.8000000000000002E-2</v>
      </c>
      <c r="J5">
        <v>1.2334952755693664E-2</v>
      </c>
      <c r="L5">
        <v>7.504548710304937E-3</v>
      </c>
      <c r="M5">
        <v>1.8000000000000002E-2</v>
      </c>
      <c r="N5">
        <v>1.0958904109589045E-2</v>
      </c>
      <c r="S5">
        <v>2.9608767123287676E-2</v>
      </c>
      <c r="T5">
        <v>2.5576622528681519E-2</v>
      </c>
      <c r="U5">
        <v>1.5181548490030717E-2</v>
      </c>
      <c r="V5">
        <v>5.0250000000000017E-2</v>
      </c>
    </row>
    <row r="6" spans="1:23" hidden="1" x14ac:dyDescent="0.35">
      <c r="A6" t="s">
        <v>42</v>
      </c>
      <c r="E6">
        <v>6.0000000000000027E-3</v>
      </c>
      <c r="H6">
        <v>2.2721678793903202E-2</v>
      </c>
      <c r="I6">
        <v>1.0000000000000002E-2</v>
      </c>
      <c r="W6">
        <v>5.000000000000001E-3</v>
      </c>
    </row>
    <row r="7" spans="1:23" hidden="1" x14ac:dyDescent="0.35">
      <c r="A7" t="s">
        <v>43</v>
      </c>
      <c r="E7">
        <v>1.4706416471558389E-2</v>
      </c>
      <c r="G7">
        <v>7.5753424657534233E-3</v>
      </c>
      <c r="H7">
        <v>9.202279911530796E-3</v>
      </c>
      <c r="I7">
        <v>0</v>
      </c>
      <c r="J7">
        <v>7.400971653416198E-3</v>
      </c>
      <c r="K7">
        <v>4.1937523144379429E-2</v>
      </c>
      <c r="M7">
        <v>0</v>
      </c>
      <c r="N7">
        <v>1.3527397260273971E-2</v>
      </c>
      <c r="S7">
        <v>4.8698630136986284E-4</v>
      </c>
      <c r="V7">
        <v>1.2500000000000002E-3</v>
      </c>
      <c r="W7">
        <v>1.5000000000000008E-2</v>
      </c>
    </row>
    <row r="8" spans="1:23" hidden="1" x14ac:dyDescent="0.35">
      <c r="A8" s="14" t="s">
        <v>44</v>
      </c>
      <c r="B8">
        <v>0.27812328767123284</v>
      </c>
      <c r="C8">
        <v>0.14710000000000001</v>
      </c>
      <c r="D8">
        <v>0.35569689779172942</v>
      </c>
      <c r="E8">
        <v>4.602032753659701E-2</v>
      </c>
      <c r="F8">
        <v>0.26447901369863014</v>
      </c>
      <c r="G8">
        <v>0.20154671232876717</v>
      </c>
      <c r="H8">
        <v>0.12537489760768694</v>
      </c>
      <c r="I8">
        <v>0.11903000000000001</v>
      </c>
      <c r="J8">
        <v>4.785961669209142E-2</v>
      </c>
      <c r="K8">
        <v>0.11924900222008619</v>
      </c>
      <c r="L8">
        <v>0.25298337506441798</v>
      </c>
      <c r="M8">
        <v>0.14531506849315071</v>
      </c>
      <c r="N8">
        <v>0.16060410958904112</v>
      </c>
      <c r="O8">
        <v>0.16166999999999998</v>
      </c>
      <c r="P8">
        <v>4.4999999999999998E-2</v>
      </c>
      <c r="Q8">
        <v>0.1373958904109589</v>
      </c>
      <c r="R8">
        <v>0.1471780821917808</v>
      </c>
      <c r="S8">
        <v>0.16093273972602745</v>
      </c>
      <c r="T8">
        <v>0.13469155632170379</v>
      </c>
      <c r="U8">
        <v>8.2495665814422803E-2</v>
      </c>
      <c r="V8">
        <v>0.19525000000000006</v>
      </c>
      <c r="W8">
        <v>0.15752500000000003</v>
      </c>
    </row>
    <row r="9" spans="1:23" hidden="1" x14ac:dyDescent="0.35">
      <c r="A9" t="s">
        <v>40</v>
      </c>
      <c r="B9">
        <v>0.110058904109589</v>
      </c>
      <c r="C9">
        <v>3.0000000000000009E-2</v>
      </c>
      <c r="D9">
        <v>0.20800988174954926</v>
      </c>
      <c r="F9">
        <v>0.1298630136986301</v>
      </c>
      <c r="G9">
        <v>4.8633698630137001E-2</v>
      </c>
      <c r="H9">
        <v>3.5218602130549961E-2</v>
      </c>
      <c r="I9">
        <v>3.302999999999999E-2</v>
      </c>
      <c r="J9">
        <v>9.8679622045549312E-3</v>
      </c>
      <c r="K9">
        <v>2.4998971360913572E-2</v>
      </c>
      <c r="L9">
        <v>7.183561643835619E-2</v>
      </c>
      <c r="M9">
        <v>5.6000000000000015E-2</v>
      </c>
      <c r="N9">
        <v>5.1335616438356171E-2</v>
      </c>
      <c r="R9">
        <v>0.13635616438356163</v>
      </c>
      <c r="S9">
        <v>6.9152054794520523E-2</v>
      </c>
      <c r="T9">
        <v>6.0749999999999992E-2</v>
      </c>
      <c r="U9">
        <v>8.2495665814422803E-2</v>
      </c>
      <c r="V9">
        <v>7.4999999999999983E-2</v>
      </c>
      <c r="W9">
        <v>9.0000000000000024E-2</v>
      </c>
    </row>
    <row r="10" spans="1:23" hidden="1" x14ac:dyDescent="0.35">
      <c r="A10" t="s">
        <v>41</v>
      </c>
      <c r="B10">
        <v>0.1103835616438356</v>
      </c>
      <c r="C10">
        <v>0.10000000000000002</v>
      </c>
      <c r="F10">
        <v>0</v>
      </c>
      <c r="G10">
        <v>7.0071917808219197E-2</v>
      </c>
      <c r="H10">
        <v>6.4870392956593623E-2</v>
      </c>
      <c r="I10">
        <v>3.6000000000000004E-2</v>
      </c>
      <c r="J10">
        <v>2.4669905511387327E-2</v>
      </c>
      <c r="L10">
        <v>9.8068306571267291E-2</v>
      </c>
      <c r="M10">
        <v>4.8000000000000001E-2</v>
      </c>
      <c r="N10">
        <v>8.8835616438356149E-2</v>
      </c>
      <c r="O10">
        <v>8.1000000000000016E-2</v>
      </c>
      <c r="P10">
        <v>4.4999999999999998E-2</v>
      </c>
      <c r="Q10">
        <v>0.09</v>
      </c>
      <c r="S10">
        <v>6.9054657534246583E-2</v>
      </c>
      <c r="T10">
        <v>6.3941556321703785E-2</v>
      </c>
      <c r="V10">
        <v>5.000000000000001E-2</v>
      </c>
    </row>
    <row r="11" spans="1:23" hidden="1" x14ac:dyDescent="0.35">
      <c r="A11" t="s">
        <v>42</v>
      </c>
      <c r="B11">
        <v>9.6315068493150711E-3</v>
      </c>
      <c r="C11">
        <v>1.7100000000000004E-2</v>
      </c>
      <c r="D11">
        <v>1.0400494087477462E-2</v>
      </c>
      <c r="E11">
        <v>3.3499999999999988E-2</v>
      </c>
      <c r="F11">
        <v>9.1328328767123282E-2</v>
      </c>
      <c r="G11">
        <v>2.602602739726028E-2</v>
      </c>
      <c r="H11">
        <v>1.6310839396951601E-2</v>
      </c>
      <c r="I11">
        <v>3.0000000000000009E-2</v>
      </c>
      <c r="J11">
        <v>9.8679622045549334E-4</v>
      </c>
      <c r="L11">
        <v>2.0613698630136991E-2</v>
      </c>
      <c r="M11">
        <v>1.2E-2</v>
      </c>
      <c r="N11">
        <v>4.1999999999999997E-3</v>
      </c>
      <c r="O11">
        <v>5.6699999999999997E-3</v>
      </c>
      <c r="P11">
        <v>0</v>
      </c>
      <c r="Q11">
        <v>6.3E-3</v>
      </c>
      <c r="S11">
        <v>1.2986301369863012E-2</v>
      </c>
      <c r="V11">
        <v>6.8999999999999978E-2</v>
      </c>
      <c r="W11">
        <v>2.7525000000000011E-2</v>
      </c>
    </row>
    <row r="12" spans="1:23" hidden="1" x14ac:dyDescent="0.35">
      <c r="A12" t="s">
        <v>43</v>
      </c>
      <c r="B12">
        <v>4.8049315068493172E-2</v>
      </c>
      <c r="D12">
        <v>0.13728652195470251</v>
      </c>
      <c r="E12">
        <v>1.2520327536597004E-2</v>
      </c>
      <c r="F12">
        <v>4.3287671232876697E-2</v>
      </c>
      <c r="G12">
        <v>5.6815068493150676E-2</v>
      </c>
      <c r="H12">
        <v>8.975063123591762E-3</v>
      </c>
      <c r="I12">
        <v>2.0000000000000004E-2</v>
      </c>
      <c r="J12">
        <v>1.2334952755693664E-2</v>
      </c>
      <c r="K12">
        <v>9.4250030859172565E-2</v>
      </c>
      <c r="L12">
        <v>6.2465753424657544E-2</v>
      </c>
      <c r="M12">
        <v>2.9315068493150687E-2</v>
      </c>
      <c r="N12">
        <v>1.6232876712328762E-2</v>
      </c>
      <c r="O12">
        <v>7.4999999999999983E-2</v>
      </c>
      <c r="P12">
        <v>0</v>
      </c>
      <c r="Q12">
        <v>4.1095890410958902E-2</v>
      </c>
      <c r="R12">
        <v>1.0821917808219176E-2</v>
      </c>
      <c r="S12">
        <v>9.739726027397257E-3</v>
      </c>
      <c r="T12">
        <v>1.0000000000000002E-2</v>
      </c>
      <c r="V12">
        <v>1.2500000000000002E-3</v>
      </c>
      <c r="W12">
        <v>4.0000000000000008E-2</v>
      </c>
    </row>
    <row r="13" spans="1:23" hidden="1" x14ac:dyDescent="0.35"/>
    <row r="14" spans="1:23" hidden="1" x14ac:dyDescent="0.35">
      <c r="A14" t="s">
        <v>5</v>
      </c>
      <c r="B14">
        <v>8.2191780821917804E-2</v>
      </c>
      <c r="C14">
        <v>0.16438356164383561</v>
      </c>
      <c r="D14">
        <v>8.2191780821917804E-2</v>
      </c>
      <c r="E14">
        <v>0</v>
      </c>
      <c r="F14">
        <v>8.2191780821917804E-2</v>
      </c>
      <c r="G14">
        <v>8.2191780821917804E-2</v>
      </c>
      <c r="H14">
        <v>0.13608393969515983</v>
      </c>
      <c r="I14">
        <v>0.16438356164383566</v>
      </c>
      <c r="J14">
        <v>0.16438356164383555</v>
      </c>
      <c r="K14">
        <v>0</v>
      </c>
      <c r="L14">
        <v>4.1095890410958909E-2</v>
      </c>
      <c r="M14">
        <v>8.2191780821917804E-2</v>
      </c>
      <c r="N14">
        <v>8.2191780821917776E-2</v>
      </c>
      <c r="O14">
        <v>0.16438356164383561</v>
      </c>
      <c r="P14">
        <v>0</v>
      </c>
      <c r="Q14">
        <v>0.16438356164383561</v>
      </c>
      <c r="R14">
        <v>8.2191780821917762E-2</v>
      </c>
      <c r="S14">
        <v>8.2191780821917776E-2</v>
      </c>
      <c r="T14">
        <v>4.1095890410958902E-2</v>
      </c>
      <c r="U14">
        <v>0</v>
      </c>
      <c r="V14">
        <v>8.2191780821917804E-2</v>
      </c>
      <c r="W14">
        <v>8.2191780821917776E-2</v>
      </c>
    </row>
    <row r="15" spans="1:23" hidden="1" x14ac:dyDescent="0.35">
      <c r="A15" t="s">
        <v>4</v>
      </c>
      <c r="B15">
        <v>3.8356164383561632E-2</v>
      </c>
      <c r="C15">
        <v>5.4794520547945202E-2</v>
      </c>
      <c r="D15">
        <v>0.1095890410958904</v>
      </c>
      <c r="E15">
        <v>4.1095890410958909E-2</v>
      </c>
      <c r="F15">
        <v>4.1095890410958902E-2</v>
      </c>
      <c r="G15">
        <v>3.8356164383561632E-2</v>
      </c>
      <c r="H15">
        <v>4.1095890410958888E-2</v>
      </c>
      <c r="I15">
        <v>4.1095890410958916E-2</v>
      </c>
      <c r="J15">
        <v>5.4794520547945202E-2</v>
      </c>
      <c r="K15">
        <v>3.8356164383561632E-2</v>
      </c>
      <c r="L15">
        <v>3.8356164383561632E-2</v>
      </c>
      <c r="M15">
        <v>8.2191780821917804E-2</v>
      </c>
      <c r="N15">
        <v>8.2191780821917776E-2</v>
      </c>
      <c r="O15">
        <v>8.2191780821917804E-2</v>
      </c>
      <c r="P15">
        <v>4.1095890410958902E-2</v>
      </c>
      <c r="Q15">
        <v>4.1095890410958902E-2</v>
      </c>
      <c r="R15">
        <v>3.2876712328767113E-2</v>
      </c>
      <c r="S15">
        <v>4.9315068493150697E-2</v>
      </c>
      <c r="T15">
        <v>6.5753424657534226E-2</v>
      </c>
      <c r="U15">
        <v>3.9886039886039892E-2</v>
      </c>
      <c r="V15">
        <v>5.7534246575342472E-2</v>
      </c>
      <c r="W15">
        <v>5.205479452054794E-2</v>
      </c>
    </row>
    <row r="16" spans="1:23" hidden="1" x14ac:dyDescent="0.35">
      <c r="A16" t="s">
        <v>45</v>
      </c>
      <c r="B16">
        <v>0.41095890410958902</v>
      </c>
      <c r="C16">
        <v>0.41095890410958902</v>
      </c>
      <c r="D16">
        <v>0.15780821917808213</v>
      </c>
      <c r="E16">
        <v>0.41095890410958902</v>
      </c>
      <c r="F16">
        <v>0.30136986301369867</v>
      </c>
      <c r="G16">
        <v>0.29041095890410956</v>
      </c>
      <c r="H16">
        <v>0.41095890410958902</v>
      </c>
      <c r="I16">
        <v>0.41095890410958902</v>
      </c>
      <c r="J16">
        <v>0.41095890410958902</v>
      </c>
      <c r="K16">
        <v>0.19178082191780815</v>
      </c>
      <c r="L16">
        <v>0.52054794520547942</v>
      </c>
      <c r="M16">
        <v>0.3561643835616437</v>
      </c>
      <c r="N16">
        <v>0.32602739726027402</v>
      </c>
      <c r="O16">
        <v>0.61643835616438369</v>
      </c>
      <c r="P16">
        <v>0.13698630136986301</v>
      </c>
      <c r="Q16">
        <v>0.27397260273972601</v>
      </c>
      <c r="R16">
        <v>0.20547945205479451</v>
      </c>
      <c r="S16">
        <v>0.31506849315068491</v>
      </c>
      <c r="T16">
        <v>0.41095890410958902</v>
      </c>
      <c r="U16">
        <v>0.22739726027397258</v>
      </c>
      <c r="V16">
        <v>0.49041095890410952</v>
      </c>
      <c r="W16">
        <v>0.41095890410958902</v>
      </c>
    </row>
    <row r="17" spans="1:23" hidden="1" x14ac:dyDescent="0.35">
      <c r="A17" t="s">
        <v>46</v>
      </c>
      <c r="B17">
        <v>0.16438356164383561</v>
      </c>
      <c r="C17">
        <v>0.24657534246575347</v>
      </c>
      <c r="D17">
        <v>0.11506849315068494</v>
      </c>
      <c r="E17">
        <v>8.2191780821917818E-2</v>
      </c>
      <c r="F17">
        <v>2.0547945205479451E-2</v>
      </c>
      <c r="G17">
        <v>8.2191780821917804E-2</v>
      </c>
      <c r="H17">
        <v>0</v>
      </c>
      <c r="I17">
        <v>0</v>
      </c>
      <c r="J17">
        <v>8.2191780821917776E-2</v>
      </c>
      <c r="K17">
        <v>7.6712328767123264E-2</v>
      </c>
      <c r="L17">
        <v>0</v>
      </c>
      <c r="M17">
        <v>0</v>
      </c>
      <c r="N17">
        <v>0</v>
      </c>
      <c r="O17">
        <v>0</v>
      </c>
      <c r="P17">
        <v>0</v>
      </c>
      <c r="Q17">
        <v>0</v>
      </c>
      <c r="R17">
        <v>0.12328767123287673</v>
      </c>
      <c r="S17">
        <v>7.6712328767123264E-2</v>
      </c>
      <c r="T17">
        <v>0</v>
      </c>
      <c r="V17">
        <v>0</v>
      </c>
      <c r="W17">
        <v>0</v>
      </c>
    </row>
    <row r="18" spans="1:23" hidden="1" x14ac:dyDescent="0.35"/>
    <row r="19" spans="1:23" hidden="1" x14ac:dyDescent="0.35">
      <c r="B19">
        <v>8.2191780821917804E-2</v>
      </c>
      <c r="C19">
        <v>8.2191780821917804E-2</v>
      </c>
      <c r="D19">
        <v>3.1561643835616424E-2</v>
      </c>
      <c r="E19">
        <v>8.2191780821917804E-2</v>
      </c>
      <c r="F19">
        <v>6.0273972602739735E-2</v>
      </c>
      <c r="G19">
        <v>5.8082191780821912E-2</v>
      </c>
      <c r="H19">
        <v>8.2191780821917804E-2</v>
      </c>
      <c r="I19">
        <v>8.2191780821917804E-2</v>
      </c>
      <c r="J19">
        <v>8.2191780821917804E-2</v>
      </c>
      <c r="K19">
        <v>3.8356164383561632E-2</v>
      </c>
      <c r="L19">
        <v>0.10410958904109588</v>
      </c>
      <c r="M19">
        <v>7.1232876712328738E-2</v>
      </c>
      <c r="N19">
        <v>6.5205479452054807E-2</v>
      </c>
      <c r="O19">
        <v>0.12328767123287673</v>
      </c>
      <c r="P19">
        <v>2.7397260273972601E-2</v>
      </c>
      <c r="Q19">
        <v>5.4794520547945202E-2</v>
      </c>
      <c r="R19">
        <v>4.1095890410958902E-2</v>
      </c>
      <c r="S19">
        <v>6.3013698630136977E-2</v>
      </c>
      <c r="T19">
        <v>8.2191780821917804E-2</v>
      </c>
      <c r="U19">
        <v>4.547945205479452E-2</v>
      </c>
      <c r="V19">
        <v>9.8082191780821906E-2</v>
      </c>
      <c r="W19">
        <v>8.2191780821917804E-2</v>
      </c>
    </row>
    <row r="20" spans="1:23" hidden="1" x14ac:dyDescent="0.35">
      <c r="B20">
        <v>3.287671232876712E-2</v>
      </c>
      <c r="C20">
        <v>4.9315068493150691E-2</v>
      </c>
      <c r="D20">
        <v>2.301369863013699E-2</v>
      </c>
      <c r="E20">
        <v>1.6438356164383564E-2</v>
      </c>
      <c r="F20">
        <v>4.10958904109589E-3</v>
      </c>
      <c r="G20">
        <v>1.643835616438356E-2</v>
      </c>
      <c r="H20">
        <v>0</v>
      </c>
      <c r="I20">
        <v>0</v>
      </c>
      <c r="J20">
        <v>1.6438356164383557E-2</v>
      </c>
      <c r="K20">
        <v>1.5342465753424652E-2</v>
      </c>
      <c r="L20">
        <v>0</v>
      </c>
      <c r="M20">
        <v>0</v>
      </c>
      <c r="N20">
        <v>0</v>
      </c>
      <c r="O20">
        <v>0</v>
      </c>
      <c r="P20">
        <v>0</v>
      </c>
      <c r="Q20">
        <v>0</v>
      </c>
      <c r="R20">
        <v>2.4657534246575345E-2</v>
      </c>
      <c r="S20">
        <v>1.5342465753424652E-2</v>
      </c>
      <c r="T20">
        <v>0</v>
      </c>
      <c r="V20">
        <v>0</v>
      </c>
      <c r="W20">
        <v>0</v>
      </c>
    </row>
    <row r="21" spans="1:23" hidden="1" x14ac:dyDescent="0.35"/>
    <row r="22" spans="1:23" hidden="1" x14ac:dyDescent="0.35"/>
    <row r="23" spans="1:23" hidden="1" x14ac:dyDescent="0.35">
      <c r="B23" t="s">
        <v>11</v>
      </c>
      <c r="C23" t="s">
        <v>13</v>
      </c>
      <c r="D23" t="s">
        <v>12</v>
      </c>
      <c r="E23" t="s">
        <v>28</v>
      </c>
      <c r="F23" t="s">
        <v>15</v>
      </c>
      <c r="G23" t="s">
        <v>18</v>
      </c>
      <c r="H23" t="s">
        <v>17</v>
      </c>
      <c r="I23" t="s">
        <v>21</v>
      </c>
      <c r="J23" t="s">
        <v>27</v>
      </c>
      <c r="K23" t="s">
        <v>29</v>
      </c>
      <c r="L23" t="s">
        <v>24</v>
      </c>
      <c r="M23" t="s">
        <v>23</v>
      </c>
      <c r="N23" t="s">
        <v>19</v>
      </c>
      <c r="O23" t="s">
        <v>16</v>
      </c>
      <c r="P23" t="s">
        <v>51</v>
      </c>
      <c r="Q23" t="s">
        <v>52</v>
      </c>
      <c r="R23" t="s">
        <v>20</v>
      </c>
      <c r="S23" t="s">
        <v>26</v>
      </c>
      <c r="T23" t="s">
        <v>25</v>
      </c>
      <c r="U23" t="s">
        <v>31</v>
      </c>
      <c r="V23" t="s">
        <v>14</v>
      </c>
      <c r="W23" t="s">
        <v>22</v>
      </c>
    </row>
    <row r="24" spans="1:23" hidden="1" x14ac:dyDescent="0.35">
      <c r="A24" t="s">
        <v>39</v>
      </c>
      <c r="B24">
        <v>0.19858219178082198</v>
      </c>
      <c r="C24">
        <v>0.12709999999999999</v>
      </c>
      <c r="D24">
        <v>9.1679407564991822E-2</v>
      </c>
      <c r="E24">
        <v>0.18960348742778027</v>
      </c>
      <c r="F24">
        <v>7.2522161871009863E-2</v>
      </c>
      <c r="G24">
        <v>6.9465890410958894E-2</v>
      </c>
      <c r="H24">
        <v>0.10735993230119259</v>
      </c>
      <c r="I24">
        <v>4.4470000000000003E-2</v>
      </c>
      <c r="J24">
        <v>2.4669905511387327E-2</v>
      </c>
      <c r="K24">
        <v>6.6936494505293015E-2</v>
      </c>
      <c r="L24">
        <v>2.5723726792496716E-2</v>
      </c>
      <c r="M24">
        <v>0.05</v>
      </c>
      <c r="N24">
        <v>0.12294520547945206</v>
      </c>
      <c r="O24">
        <v>0.11699999999999997</v>
      </c>
      <c r="P24">
        <v>0.13</v>
      </c>
      <c r="Q24">
        <v>0.13</v>
      </c>
      <c r="R24">
        <v>8.7657534246575311E-2</v>
      </c>
      <c r="S24">
        <v>5.8048767123287673E-2</v>
      </c>
      <c r="T24">
        <v>8.1826622528681531E-2</v>
      </c>
      <c r="U24">
        <v>5.6429381397242108E-2</v>
      </c>
      <c r="V24">
        <v>0.19887166665976036</v>
      </c>
      <c r="W24">
        <v>6.0000000000000032E-2</v>
      </c>
    </row>
    <row r="25" spans="1:23" hidden="1" x14ac:dyDescent="0.35">
      <c r="A25" t="s">
        <v>44</v>
      </c>
      <c r="B25">
        <v>0.27812328767123284</v>
      </c>
      <c r="C25">
        <v>0.14710000000000001</v>
      </c>
      <c r="D25">
        <v>0.35569689779172942</v>
      </c>
      <c r="E25">
        <v>4.602032753659701E-2</v>
      </c>
      <c r="F25">
        <v>0.26447901369863014</v>
      </c>
      <c r="G25">
        <v>0.20154671232876717</v>
      </c>
      <c r="H25">
        <v>0.12537489760768694</v>
      </c>
      <c r="I25">
        <v>0.11903000000000001</v>
      </c>
      <c r="J25">
        <v>4.785961669209142E-2</v>
      </c>
      <c r="K25">
        <v>0.11924900222008619</v>
      </c>
      <c r="L25">
        <v>0.25298337506441798</v>
      </c>
      <c r="M25">
        <v>0.14531506849315071</v>
      </c>
      <c r="N25">
        <v>0.16060410958904112</v>
      </c>
      <c r="O25">
        <v>0.16166999999999998</v>
      </c>
      <c r="P25">
        <v>4.4999999999999998E-2</v>
      </c>
      <c r="Q25">
        <v>0.1373958904109589</v>
      </c>
      <c r="R25">
        <v>0.1471780821917808</v>
      </c>
      <c r="S25">
        <v>0.16093273972602745</v>
      </c>
      <c r="T25">
        <v>0.13469155632170379</v>
      </c>
      <c r="U25">
        <v>8.2495665814422803E-2</v>
      </c>
      <c r="V25">
        <v>0.19525000000000006</v>
      </c>
      <c r="W25">
        <v>0.15752500000000003</v>
      </c>
    </row>
    <row r="26" spans="1:23" hidden="1" x14ac:dyDescent="0.35">
      <c r="A26" t="s">
        <v>5</v>
      </c>
      <c r="B26">
        <v>8.2191780821917804E-2</v>
      </c>
      <c r="C26">
        <v>0.16438356164383561</v>
      </c>
      <c r="D26">
        <v>8.2191780821917804E-2</v>
      </c>
      <c r="E26">
        <v>0</v>
      </c>
      <c r="F26">
        <v>8.2191780821917804E-2</v>
      </c>
      <c r="G26">
        <v>8.2191780821917804E-2</v>
      </c>
      <c r="H26">
        <v>0.13608393969515983</v>
      </c>
      <c r="I26">
        <v>0.16438356164383566</v>
      </c>
      <c r="J26">
        <v>0.16438356164383555</v>
      </c>
      <c r="K26">
        <v>0</v>
      </c>
      <c r="L26">
        <v>4.1095890410958909E-2</v>
      </c>
      <c r="M26">
        <v>8.2191780821917804E-2</v>
      </c>
      <c r="N26">
        <v>8.2191780821917776E-2</v>
      </c>
      <c r="O26">
        <v>0.16438356164383561</v>
      </c>
      <c r="P26">
        <v>0</v>
      </c>
      <c r="Q26">
        <v>0.16438356164383561</v>
      </c>
      <c r="R26">
        <v>8.2191780821917762E-2</v>
      </c>
      <c r="S26">
        <v>8.2191780821917776E-2</v>
      </c>
      <c r="T26">
        <v>4.1095890410958902E-2</v>
      </c>
      <c r="U26">
        <v>0</v>
      </c>
      <c r="V26">
        <v>8.2191780821917804E-2</v>
      </c>
      <c r="W26">
        <v>8.2191780821917776E-2</v>
      </c>
    </row>
    <row r="27" spans="1:23" hidden="1" x14ac:dyDescent="0.35">
      <c r="A27" t="s">
        <v>4</v>
      </c>
      <c r="B27">
        <v>3.8356164383561632E-2</v>
      </c>
      <c r="C27">
        <v>5.4794520547945202E-2</v>
      </c>
      <c r="D27">
        <v>0.1095890410958904</v>
      </c>
      <c r="E27">
        <v>4.1095890410958909E-2</v>
      </c>
      <c r="F27">
        <v>4.1095890410958902E-2</v>
      </c>
      <c r="G27">
        <v>3.8356164383561632E-2</v>
      </c>
      <c r="H27">
        <v>4.1095890410958888E-2</v>
      </c>
      <c r="I27">
        <v>4.1095890410958916E-2</v>
      </c>
      <c r="J27">
        <v>5.4794520547945202E-2</v>
      </c>
      <c r="K27">
        <v>3.8356164383561632E-2</v>
      </c>
      <c r="L27">
        <v>3.8356164383561632E-2</v>
      </c>
      <c r="M27">
        <v>8.2191780821917804E-2</v>
      </c>
      <c r="N27">
        <v>8.2191780821917776E-2</v>
      </c>
      <c r="O27">
        <v>8.2191780821917804E-2</v>
      </c>
      <c r="P27">
        <v>4.1095890410958902E-2</v>
      </c>
      <c r="Q27">
        <v>4.1095890410958902E-2</v>
      </c>
      <c r="R27">
        <v>3.2876712328767113E-2</v>
      </c>
      <c r="S27">
        <v>4.9315068493150697E-2</v>
      </c>
      <c r="T27">
        <v>6.5753424657534226E-2</v>
      </c>
      <c r="U27">
        <v>3.9886039886039892E-2</v>
      </c>
      <c r="V27">
        <v>5.7534246575342472E-2</v>
      </c>
      <c r="W27">
        <v>5.205479452054794E-2</v>
      </c>
    </row>
    <row r="28" spans="1:23" hidden="1" x14ac:dyDescent="0.35">
      <c r="A28" t="s">
        <v>45</v>
      </c>
      <c r="B28">
        <v>0.41095890410958902</v>
      </c>
      <c r="C28">
        <v>0.41095890410958902</v>
      </c>
      <c r="D28">
        <v>0.15780821917808213</v>
      </c>
      <c r="E28">
        <v>0.41095890410958902</v>
      </c>
      <c r="F28">
        <v>0.30136986301369867</v>
      </c>
      <c r="G28">
        <v>0.29041095890410956</v>
      </c>
      <c r="H28">
        <v>0.41095890410958902</v>
      </c>
      <c r="I28">
        <v>0.41095890410958902</v>
      </c>
      <c r="J28">
        <v>0.41095890410958902</v>
      </c>
      <c r="K28">
        <v>0.19178082191780815</v>
      </c>
      <c r="L28">
        <v>0.52054794520547942</v>
      </c>
      <c r="M28">
        <v>0.3561643835616437</v>
      </c>
      <c r="N28">
        <v>0.32602739726027402</v>
      </c>
      <c r="O28">
        <v>0.61643835616438369</v>
      </c>
      <c r="P28">
        <v>0.13698630136986301</v>
      </c>
      <c r="Q28">
        <v>0.27397260273972601</v>
      </c>
      <c r="R28">
        <v>0.20547945205479451</v>
      </c>
      <c r="S28">
        <v>0.31506849315068491</v>
      </c>
      <c r="T28">
        <v>0.41095890410958902</v>
      </c>
      <c r="U28">
        <v>0.22739726027397258</v>
      </c>
      <c r="V28">
        <v>0.49041095890410952</v>
      </c>
      <c r="W28">
        <v>0.41095890410958902</v>
      </c>
    </row>
    <row r="29" spans="1:23" hidden="1" x14ac:dyDescent="0.35">
      <c r="A29" t="s">
        <v>46</v>
      </c>
      <c r="B29">
        <v>0.16438356164383561</v>
      </c>
      <c r="C29">
        <v>0.24657534246575347</v>
      </c>
      <c r="D29">
        <v>0.11506849315068494</v>
      </c>
      <c r="E29">
        <v>8.2191780821917818E-2</v>
      </c>
      <c r="F29">
        <v>2.0547945205479451E-2</v>
      </c>
      <c r="G29">
        <v>8.2191780821917804E-2</v>
      </c>
      <c r="H29">
        <v>0</v>
      </c>
      <c r="I29">
        <v>0</v>
      </c>
      <c r="J29">
        <v>8.2191780821917776E-2</v>
      </c>
      <c r="K29">
        <v>7.6712328767123264E-2</v>
      </c>
      <c r="L29">
        <v>0</v>
      </c>
      <c r="M29">
        <v>0</v>
      </c>
      <c r="N29">
        <v>0</v>
      </c>
      <c r="O29">
        <v>0</v>
      </c>
      <c r="P29">
        <v>0</v>
      </c>
      <c r="Q29">
        <v>0</v>
      </c>
      <c r="R29">
        <v>0.12328767123287673</v>
      </c>
      <c r="S29">
        <v>7.6712328767123264E-2</v>
      </c>
      <c r="T29">
        <v>0</v>
      </c>
      <c r="V29">
        <v>0</v>
      </c>
      <c r="W29">
        <v>0</v>
      </c>
    </row>
    <row r="30" spans="1:23" hidden="1" x14ac:dyDescent="0.35">
      <c r="A30" t="s">
        <v>47</v>
      </c>
      <c r="B30">
        <v>8.2191780821917804E-2</v>
      </c>
      <c r="C30">
        <v>8.2191780821917804E-2</v>
      </c>
      <c r="D30">
        <v>3.1561643835616424E-2</v>
      </c>
      <c r="E30">
        <v>8.2191780821917804E-2</v>
      </c>
      <c r="F30">
        <v>6.0273972602739735E-2</v>
      </c>
      <c r="G30">
        <v>5.8082191780821912E-2</v>
      </c>
      <c r="H30">
        <v>8.2191780821917804E-2</v>
      </c>
      <c r="I30">
        <v>8.2191780821917804E-2</v>
      </c>
      <c r="J30">
        <v>8.2191780821917804E-2</v>
      </c>
      <c r="K30">
        <v>3.8356164383561632E-2</v>
      </c>
      <c r="L30">
        <v>0.10410958904109588</v>
      </c>
      <c r="M30">
        <v>7.1232876712328738E-2</v>
      </c>
      <c r="N30">
        <v>6.5205479452054807E-2</v>
      </c>
      <c r="O30">
        <v>0.12328767123287673</v>
      </c>
      <c r="P30">
        <v>2.7397260273972601E-2</v>
      </c>
      <c r="Q30">
        <v>5.4794520547945202E-2</v>
      </c>
      <c r="R30">
        <v>4.1095890410958902E-2</v>
      </c>
      <c r="S30">
        <v>6.3013698630136977E-2</v>
      </c>
      <c r="T30">
        <v>8.2191780821917804E-2</v>
      </c>
      <c r="U30">
        <v>4.547945205479452E-2</v>
      </c>
      <c r="V30">
        <v>9.8082191780821906E-2</v>
      </c>
      <c r="W30">
        <v>8.2191780821917804E-2</v>
      </c>
    </row>
    <row r="31" spans="1:23" hidden="1" x14ac:dyDescent="0.35">
      <c r="A31" t="s">
        <v>48</v>
      </c>
      <c r="B31">
        <v>3.287671232876712E-2</v>
      </c>
      <c r="C31">
        <v>4.9315068493150691E-2</v>
      </c>
      <c r="D31">
        <v>2.301369863013699E-2</v>
      </c>
      <c r="E31">
        <v>1.6438356164383564E-2</v>
      </c>
      <c r="F31">
        <v>4.10958904109589E-3</v>
      </c>
      <c r="G31">
        <v>1.643835616438356E-2</v>
      </c>
      <c r="H31">
        <v>0</v>
      </c>
      <c r="I31">
        <v>0</v>
      </c>
      <c r="J31">
        <v>1.6438356164383557E-2</v>
      </c>
      <c r="K31">
        <v>1.5342465753424652E-2</v>
      </c>
      <c r="L31">
        <v>0</v>
      </c>
      <c r="M31">
        <v>0</v>
      </c>
      <c r="N31">
        <v>0</v>
      </c>
      <c r="O31">
        <v>0</v>
      </c>
      <c r="P31">
        <v>0</v>
      </c>
      <c r="Q31">
        <v>0</v>
      </c>
      <c r="R31">
        <v>2.4657534246575345E-2</v>
      </c>
      <c r="S31">
        <v>1.5342465753424652E-2</v>
      </c>
      <c r="T31">
        <v>0</v>
      </c>
      <c r="V31">
        <v>0</v>
      </c>
      <c r="W31">
        <v>0</v>
      </c>
    </row>
    <row r="32" spans="1:23" hidden="1" x14ac:dyDescent="0.35"/>
    <row r="34" spans="1:11" ht="52" x14ac:dyDescent="0.35">
      <c r="A34" s="15"/>
      <c r="B34" s="15" t="s">
        <v>53</v>
      </c>
      <c r="C34" s="15" t="s">
        <v>54</v>
      </c>
      <c r="D34" s="15" t="s">
        <v>5</v>
      </c>
      <c r="E34" s="15" t="s">
        <v>4</v>
      </c>
      <c r="F34" s="15" t="s">
        <v>45</v>
      </c>
      <c r="G34" s="15" t="s">
        <v>46</v>
      </c>
      <c r="H34" s="15" t="s">
        <v>47</v>
      </c>
      <c r="I34" s="15" t="s">
        <v>48</v>
      </c>
      <c r="J34" s="15" t="s">
        <v>55</v>
      </c>
      <c r="K34" s="15" t="s">
        <v>56</v>
      </c>
    </row>
    <row r="35" spans="1:11" x14ac:dyDescent="0.35">
      <c r="A35" s="193" t="s">
        <v>11</v>
      </c>
      <c r="B35" s="91">
        <v>0.19858219178082198</v>
      </c>
      <c r="C35" s="91">
        <v>0.27812328767123284</v>
      </c>
      <c r="D35" s="91">
        <v>8.2191780821917804E-2</v>
      </c>
      <c r="E35" s="91">
        <v>3.8356164383561632E-2</v>
      </c>
      <c r="F35" s="91">
        <v>0.41095890410958902</v>
      </c>
      <c r="G35" s="91">
        <v>0.16438356164383561</v>
      </c>
      <c r="H35" s="91">
        <v>8.2191780821917804E-2</v>
      </c>
      <c r="I35" s="91">
        <v>3.287671232876712E-2</v>
      </c>
      <c r="J35" s="18">
        <v>0.71232191780821907</v>
      </c>
      <c r="K35" s="168">
        <v>0.48020075525948852</v>
      </c>
    </row>
    <row r="36" spans="1:11" x14ac:dyDescent="0.35">
      <c r="A36" t="s">
        <v>12</v>
      </c>
      <c r="B36" s="3">
        <v>9.1679407564991822E-2</v>
      </c>
      <c r="C36" s="3">
        <v>0.35569689779172942</v>
      </c>
      <c r="D36" s="3">
        <v>8.2191780821917804E-2</v>
      </c>
      <c r="E36" s="3">
        <v>0.1095890410958904</v>
      </c>
      <c r="F36" s="3">
        <v>0.15780821917808213</v>
      </c>
      <c r="G36" s="3">
        <v>0.11506849315068494</v>
      </c>
      <c r="H36" s="3">
        <v>3.1561643835616424E-2</v>
      </c>
      <c r="I36" s="3">
        <v>2.301369863013699E-2</v>
      </c>
      <c r="J36" s="19">
        <v>0.69373246974028291</v>
      </c>
      <c r="K36" s="7">
        <v>0.48020075525948852</v>
      </c>
    </row>
    <row r="37" spans="1:11" x14ac:dyDescent="0.35">
      <c r="B37" s="3"/>
      <c r="C37" s="3"/>
      <c r="D37" s="3"/>
      <c r="E37" s="3"/>
      <c r="F37" s="3"/>
      <c r="G37" s="3"/>
      <c r="H37" s="3"/>
      <c r="I37" s="3"/>
      <c r="J37" s="19"/>
      <c r="K37" s="7">
        <v>0.48020075525948852</v>
      </c>
    </row>
    <row r="38" spans="1:11" x14ac:dyDescent="0.35">
      <c r="A38" t="s">
        <v>16</v>
      </c>
      <c r="B38" s="3">
        <v>0.11699999999999997</v>
      </c>
      <c r="C38" s="3">
        <v>0.16166999999999998</v>
      </c>
      <c r="D38" s="3">
        <v>0.16438356164383561</v>
      </c>
      <c r="E38" s="3">
        <v>8.2191780821917804E-2</v>
      </c>
      <c r="F38" s="3">
        <v>0.61643835616438369</v>
      </c>
      <c r="G38" s="3">
        <v>0</v>
      </c>
      <c r="H38" s="3">
        <v>0.12328767123287673</v>
      </c>
      <c r="I38" s="3">
        <v>0</v>
      </c>
      <c r="J38" s="19">
        <v>0.64853301369863015</v>
      </c>
      <c r="K38" s="7">
        <v>0.48020075525948852</v>
      </c>
    </row>
    <row r="39" spans="1:11" x14ac:dyDescent="0.35">
      <c r="A39" t="s">
        <v>57</v>
      </c>
      <c r="B39" s="3">
        <v>0.13</v>
      </c>
      <c r="C39" s="3">
        <v>0.1373958904109589</v>
      </c>
      <c r="D39" s="3">
        <v>0.16438356164383561</v>
      </c>
      <c r="E39" s="3">
        <v>4.1095890410958902E-2</v>
      </c>
      <c r="F39" s="3">
        <v>0.27397260273972601</v>
      </c>
      <c r="G39" s="3">
        <v>0</v>
      </c>
      <c r="H39" s="3">
        <v>5.4794520547945202E-2</v>
      </c>
      <c r="I39" s="3">
        <v>0</v>
      </c>
      <c r="J39" s="19">
        <v>0.52766986301369867</v>
      </c>
      <c r="K39" s="7">
        <v>0.48020075525948852</v>
      </c>
    </row>
    <row r="40" spans="1:11" x14ac:dyDescent="0.35">
      <c r="A40" t="s">
        <v>58</v>
      </c>
      <c r="B40" s="3">
        <v>0.13</v>
      </c>
      <c r="C40" s="3">
        <v>4.4999999999999998E-2</v>
      </c>
      <c r="D40" s="3">
        <v>0</v>
      </c>
      <c r="E40" s="3">
        <v>4.1095890410958902E-2</v>
      </c>
      <c r="F40" s="3">
        <v>0.13698630136986301</v>
      </c>
      <c r="G40" s="3">
        <v>0</v>
      </c>
      <c r="H40" s="3">
        <v>2.7397260273972601E-2</v>
      </c>
      <c r="I40" s="3">
        <v>0</v>
      </c>
      <c r="J40" s="19">
        <v>0.24349315068493149</v>
      </c>
      <c r="K40" s="7">
        <v>0.48020075525948852</v>
      </c>
    </row>
    <row r="41" spans="1:11" x14ac:dyDescent="0.35">
      <c r="B41" s="3"/>
      <c r="C41" s="3"/>
      <c r="D41" s="3"/>
      <c r="E41" s="3"/>
      <c r="F41" s="3"/>
      <c r="G41" s="3"/>
      <c r="H41" s="3"/>
      <c r="I41" s="3"/>
      <c r="J41" s="19"/>
      <c r="K41" s="7">
        <v>0.48020075525948852</v>
      </c>
    </row>
    <row r="42" spans="1:11" x14ac:dyDescent="0.35">
      <c r="A42" t="s">
        <v>14</v>
      </c>
      <c r="B42" s="3">
        <v>0.19887166665976036</v>
      </c>
      <c r="C42" s="3">
        <v>0.19525000000000006</v>
      </c>
      <c r="D42" s="3">
        <v>8.2191780821917804E-2</v>
      </c>
      <c r="E42" s="3">
        <v>5.7534246575342472E-2</v>
      </c>
      <c r="F42" s="3">
        <v>0.49041095890410952</v>
      </c>
      <c r="G42" s="3">
        <v>0</v>
      </c>
      <c r="H42" s="3">
        <v>9.8082191780821906E-2</v>
      </c>
      <c r="I42" s="3">
        <v>0</v>
      </c>
      <c r="J42" s="19">
        <v>0.6319298858378426</v>
      </c>
      <c r="K42" s="7">
        <v>0.48020075525948852</v>
      </c>
    </row>
    <row r="43" spans="1:11" x14ac:dyDescent="0.35">
      <c r="A43" t="s">
        <v>13</v>
      </c>
      <c r="B43" s="3">
        <v>0.12709999999999999</v>
      </c>
      <c r="C43" s="3">
        <v>0.14710000000000001</v>
      </c>
      <c r="D43" s="3">
        <v>0.16438356164383561</v>
      </c>
      <c r="E43" s="3">
        <v>5.4794520547945202E-2</v>
      </c>
      <c r="F43" s="3">
        <v>0.41095890410958902</v>
      </c>
      <c r="G43" s="3">
        <v>0.24657534246575347</v>
      </c>
      <c r="H43" s="3">
        <v>8.2191780821917804E-2</v>
      </c>
      <c r="I43" s="3">
        <v>4.9315068493150691E-2</v>
      </c>
      <c r="J43" s="19">
        <v>0.62488493150684932</v>
      </c>
      <c r="K43" s="7">
        <v>0.48020075525948852</v>
      </c>
    </row>
    <row r="44" spans="1:11" x14ac:dyDescent="0.35">
      <c r="A44" t="s">
        <v>15</v>
      </c>
      <c r="B44" s="3">
        <v>7.2522161871009863E-2</v>
      </c>
      <c r="C44" s="3">
        <v>0.26447901369863014</v>
      </c>
      <c r="D44" s="3">
        <v>8.2191780821917804E-2</v>
      </c>
      <c r="E44" s="3">
        <v>4.1095890410958902E-2</v>
      </c>
      <c r="F44" s="3">
        <v>0.30136986301369867</v>
      </c>
      <c r="G44" s="3">
        <v>2.0547945205479451E-2</v>
      </c>
      <c r="H44" s="3">
        <v>6.0273972602739735E-2</v>
      </c>
      <c r="I44" s="3">
        <v>4.10958904109589E-3</v>
      </c>
      <c r="J44" s="19">
        <v>0.52467240844635232</v>
      </c>
      <c r="K44" s="7">
        <v>0.48020075525948852</v>
      </c>
    </row>
    <row r="45" spans="1:11" x14ac:dyDescent="0.35">
      <c r="A45" t="s">
        <v>19</v>
      </c>
      <c r="B45" s="3">
        <v>0.12294520547945206</v>
      </c>
      <c r="C45" s="3">
        <v>0.16060410958904112</v>
      </c>
      <c r="D45" s="3">
        <v>8.2191780821917776E-2</v>
      </c>
      <c r="E45" s="3">
        <v>8.2191780821917776E-2</v>
      </c>
      <c r="F45" s="3">
        <v>0.32602739726027402</v>
      </c>
      <c r="G45" s="3">
        <v>0</v>
      </c>
      <c r="H45" s="3">
        <v>6.5205479452054807E-2</v>
      </c>
      <c r="I45" s="3">
        <v>0</v>
      </c>
      <c r="J45" s="19">
        <v>0.51313835616438352</v>
      </c>
      <c r="K45" s="7">
        <v>0.48020075525948852</v>
      </c>
    </row>
    <row r="46" spans="1:11" x14ac:dyDescent="0.35">
      <c r="A46" t="s">
        <v>17</v>
      </c>
      <c r="B46" s="3">
        <v>0.10735993230119259</v>
      </c>
      <c r="C46" s="3">
        <v>0.12537489760768694</v>
      </c>
      <c r="D46" s="3">
        <v>0.13608393969515983</v>
      </c>
      <c r="E46" s="3">
        <v>4.1095890410958888E-2</v>
      </c>
      <c r="F46" s="3">
        <v>0.41095890410958902</v>
      </c>
      <c r="G46" s="3">
        <v>0</v>
      </c>
      <c r="H46" s="3">
        <v>8.2191780821917804E-2</v>
      </c>
      <c r="I46" s="3">
        <v>0</v>
      </c>
      <c r="J46" s="19">
        <v>0.49210644083691607</v>
      </c>
      <c r="K46" s="7">
        <v>0.48020075525948852</v>
      </c>
    </row>
    <row r="47" spans="1:11" x14ac:dyDescent="0.35">
      <c r="A47" t="s">
        <v>18</v>
      </c>
      <c r="B47" s="3">
        <v>6.9465890410958894E-2</v>
      </c>
      <c r="C47" s="3">
        <v>0.20154671232876717</v>
      </c>
      <c r="D47" s="3">
        <v>8.2191780821917804E-2</v>
      </c>
      <c r="E47" s="3">
        <v>3.8356164383561632E-2</v>
      </c>
      <c r="F47" s="3">
        <v>0.29041095890410956</v>
      </c>
      <c r="G47" s="3">
        <v>8.2191780821917804E-2</v>
      </c>
      <c r="H47" s="3">
        <v>5.8082191780821912E-2</v>
      </c>
      <c r="I47" s="3">
        <v>1.643835616438356E-2</v>
      </c>
      <c r="J47" s="19">
        <v>0.46608109589041097</v>
      </c>
      <c r="K47" s="7">
        <v>0.48020075525948852</v>
      </c>
    </row>
    <row r="48" spans="1:11" x14ac:dyDescent="0.35">
      <c r="A48" t="s">
        <v>24</v>
      </c>
      <c r="B48" s="3">
        <v>2.5723726792496716E-2</v>
      </c>
      <c r="C48" s="3">
        <v>0.25298337506441798</v>
      </c>
      <c r="D48" s="3">
        <v>4.1095890410958909E-2</v>
      </c>
      <c r="E48" s="3">
        <v>3.8356164383561632E-2</v>
      </c>
      <c r="F48" s="3">
        <v>0.52054794520547942</v>
      </c>
      <c r="G48" s="3">
        <v>0</v>
      </c>
      <c r="H48" s="3">
        <v>0.10410958904109588</v>
      </c>
      <c r="I48" s="3">
        <v>0</v>
      </c>
      <c r="J48" s="19">
        <v>0.46226874569253118</v>
      </c>
      <c r="K48" s="7">
        <v>0.48020075525948852</v>
      </c>
    </row>
    <row r="49" spans="1:11" x14ac:dyDescent="0.35">
      <c r="A49" t="s">
        <v>21</v>
      </c>
      <c r="B49" s="3">
        <v>4.4470000000000003E-2</v>
      </c>
      <c r="C49" s="3">
        <v>0.11903000000000001</v>
      </c>
      <c r="D49" s="3">
        <v>0.16438356164383566</v>
      </c>
      <c r="E49" s="3">
        <v>4.1095890410958916E-2</v>
      </c>
      <c r="F49" s="3">
        <v>0.41095890410958902</v>
      </c>
      <c r="G49" s="3">
        <v>0</v>
      </c>
      <c r="H49" s="3">
        <v>8.2191780821917804E-2</v>
      </c>
      <c r="I49" s="3">
        <v>0</v>
      </c>
      <c r="J49" s="19">
        <v>0.4511712328767124</v>
      </c>
      <c r="K49" s="7">
        <v>0.48020075525948852</v>
      </c>
    </row>
    <row r="50" spans="1:11" x14ac:dyDescent="0.35">
      <c r="A50" t="s">
        <v>22</v>
      </c>
      <c r="B50" s="3">
        <v>6.0000000000000032E-2</v>
      </c>
      <c r="C50" s="3">
        <v>0.15752500000000003</v>
      </c>
      <c r="D50" s="3">
        <v>8.2191780821917776E-2</v>
      </c>
      <c r="E50" s="3">
        <v>5.205479452054794E-2</v>
      </c>
      <c r="F50" s="3">
        <v>0.41095890410958902</v>
      </c>
      <c r="G50" s="3">
        <v>0</v>
      </c>
      <c r="H50" s="3">
        <v>8.2191780821917804E-2</v>
      </c>
      <c r="I50" s="3">
        <v>0</v>
      </c>
      <c r="J50" s="19">
        <v>0.43396335616438358</v>
      </c>
      <c r="K50" s="7">
        <v>0.48020075525948852</v>
      </c>
    </row>
    <row r="51" spans="1:11" x14ac:dyDescent="0.35">
      <c r="A51" t="s">
        <v>23</v>
      </c>
      <c r="B51" s="3">
        <v>0.05</v>
      </c>
      <c r="C51" s="3">
        <v>0.14531506849315071</v>
      </c>
      <c r="D51" s="3">
        <v>8.2191780821917804E-2</v>
      </c>
      <c r="E51" s="3">
        <v>8.2191780821917804E-2</v>
      </c>
      <c r="F51" s="3">
        <v>0.3561643835616437</v>
      </c>
      <c r="G51" s="3">
        <v>0</v>
      </c>
      <c r="H51" s="3">
        <v>7.1232876712328738E-2</v>
      </c>
      <c r="I51" s="3">
        <v>0</v>
      </c>
      <c r="J51" s="19">
        <v>0.43093150684931508</v>
      </c>
      <c r="K51" s="7">
        <v>0.48020075525948852</v>
      </c>
    </row>
    <row r="52" spans="1:11" x14ac:dyDescent="0.35">
      <c r="A52" t="s">
        <v>26</v>
      </c>
      <c r="B52" s="3">
        <v>5.8048767123287673E-2</v>
      </c>
      <c r="C52" s="3">
        <v>0.16093273972602745</v>
      </c>
      <c r="D52" s="3">
        <v>8.2191780821917776E-2</v>
      </c>
      <c r="E52" s="3">
        <v>4.9315068493150697E-2</v>
      </c>
      <c r="F52" s="3">
        <v>0.31506849315068491</v>
      </c>
      <c r="G52" s="3">
        <v>7.6712328767123264E-2</v>
      </c>
      <c r="H52" s="3">
        <v>6.3013698630136977E-2</v>
      </c>
      <c r="I52" s="3">
        <v>1.5342465753424652E-2</v>
      </c>
      <c r="J52" s="19">
        <v>0.42884452054794514</v>
      </c>
      <c r="K52" s="7">
        <v>0.48020075525948852</v>
      </c>
    </row>
    <row r="53" spans="1:11" x14ac:dyDescent="0.35">
      <c r="A53" t="s">
        <v>20</v>
      </c>
      <c r="B53" s="3">
        <v>8.7657534246575311E-2</v>
      </c>
      <c r="C53" s="3">
        <v>0.1471780821917808</v>
      </c>
      <c r="D53" s="3">
        <v>8.2191780821917762E-2</v>
      </c>
      <c r="E53" s="3">
        <v>3.2876712328767113E-2</v>
      </c>
      <c r="F53" s="3">
        <v>0.20547945205479451</v>
      </c>
      <c r="G53" s="3">
        <v>0.12328767123287673</v>
      </c>
      <c r="H53" s="3">
        <v>4.1095890410958902E-2</v>
      </c>
      <c r="I53" s="3">
        <v>2.4657534246575345E-2</v>
      </c>
      <c r="J53" s="19">
        <v>0.4156575342465752</v>
      </c>
      <c r="K53" s="7">
        <v>0.48020075525948852</v>
      </c>
    </row>
    <row r="54" spans="1:11" x14ac:dyDescent="0.35">
      <c r="A54" t="s">
        <v>25</v>
      </c>
      <c r="B54" s="3">
        <v>8.1826622528681531E-2</v>
      </c>
      <c r="C54" s="3">
        <v>0.13469155632170379</v>
      </c>
      <c r="D54" s="3">
        <v>4.1095890410958902E-2</v>
      </c>
      <c r="E54" s="3">
        <v>6.5753424657534226E-2</v>
      </c>
      <c r="F54" s="3">
        <v>0.41095890410958902</v>
      </c>
      <c r="G54" s="3">
        <v>0</v>
      </c>
      <c r="H54" s="3">
        <v>8.2191780821917804E-2</v>
      </c>
      <c r="I54" s="3">
        <v>0</v>
      </c>
      <c r="J54" s="19">
        <v>0.40555927474079623</v>
      </c>
      <c r="K54" s="7">
        <v>0.48020075525948852</v>
      </c>
    </row>
    <row r="55" spans="1:11" x14ac:dyDescent="0.35">
      <c r="A55" t="s">
        <v>27</v>
      </c>
      <c r="B55" s="3">
        <v>2.4669905511387327E-2</v>
      </c>
      <c r="C55" s="3">
        <v>4.785961669209142E-2</v>
      </c>
      <c r="D55" s="3">
        <v>0.16438356164383555</v>
      </c>
      <c r="E55" s="3">
        <v>5.4794520547945202E-2</v>
      </c>
      <c r="F55" s="3">
        <v>0.41095890410958902</v>
      </c>
      <c r="G55" s="3">
        <v>8.2191780821917776E-2</v>
      </c>
      <c r="H55" s="3">
        <v>8.2191780821917804E-2</v>
      </c>
      <c r="I55" s="3">
        <v>1.6438356164383557E-2</v>
      </c>
      <c r="J55" s="19">
        <v>0.39033774138156085</v>
      </c>
      <c r="K55" s="7">
        <v>0.48020075525948852</v>
      </c>
    </row>
    <row r="56" spans="1:11" x14ac:dyDescent="0.35">
      <c r="A56" t="s">
        <v>28</v>
      </c>
      <c r="B56" s="3">
        <v>0.18960348742778027</v>
      </c>
      <c r="C56" s="3">
        <v>4.602032753659701E-2</v>
      </c>
      <c r="D56" s="3">
        <v>0</v>
      </c>
      <c r="E56" s="3">
        <v>4.1095890410958909E-2</v>
      </c>
      <c r="F56" s="3">
        <v>0.41095890410958902</v>
      </c>
      <c r="G56" s="3">
        <v>8.2191780821917818E-2</v>
      </c>
      <c r="H56" s="3">
        <v>8.2191780821917804E-2</v>
      </c>
      <c r="I56" s="3">
        <v>1.6438356164383564E-2</v>
      </c>
      <c r="J56" s="19">
        <v>0.37534984236163754</v>
      </c>
      <c r="K56" s="7">
        <v>0.48020075525948852</v>
      </c>
    </row>
    <row r="57" spans="1:11" x14ac:dyDescent="0.35">
      <c r="A57" t="s">
        <v>29</v>
      </c>
      <c r="B57" s="3">
        <v>6.6936494505293015E-2</v>
      </c>
      <c r="C57" s="3">
        <v>0.11924900222008619</v>
      </c>
      <c r="D57" s="3">
        <v>0</v>
      </c>
      <c r="E57" s="3">
        <v>3.8356164383561632E-2</v>
      </c>
      <c r="F57" s="3">
        <v>0.19178082191780815</v>
      </c>
      <c r="G57" s="3">
        <v>7.6712328767123264E-2</v>
      </c>
      <c r="H57" s="3">
        <v>3.8356164383561632E-2</v>
      </c>
      <c r="I57" s="3">
        <v>1.5342465753424652E-2</v>
      </c>
      <c r="J57" s="19">
        <v>0.27824029124592708</v>
      </c>
      <c r="K57" s="7">
        <v>0.48020075525948852</v>
      </c>
    </row>
    <row r="58" spans="1:11" x14ac:dyDescent="0.35">
      <c r="A58" t="s">
        <v>31</v>
      </c>
      <c r="B58" s="3">
        <v>5.6429381397242108E-2</v>
      </c>
      <c r="C58" s="3">
        <v>8.2495665814422803E-2</v>
      </c>
      <c r="D58" s="3">
        <v>0</v>
      </c>
      <c r="E58" s="3">
        <v>3.9886039886039892E-2</v>
      </c>
      <c r="F58" s="3">
        <v>0.22739726027397258</v>
      </c>
      <c r="G58" s="3"/>
      <c r="H58" s="3">
        <v>4.547945205479452E-2</v>
      </c>
      <c r="I58" s="3"/>
      <c r="J58" s="19">
        <v>0.2242905391524993</v>
      </c>
      <c r="K58" s="7">
        <v>0.48020075525948852</v>
      </c>
    </row>
    <row r="59" spans="1:11" x14ac:dyDescent="0.35">
      <c r="A59" s="16" t="s">
        <v>59</v>
      </c>
      <c r="B59" s="17">
        <f t="shared" ref="B59:J59" si="0">+AVERAGE(B35:B51,B54:B58)</f>
        <v>9.825930371155342E-2</v>
      </c>
      <c r="C59" s="17">
        <f t="shared" si="0"/>
        <v>0.15887052106202587</v>
      </c>
      <c r="D59" s="17">
        <f t="shared" si="0"/>
        <v>8.4886388765579884E-2</v>
      </c>
      <c r="E59" s="17">
        <f t="shared" si="0"/>
        <v>5.4049096514849938E-2</v>
      </c>
      <c r="F59" s="17">
        <f t="shared" si="0"/>
        <v>0.3588493150684931</v>
      </c>
      <c r="G59" s="17">
        <f t="shared" si="0"/>
        <v>4.5782263878875275E-2</v>
      </c>
      <c r="H59" s="17">
        <f t="shared" si="0"/>
        <v>7.1769863013698615E-2</v>
      </c>
      <c r="I59" s="17">
        <f t="shared" si="0"/>
        <v>9.1564527757750525E-3</v>
      </c>
      <c r="J59" s="20">
        <f t="shared" si="0"/>
        <v>0.47653380320469402</v>
      </c>
      <c r="K59" s="16"/>
    </row>
  </sheetData>
  <sortState xmlns:xlrd2="http://schemas.microsoft.com/office/spreadsheetml/2017/richdata2" ref="A35:K56">
    <sortCondition descending="1" ref="J35:J56"/>
  </sortState>
  <pageMargins left="0.7" right="0.7" top="0.75" bottom="0.75" header="0.3" footer="0.3"/>
  <pageSetup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V24"/>
  <sheetViews>
    <sheetView zoomScale="58" workbookViewId="0">
      <selection activeCell="A17" sqref="A17:XFD17"/>
    </sheetView>
  </sheetViews>
  <sheetFormatPr defaultColWidth="9.1796875" defaultRowHeight="14.5" x14ac:dyDescent="0.35"/>
  <sheetData>
    <row r="1" spans="1:22" x14ac:dyDescent="0.35">
      <c r="A1" s="169" t="s">
        <v>415</v>
      </c>
    </row>
    <row r="2" spans="1:22" ht="15" thickBot="1" x14ac:dyDescent="0.4"/>
    <row r="3" spans="1:22" ht="15" customHeight="1" thickBot="1" x14ac:dyDescent="0.4">
      <c r="A3" s="100"/>
      <c r="B3" s="1029" t="s">
        <v>416</v>
      </c>
      <c r="C3" s="1030"/>
      <c r="D3" s="1030"/>
      <c r="E3" s="1030"/>
      <c r="F3" s="1031"/>
      <c r="G3" s="1032" t="s">
        <v>417</v>
      </c>
      <c r="H3" s="1033"/>
      <c r="I3" s="1033"/>
      <c r="J3" s="1033"/>
      <c r="K3" s="1034"/>
      <c r="L3" s="1032" t="s">
        <v>418</v>
      </c>
      <c r="M3" s="1033"/>
      <c r="N3" s="1033"/>
      <c r="O3" s="1033"/>
      <c r="P3" s="1034"/>
    </row>
    <row r="4" spans="1:22" ht="39.5" thickBot="1" x14ac:dyDescent="0.4">
      <c r="A4" s="103"/>
      <c r="B4" s="104" t="s">
        <v>419</v>
      </c>
      <c r="C4" s="105" t="s">
        <v>420</v>
      </c>
      <c r="D4" s="105" t="s">
        <v>64</v>
      </c>
      <c r="E4" s="105" t="s">
        <v>79</v>
      </c>
      <c r="F4" s="106" t="s">
        <v>187</v>
      </c>
      <c r="G4" s="104" t="s">
        <v>419</v>
      </c>
      <c r="H4" s="105" t="s">
        <v>420</v>
      </c>
      <c r="I4" s="105" t="s">
        <v>65</v>
      </c>
      <c r="J4" s="105" t="s">
        <v>79</v>
      </c>
      <c r="K4" s="106" t="s">
        <v>187</v>
      </c>
      <c r="L4" s="104" t="s">
        <v>419</v>
      </c>
      <c r="M4" s="105" t="s">
        <v>420</v>
      </c>
      <c r="N4" s="105" t="s">
        <v>65</v>
      </c>
      <c r="O4" s="105" t="s">
        <v>79</v>
      </c>
      <c r="P4" s="106" t="s">
        <v>187</v>
      </c>
      <c r="R4" s="2"/>
    </row>
    <row r="5" spans="1:22" x14ac:dyDescent="0.35">
      <c r="A5" s="118" t="s">
        <v>11</v>
      </c>
      <c r="B5" s="122"/>
      <c r="C5" s="113"/>
      <c r="D5" s="113"/>
      <c r="E5" s="123"/>
      <c r="F5" s="133">
        <f t="shared" ref="F5:F10" si="0">+B5+C5+D5+E5</f>
        <v>0</v>
      </c>
      <c r="G5" s="122"/>
      <c r="H5" s="114">
        <v>8.8999999999999999E-3</v>
      </c>
      <c r="I5" s="113"/>
      <c r="J5" s="116">
        <v>4.4400000000000002E-2</v>
      </c>
      <c r="K5" s="142">
        <f t="shared" ref="K5:K10" si="1">+G5+H5+I5+J5</f>
        <v>5.33E-2</v>
      </c>
      <c r="L5" s="148">
        <f t="shared" ref="L5:O24" si="2">+B5+G5</f>
        <v>0</v>
      </c>
      <c r="M5" s="113">
        <f t="shared" si="2"/>
        <v>8.8999999999999999E-3</v>
      </c>
      <c r="N5" s="115">
        <f t="shared" si="2"/>
        <v>0</v>
      </c>
      <c r="O5" s="123">
        <f t="shared" si="2"/>
        <v>4.4400000000000002E-2</v>
      </c>
      <c r="P5" s="144">
        <f t="shared" ref="P5:P24" si="3">+SUM(L5:O5)</f>
        <v>5.33E-2</v>
      </c>
      <c r="Q5" s="101"/>
      <c r="R5" s="2"/>
      <c r="V5" s="2"/>
    </row>
    <row r="6" spans="1:22" x14ac:dyDescent="0.35">
      <c r="A6" s="119" t="s">
        <v>13</v>
      </c>
      <c r="B6" s="124"/>
      <c r="C6" s="107"/>
      <c r="D6" s="107"/>
      <c r="E6" s="125"/>
      <c r="F6" s="134">
        <f t="shared" si="0"/>
        <v>0</v>
      </c>
      <c r="G6" s="124">
        <v>1.7100000000000001E-2</v>
      </c>
      <c r="H6" s="107"/>
      <c r="I6" s="107"/>
      <c r="J6" s="125"/>
      <c r="K6" s="135">
        <f t="shared" si="1"/>
        <v>1.7100000000000001E-2</v>
      </c>
      <c r="L6" s="124">
        <f t="shared" si="2"/>
        <v>1.7100000000000001E-2</v>
      </c>
      <c r="M6" s="109">
        <f t="shared" si="2"/>
        <v>0</v>
      </c>
      <c r="N6" s="109">
        <f t="shared" si="2"/>
        <v>0</v>
      </c>
      <c r="O6" s="141">
        <f t="shared" si="2"/>
        <v>0</v>
      </c>
      <c r="P6" s="145">
        <f t="shared" si="3"/>
        <v>1.7100000000000001E-2</v>
      </c>
      <c r="Q6" s="2"/>
      <c r="R6" s="2"/>
      <c r="V6" s="2"/>
    </row>
    <row r="7" spans="1:22" x14ac:dyDescent="0.35">
      <c r="A7" s="119" t="s">
        <v>12</v>
      </c>
      <c r="B7" s="124"/>
      <c r="C7" s="107"/>
      <c r="D7" s="107"/>
      <c r="E7" s="125"/>
      <c r="F7" s="134">
        <f t="shared" si="0"/>
        <v>0</v>
      </c>
      <c r="G7" s="124">
        <v>0.01</v>
      </c>
      <c r="H7" s="107">
        <v>0.08</v>
      </c>
      <c r="I7" s="107">
        <v>0.01</v>
      </c>
      <c r="J7" s="125">
        <v>4.2000000000000003E-2</v>
      </c>
      <c r="K7" s="135">
        <f t="shared" si="1"/>
        <v>0.14199999999999999</v>
      </c>
      <c r="L7" s="124">
        <f t="shared" si="2"/>
        <v>0.01</v>
      </c>
      <c r="M7" s="107">
        <f t="shared" si="2"/>
        <v>0.08</v>
      </c>
      <c r="N7" s="107">
        <f t="shared" si="2"/>
        <v>0.01</v>
      </c>
      <c r="O7" s="125">
        <f t="shared" si="2"/>
        <v>4.2000000000000003E-2</v>
      </c>
      <c r="P7" s="145">
        <f t="shared" si="3"/>
        <v>0.14199999999999999</v>
      </c>
      <c r="Q7" s="2"/>
      <c r="R7" s="2"/>
      <c r="V7" s="2"/>
    </row>
    <row r="8" spans="1:22" x14ac:dyDescent="0.35">
      <c r="A8" s="119" t="s">
        <v>28</v>
      </c>
      <c r="B8" s="124"/>
      <c r="C8" s="107">
        <v>6.0000000000000001E-3</v>
      </c>
      <c r="D8" s="107"/>
      <c r="E8" s="125">
        <v>1.4800000000000001E-2</v>
      </c>
      <c r="F8" s="135">
        <f t="shared" si="0"/>
        <v>2.0799999999999999E-2</v>
      </c>
      <c r="G8" s="124">
        <v>9.4999999999999998E-3</v>
      </c>
      <c r="H8" s="107">
        <v>2.4E-2</v>
      </c>
      <c r="I8" s="108"/>
      <c r="J8" s="125">
        <v>1.26E-2</v>
      </c>
      <c r="K8" s="135">
        <f t="shared" si="1"/>
        <v>4.6100000000000002E-2</v>
      </c>
      <c r="L8" s="124">
        <f t="shared" si="2"/>
        <v>9.4999999999999998E-3</v>
      </c>
      <c r="M8" s="107">
        <f t="shared" si="2"/>
        <v>0.03</v>
      </c>
      <c r="N8" s="109">
        <f t="shared" si="2"/>
        <v>0</v>
      </c>
      <c r="O8" s="125">
        <f t="shared" si="2"/>
        <v>2.7400000000000001E-2</v>
      </c>
      <c r="P8" s="145">
        <f t="shared" si="3"/>
        <v>6.6900000000000001E-2</v>
      </c>
      <c r="Q8" s="2"/>
      <c r="R8" s="2"/>
      <c r="V8" s="2"/>
    </row>
    <row r="9" spans="1:22" x14ac:dyDescent="0.35">
      <c r="A9" s="119" t="s">
        <v>15</v>
      </c>
      <c r="B9" s="124"/>
      <c r="C9" s="107"/>
      <c r="D9" s="107"/>
      <c r="E9" s="125"/>
      <c r="F9" s="134">
        <f t="shared" si="0"/>
        <v>0</v>
      </c>
      <c r="G9" s="124">
        <v>3.48E-3</v>
      </c>
      <c r="H9" s="107">
        <v>8.3000000000000004E-2</v>
      </c>
      <c r="I9" s="107">
        <v>0</v>
      </c>
      <c r="J9" s="125">
        <v>0.04</v>
      </c>
      <c r="K9" s="135">
        <f t="shared" si="1"/>
        <v>0.12648000000000001</v>
      </c>
      <c r="L9" s="124">
        <f t="shared" si="2"/>
        <v>3.48E-3</v>
      </c>
      <c r="M9" s="107">
        <f t="shared" si="2"/>
        <v>8.3000000000000004E-2</v>
      </c>
      <c r="N9" s="107">
        <f t="shared" si="2"/>
        <v>0</v>
      </c>
      <c r="O9" s="125">
        <f t="shared" si="2"/>
        <v>0.04</v>
      </c>
      <c r="P9" s="145">
        <f t="shared" si="3"/>
        <v>0.12648000000000001</v>
      </c>
      <c r="Q9" s="2"/>
      <c r="R9" s="2"/>
      <c r="V9" s="2"/>
    </row>
    <row r="10" spans="1:22" x14ac:dyDescent="0.35">
      <c r="A10" s="119" t="s">
        <v>18</v>
      </c>
      <c r="B10" s="124"/>
      <c r="C10" s="107"/>
      <c r="D10" s="107"/>
      <c r="E10" s="126">
        <v>0.01</v>
      </c>
      <c r="F10" s="135">
        <f t="shared" si="0"/>
        <v>0.01</v>
      </c>
      <c r="G10" s="124">
        <v>3.3E-3</v>
      </c>
      <c r="H10" s="107">
        <v>0.03</v>
      </c>
      <c r="I10" s="107">
        <v>1.4999999999999999E-2</v>
      </c>
      <c r="J10" s="125">
        <v>0.06</v>
      </c>
      <c r="K10" s="135">
        <f t="shared" si="1"/>
        <v>0.10829999999999999</v>
      </c>
      <c r="L10" s="124">
        <f t="shared" si="2"/>
        <v>3.3E-3</v>
      </c>
      <c r="M10" s="107">
        <f t="shared" si="2"/>
        <v>0.03</v>
      </c>
      <c r="N10" s="107">
        <f t="shared" si="2"/>
        <v>1.4999999999999999E-2</v>
      </c>
      <c r="O10" s="125">
        <f t="shared" si="2"/>
        <v>6.9999999999999993E-2</v>
      </c>
      <c r="P10" s="145">
        <f t="shared" si="3"/>
        <v>0.11829999999999999</v>
      </c>
      <c r="Q10" s="2"/>
      <c r="R10" s="2"/>
      <c r="V10" s="2"/>
    </row>
    <row r="11" spans="1:22" x14ac:dyDescent="0.35">
      <c r="A11" s="119" t="s">
        <v>26</v>
      </c>
      <c r="B11" s="124"/>
      <c r="C11" s="107"/>
      <c r="D11" s="107">
        <v>5.0000000000000001E-3</v>
      </c>
      <c r="E11" s="125"/>
      <c r="F11" s="136">
        <f t="shared" ref="F11:F24" si="4">+SUM(B11:E11)</f>
        <v>5.0000000000000001E-3</v>
      </c>
      <c r="G11" s="124">
        <v>1.2E-2</v>
      </c>
      <c r="H11" s="107"/>
      <c r="I11" s="107">
        <v>0.01</v>
      </c>
      <c r="J11" s="125"/>
      <c r="K11" s="135">
        <f t="shared" ref="K11:K24" si="5">+SUM(G11:J11)</f>
        <v>2.1999999999999999E-2</v>
      </c>
      <c r="L11" s="124">
        <f t="shared" si="2"/>
        <v>1.2E-2</v>
      </c>
      <c r="M11" s="109">
        <f t="shared" si="2"/>
        <v>0</v>
      </c>
      <c r="N11" s="107">
        <f t="shared" si="2"/>
        <v>1.4999999999999999E-2</v>
      </c>
      <c r="O11" s="141">
        <f t="shared" si="2"/>
        <v>0</v>
      </c>
      <c r="P11" s="145">
        <f t="shared" si="3"/>
        <v>2.7E-2</v>
      </c>
      <c r="Q11" s="2"/>
      <c r="R11" s="2"/>
      <c r="V11" s="2"/>
    </row>
    <row r="12" spans="1:22" x14ac:dyDescent="0.35">
      <c r="A12" s="119" t="s">
        <v>17</v>
      </c>
      <c r="B12" s="127"/>
      <c r="C12" s="110">
        <v>0.02</v>
      </c>
      <c r="D12" s="110"/>
      <c r="E12" s="128">
        <f>0.0035+0.001+0.0036</f>
        <v>8.0999999999999996E-3</v>
      </c>
      <c r="F12" s="136">
        <f t="shared" si="4"/>
        <v>2.81E-2</v>
      </c>
      <c r="G12" s="127">
        <v>5.4999999999999997E-3</v>
      </c>
      <c r="H12" s="110">
        <v>0.01</v>
      </c>
      <c r="I12" s="110"/>
      <c r="J12" s="128">
        <f>0.0035+0.0044</f>
        <v>7.9000000000000008E-3</v>
      </c>
      <c r="K12" s="136">
        <f t="shared" si="5"/>
        <v>2.3400000000000001E-2</v>
      </c>
      <c r="L12" s="127">
        <f t="shared" si="2"/>
        <v>5.4999999999999997E-3</v>
      </c>
      <c r="M12" s="110">
        <f t="shared" si="2"/>
        <v>0.03</v>
      </c>
      <c r="N12" s="110">
        <f t="shared" si="2"/>
        <v>0</v>
      </c>
      <c r="O12" s="128">
        <f t="shared" si="2"/>
        <v>1.6E-2</v>
      </c>
      <c r="P12" s="145">
        <f t="shared" si="3"/>
        <v>5.1499999999999997E-2</v>
      </c>
      <c r="Q12" s="2"/>
      <c r="R12" s="2"/>
      <c r="V12" s="2"/>
    </row>
    <row r="13" spans="1:22" x14ac:dyDescent="0.35">
      <c r="A13" s="119" t="s">
        <v>21</v>
      </c>
      <c r="B13" s="124">
        <v>0.01</v>
      </c>
      <c r="C13" s="107"/>
      <c r="D13" s="107"/>
      <c r="E13" s="125"/>
      <c r="F13" s="136">
        <f t="shared" si="4"/>
        <v>0.01</v>
      </c>
      <c r="G13" s="139">
        <v>0.03</v>
      </c>
      <c r="H13" s="107"/>
      <c r="I13" s="107">
        <v>0.01</v>
      </c>
      <c r="J13" s="126">
        <v>0.01</v>
      </c>
      <c r="K13" s="135">
        <f t="shared" si="5"/>
        <v>0.05</v>
      </c>
      <c r="L13" s="124">
        <f t="shared" si="2"/>
        <v>0.04</v>
      </c>
      <c r="M13" s="109">
        <f t="shared" si="2"/>
        <v>0</v>
      </c>
      <c r="N13" s="107">
        <f t="shared" si="2"/>
        <v>0.01</v>
      </c>
      <c r="O13" s="125">
        <f t="shared" si="2"/>
        <v>0.01</v>
      </c>
      <c r="P13" s="145">
        <f t="shared" si="3"/>
        <v>6.0000000000000005E-2</v>
      </c>
      <c r="Q13" s="2"/>
      <c r="R13" s="2"/>
      <c r="V13" s="2"/>
    </row>
    <row r="14" spans="1:22" x14ac:dyDescent="0.35">
      <c r="A14" s="119" t="s">
        <v>27</v>
      </c>
      <c r="B14" s="124"/>
      <c r="C14" s="107"/>
      <c r="D14" s="107"/>
      <c r="E14" s="125">
        <v>1.0952893593127712E-2</v>
      </c>
      <c r="F14" s="136">
        <f t="shared" si="4"/>
        <v>1.0952893593127712E-2</v>
      </c>
      <c r="G14" s="124">
        <v>1.4603858124170282E-3</v>
      </c>
      <c r="H14" s="107"/>
      <c r="I14" s="107">
        <v>7.3019290620851404E-3</v>
      </c>
      <c r="J14" s="125">
        <v>1.0952893593127712E-2</v>
      </c>
      <c r="K14" s="135">
        <f t="shared" si="5"/>
        <v>1.9715208467629881E-2</v>
      </c>
      <c r="L14" s="124">
        <f t="shared" si="2"/>
        <v>1.4603858124170282E-3</v>
      </c>
      <c r="M14" s="109">
        <f t="shared" si="2"/>
        <v>0</v>
      </c>
      <c r="N14" s="107">
        <f t="shared" si="2"/>
        <v>7.3019290620851404E-3</v>
      </c>
      <c r="O14" s="125">
        <f t="shared" si="2"/>
        <v>2.1905787186255424E-2</v>
      </c>
      <c r="P14" s="145">
        <f t="shared" si="3"/>
        <v>3.0668102060757593E-2</v>
      </c>
      <c r="Q14" s="2"/>
      <c r="R14" s="2"/>
      <c r="V14" s="2"/>
    </row>
    <row r="15" spans="1:22" x14ac:dyDescent="0.35">
      <c r="A15" s="119" t="s">
        <v>29</v>
      </c>
      <c r="B15" s="124"/>
      <c r="C15" s="107"/>
      <c r="D15" s="107"/>
      <c r="E15" s="125">
        <v>4.2500000000000003E-2</v>
      </c>
      <c r="F15" s="136">
        <f t="shared" si="4"/>
        <v>4.2500000000000003E-2</v>
      </c>
      <c r="G15" s="124"/>
      <c r="H15" s="107"/>
      <c r="I15" s="107">
        <v>0.03</v>
      </c>
      <c r="J15" s="125">
        <v>6.5000000000000002E-2</v>
      </c>
      <c r="K15" s="135">
        <f t="shared" si="5"/>
        <v>9.5000000000000001E-2</v>
      </c>
      <c r="L15" s="140">
        <f t="shared" si="2"/>
        <v>0</v>
      </c>
      <c r="M15" s="109">
        <f t="shared" si="2"/>
        <v>0</v>
      </c>
      <c r="N15" s="107">
        <f t="shared" si="2"/>
        <v>0.03</v>
      </c>
      <c r="O15" s="125">
        <f t="shared" si="2"/>
        <v>0.10750000000000001</v>
      </c>
      <c r="P15" s="145">
        <f t="shared" si="3"/>
        <v>0.13750000000000001</v>
      </c>
      <c r="Q15" s="2"/>
      <c r="R15" s="2"/>
      <c r="V15" s="2"/>
    </row>
    <row r="16" spans="1:22" x14ac:dyDescent="0.35">
      <c r="A16" s="120" t="s">
        <v>24</v>
      </c>
      <c r="B16" s="129"/>
      <c r="C16" s="111"/>
      <c r="D16" s="111"/>
      <c r="E16" s="130"/>
      <c r="F16" s="137">
        <f t="shared" si="4"/>
        <v>0</v>
      </c>
      <c r="G16" s="129">
        <v>1.9800000000000002E-2</v>
      </c>
      <c r="H16" s="111"/>
      <c r="I16" s="111"/>
      <c r="J16" s="130">
        <v>0.06</v>
      </c>
      <c r="K16" s="135">
        <f t="shared" si="5"/>
        <v>7.9799999999999996E-2</v>
      </c>
      <c r="L16" s="129">
        <f t="shared" si="2"/>
        <v>1.9800000000000002E-2</v>
      </c>
      <c r="M16" s="112">
        <f t="shared" si="2"/>
        <v>0</v>
      </c>
      <c r="N16" s="112">
        <f t="shared" si="2"/>
        <v>0</v>
      </c>
      <c r="O16" s="130">
        <f t="shared" si="2"/>
        <v>0.06</v>
      </c>
      <c r="P16" s="145">
        <f t="shared" si="3"/>
        <v>7.9799999999999996E-2</v>
      </c>
      <c r="Q16" s="2"/>
      <c r="R16" s="2"/>
      <c r="V16" s="2"/>
    </row>
    <row r="17" spans="1:22" hidden="1" x14ac:dyDescent="0.35">
      <c r="A17" s="119" t="s">
        <v>23</v>
      </c>
      <c r="B17" s="124"/>
      <c r="C17" s="107"/>
      <c r="D17" s="107"/>
      <c r="E17" s="125"/>
      <c r="F17" s="137">
        <f t="shared" si="4"/>
        <v>0</v>
      </c>
      <c r="G17" s="124">
        <v>1.4999999999999999E-2</v>
      </c>
      <c r="H17" s="107"/>
      <c r="I17" s="107">
        <v>0.02</v>
      </c>
      <c r="J17" s="125">
        <v>1.4999999999999999E-2</v>
      </c>
      <c r="K17" s="135">
        <f t="shared" si="5"/>
        <v>0.05</v>
      </c>
      <c r="L17" s="124">
        <f t="shared" si="2"/>
        <v>1.4999999999999999E-2</v>
      </c>
      <c r="M17" s="109">
        <f t="shared" si="2"/>
        <v>0</v>
      </c>
      <c r="N17" s="107">
        <f t="shared" si="2"/>
        <v>0.02</v>
      </c>
      <c r="O17" s="125">
        <f t="shared" si="2"/>
        <v>1.4999999999999999E-2</v>
      </c>
      <c r="P17" s="145">
        <f t="shared" si="3"/>
        <v>0.05</v>
      </c>
      <c r="Q17" s="2"/>
      <c r="R17" s="2"/>
      <c r="V17" s="2"/>
    </row>
    <row r="18" spans="1:22" x14ac:dyDescent="0.35">
      <c r="A18" s="119" t="s">
        <v>19</v>
      </c>
      <c r="B18" s="124"/>
      <c r="C18" s="107"/>
      <c r="D18" s="107"/>
      <c r="E18" s="125">
        <v>1.2500000000000001E-2</v>
      </c>
      <c r="F18" s="136">
        <f t="shared" si="4"/>
        <v>1.2500000000000001E-2</v>
      </c>
      <c r="G18" s="124">
        <v>4.1999999999999997E-3</v>
      </c>
      <c r="H18" s="107"/>
      <c r="I18" s="107"/>
      <c r="J18" s="125">
        <v>1.4999999999999999E-2</v>
      </c>
      <c r="K18" s="135">
        <f t="shared" si="5"/>
        <v>1.9199999999999998E-2</v>
      </c>
      <c r="L18" s="124">
        <f t="shared" si="2"/>
        <v>4.1999999999999997E-3</v>
      </c>
      <c r="M18" s="109">
        <f t="shared" si="2"/>
        <v>0</v>
      </c>
      <c r="N18" s="109">
        <f t="shared" si="2"/>
        <v>0</v>
      </c>
      <c r="O18" s="125">
        <f t="shared" si="2"/>
        <v>2.75E-2</v>
      </c>
      <c r="P18" s="145">
        <f t="shared" si="3"/>
        <v>3.1699999999999999E-2</v>
      </c>
      <c r="Q18" s="2"/>
      <c r="R18" s="2"/>
      <c r="V18" s="2"/>
    </row>
    <row r="19" spans="1:22" x14ac:dyDescent="0.35">
      <c r="A19" s="119" t="s">
        <v>16</v>
      </c>
      <c r="B19" s="124"/>
      <c r="C19" s="107"/>
      <c r="D19" s="107"/>
      <c r="E19" s="125"/>
      <c r="F19" s="137">
        <f t="shared" si="4"/>
        <v>0</v>
      </c>
      <c r="G19" s="124">
        <v>6.3E-3</v>
      </c>
      <c r="H19" s="107">
        <v>8.3299999999999999E-2</v>
      </c>
      <c r="I19" s="107"/>
      <c r="J19" s="125"/>
      <c r="K19" s="135">
        <f t="shared" si="5"/>
        <v>8.9599999999999999E-2</v>
      </c>
      <c r="L19" s="124">
        <f t="shared" si="2"/>
        <v>6.3E-3</v>
      </c>
      <c r="M19" s="107">
        <f t="shared" si="2"/>
        <v>8.3299999999999999E-2</v>
      </c>
      <c r="N19" s="109">
        <f t="shared" si="2"/>
        <v>0</v>
      </c>
      <c r="O19" s="141">
        <f t="shared" si="2"/>
        <v>0</v>
      </c>
      <c r="P19" s="145">
        <f t="shared" si="3"/>
        <v>8.9599999999999999E-2</v>
      </c>
      <c r="Q19" s="2"/>
      <c r="R19" s="2"/>
      <c r="V19" s="2"/>
    </row>
    <row r="20" spans="1:22" x14ac:dyDescent="0.35">
      <c r="A20" s="119" t="s">
        <v>20</v>
      </c>
      <c r="B20" s="124"/>
      <c r="C20" s="107"/>
      <c r="D20" s="107"/>
      <c r="E20" s="125"/>
      <c r="F20" s="137">
        <f t="shared" si="4"/>
        <v>0</v>
      </c>
      <c r="G20" s="124"/>
      <c r="H20" s="107"/>
      <c r="I20" s="107">
        <v>0.01</v>
      </c>
      <c r="J20" s="125"/>
      <c r="K20" s="135">
        <f t="shared" si="5"/>
        <v>0.01</v>
      </c>
      <c r="L20" s="140">
        <f t="shared" si="2"/>
        <v>0</v>
      </c>
      <c r="M20" s="109">
        <f t="shared" si="2"/>
        <v>0</v>
      </c>
      <c r="N20" s="107">
        <f t="shared" si="2"/>
        <v>0.01</v>
      </c>
      <c r="O20" s="141">
        <f t="shared" si="2"/>
        <v>0</v>
      </c>
      <c r="P20" s="145">
        <f t="shared" si="3"/>
        <v>0.01</v>
      </c>
      <c r="Q20" s="2"/>
      <c r="R20" s="2"/>
      <c r="V20" s="2"/>
    </row>
    <row r="21" spans="1:22" x14ac:dyDescent="0.35">
      <c r="A21" s="119" t="s">
        <v>25</v>
      </c>
      <c r="B21" s="124"/>
      <c r="C21" s="107"/>
      <c r="D21" s="107"/>
      <c r="E21" s="125"/>
      <c r="F21" s="137">
        <f t="shared" si="4"/>
        <v>0</v>
      </c>
      <c r="G21" s="124"/>
      <c r="H21" s="107"/>
      <c r="I21" s="107">
        <v>0.01</v>
      </c>
      <c r="J21" s="125"/>
      <c r="K21" s="135">
        <f t="shared" si="5"/>
        <v>0.01</v>
      </c>
      <c r="L21" s="140">
        <f t="shared" si="2"/>
        <v>0</v>
      </c>
      <c r="M21" s="109">
        <f t="shared" si="2"/>
        <v>0</v>
      </c>
      <c r="N21" s="107">
        <f t="shared" si="2"/>
        <v>0.01</v>
      </c>
      <c r="O21" s="141">
        <f t="shared" si="2"/>
        <v>0</v>
      </c>
      <c r="P21" s="145">
        <f t="shared" si="3"/>
        <v>0.01</v>
      </c>
      <c r="Q21" s="2"/>
      <c r="R21" s="2"/>
      <c r="V21" s="2"/>
    </row>
    <row r="22" spans="1:22" x14ac:dyDescent="0.35">
      <c r="A22" s="119" t="s">
        <v>62</v>
      </c>
      <c r="B22" s="124"/>
      <c r="C22" s="107"/>
      <c r="D22" s="107"/>
      <c r="E22" s="125"/>
      <c r="F22" s="137">
        <f t="shared" si="4"/>
        <v>0</v>
      </c>
      <c r="G22" s="140"/>
      <c r="H22" s="109"/>
      <c r="I22" s="109"/>
      <c r="J22" s="141"/>
      <c r="K22" s="134">
        <f t="shared" si="5"/>
        <v>0</v>
      </c>
      <c r="L22" s="140">
        <f t="shared" si="2"/>
        <v>0</v>
      </c>
      <c r="M22" s="109">
        <f t="shared" si="2"/>
        <v>0</v>
      </c>
      <c r="N22" s="109">
        <f t="shared" si="2"/>
        <v>0</v>
      </c>
      <c r="O22" s="141">
        <f t="shared" si="2"/>
        <v>0</v>
      </c>
      <c r="P22" s="146">
        <f t="shared" si="3"/>
        <v>0</v>
      </c>
      <c r="Q22" s="2"/>
      <c r="R22" s="2"/>
      <c r="V22" s="2"/>
    </row>
    <row r="23" spans="1:22" x14ac:dyDescent="0.35">
      <c r="A23" s="119" t="s">
        <v>14</v>
      </c>
      <c r="B23" s="124"/>
      <c r="C23" s="107"/>
      <c r="D23" s="107"/>
      <c r="E23" s="125">
        <v>1.25E-3</v>
      </c>
      <c r="F23" s="136">
        <f t="shared" si="4"/>
        <v>1.25E-3</v>
      </c>
      <c r="G23" s="124">
        <v>6.9000000000000006E-2</v>
      </c>
      <c r="H23" s="107"/>
      <c r="I23" s="107"/>
      <c r="J23" s="125">
        <v>1.25E-3</v>
      </c>
      <c r="K23" s="135">
        <f t="shared" si="5"/>
        <v>7.0250000000000007E-2</v>
      </c>
      <c r="L23" s="124">
        <f t="shared" si="2"/>
        <v>6.9000000000000006E-2</v>
      </c>
      <c r="M23" s="109">
        <f t="shared" si="2"/>
        <v>0</v>
      </c>
      <c r="N23" s="109">
        <f t="shared" si="2"/>
        <v>0</v>
      </c>
      <c r="O23" s="125">
        <f t="shared" si="2"/>
        <v>2.5000000000000001E-3</v>
      </c>
      <c r="P23" s="145">
        <f t="shared" si="3"/>
        <v>7.1500000000000008E-2</v>
      </c>
      <c r="Q23" s="2"/>
      <c r="V23" s="2"/>
    </row>
    <row r="24" spans="1:22" ht="15" thickBot="1" x14ac:dyDescent="0.4">
      <c r="A24" s="121" t="s">
        <v>22</v>
      </c>
      <c r="B24" s="131"/>
      <c r="C24" s="117"/>
      <c r="D24" s="117">
        <v>5.0000000000000001E-3</v>
      </c>
      <c r="E24" s="132">
        <v>1.4999999999999999E-2</v>
      </c>
      <c r="F24" s="138">
        <f t="shared" si="4"/>
        <v>0.02</v>
      </c>
      <c r="G24" s="131">
        <v>7.5249999999999996E-3</v>
      </c>
      <c r="H24" s="117">
        <v>0.02</v>
      </c>
      <c r="I24" s="117">
        <v>0.02</v>
      </c>
      <c r="J24" s="132">
        <v>0.02</v>
      </c>
      <c r="K24" s="143">
        <f t="shared" si="5"/>
        <v>6.7525000000000002E-2</v>
      </c>
      <c r="L24" s="131">
        <f t="shared" si="2"/>
        <v>7.5249999999999996E-3</v>
      </c>
      <c r="M24" s="117">
        <f t="shared" si="2"/>
        <v>0.02</v>
      </c>
      <c r="N24" s="117">
        <f t="shared" si="2"/>
        <v>2.5000000000000001E-2</v>
      </c>
      <c r="O24" s="132">
        <f t="shared" si="2"/>
        <v>3.5000000000000003E-2</v>
      </c>
      <c r="P24" s="147">
        <f t="shared" si="3"/>
        <v>8.7525000000000006E-2</v>
      </c>
      <c r="Q24" s="102"/>
      <c r="V24" s="2"/>
    </row>
  </sheetData>
  <mergeCells count="3">
    <mergeCell ref="B3:F3"/>
    <mergeCell ref="G3:K3"/>
    <mergeCell ref="L3:P3"/>
  </mergeCells>
  <pageMargins left="0.7" right="0.7" top="0.75" bottom="0.75" header="0.3" footer="0.3"/>
  <pageSetup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D27"/>
  <sheetViews>
    <sheetView zoomScale="53" workbookViewId="0">
      <selection activeCell="C3" sqref="A3:C22"/>
    </sheetView>
  </sheetViews>
  <sheetFormatPr defaultColWidth="9.1796875" defaultRowHeight="14" x14ac:dyDescent="0.3"/>
  <cols>
    <col min="1" max="1" width="16.36328125" style="98" customWidth="1"/>
    <col min="2" max="2" width="43.1796875" style="96" customWidth="1"/>
    <col min="3" max="3" width="61.1796875" style="96" customWidth="1"/>
    <col min="4" max="16384" width="9.1796875" style="96"/>
  </cols>
  <sheetData>
    <row r="1" spans="1:4" x14ac:dyDescent="0.3">
      <c r="A1" s="169" t="s">
        <v>421</v>
      </c>
    </row>
    <row r="2" spans="1:4" ht="14.5" thickBot="1" x14ac:dyDescent="0.35"/>
    <row r="3" spans="1:4" ht="14.5" thickBot="1" x14ac:dyDescent="0.35">
      <c r="A3" s="155"/>
      <c r="B3" s="156" t="s">
        <v>422</v>
      </c>
      <c r="C3" s="157" t="s">
        <v>423</v>
      </c>
    </row>
    <row r="4" spans="1:4" ht="26" x14ac:dyDescent="0.3">
      <c r="A4" s="158" t="s">
        <v>97</v>
      </c>
      <c r="B4" s="154"/>
      <c r="C4" s="159" t="s">
        <v>424</v>
      </c>
    </row>
    <row r="5" spans="1:4" x14ac:dyDescent="0.3">
      <c r="A5" s="160" t="s">
        <v>98</v>
      </c>
      <c r="B5" s="149"/>
      <c r="C5" s="161" t="s">
        <v>425</v>
      </c>
    </row>
    <row r="6" spans="1:4" ht="82.5" customHeight="1" x14ac:dyDescent="0.3">
      <c r="A6" s="160" t="s">
        <v>99</v>
      </c>
      <c r="B6" s="149"/>
      <c r="C6" s="162" t="s">
        <v>426</v>
      </c>
    </row>
    <row r="7" spans="1:4" ht="39" x14ac:dyDescent="0.3">
      <c r="A7" s="160" t="s">
        <v>100</v>
      </c>
      <c r="B7" s="150" t="s">
        <v>427</v>
      </c>
      <c r="C7" s="162" t="s">
        <v>428</v>
      </c>
    </row>
    <row r="8" spans="1:4" ht="75" customHeight="1" x14ac:dyDescent="0.3">
      <c r="A8" s="160" t="s">
        <v>101</v>
      </c>
      <c r="B8" s="149"/>
      <c r="C8" s="162" t="s">
        <v>429</v>
      </c>
    </row>
    <row r="9" spans="1:4" ht="78" x14ac:dyDescent="0.3">
      <c r="A9" s="160" t="s">
        <v>102</v>
      </c>
      <c r="B9" s="149" t="s">
        <v>430</v>
      </c>
      <c r="C9" s="162" t="s">
        <v>431</v>
      </c>
      <c r="D9" s="97"/>
    </row>
    <row r="10" spans="1:4" ht="52" x14ac:dyDescent="0.3">
      <c r="A10" s="160" t="s">
        <v>103</v>
      </c>
      <c r="B10" s="150" t="s">
        <v>432</v>
      </c>
      <c r="C10" s="162" t="s">
        <v>433</v>
      </c>
      <c r="D10" s="97"/>
    </row>
    <row r="11" spans="1:4" ht="39" x14ac:dyDescent="0.3">
      <c r="A11" s="160" t="s">
        <v>104</v>
      </c>
      <c r="B11" s="149" t="s">
        <v>434</v>
      </c>
      <c r="C11" s="162" t="s">
        <v>435</v>
      </c>
      <c r="D11" s="97"/>
    </row>
    <row r="12" spans="1:4" ht="39" x14ac:dyDescent="0.3">
      <c r="A12" s="160" t="s">
        <v>105</v>
      </c>
      <c r="B12" s="149" t="s">
        <v>436</v>
      </c>
      <c r="C12" s="163" t="s">
        <v>437</v>
      </c>
      <c r="D12" s="97"/>
    </row>
    <row r="13" spans="1:4" ht="39" x14ac:dyDescent="0.3">
      <c r="A13" s="160" t="s">
        <v>106</v>
      </c>
      <c r="B13" s="150" t="s">
        <v>438</v>
      </c>
      <c r="C13" s="163" t="s">
        <v>439</v>
      </c>
      <c r="D13" s="97"/>
    </row>
    <row r="14" spans="1:4" ht="39" x14ac:dyDescent="0.3">
      <c r="A14" s="160" t="s">
        <v>107</v>
      </c>
      <c r="B14" s="152"/>
      <c r="C14" s="163" t="s">
        <v>440</v>
      </c>
    </row>
    <row r="15" spans="1:4" ht="39" hidden="1" x14ac:dyDescent="0.3">
      <c r="A15" s="160" t="s">
        <v>108</v>
      </c>
      <c r="B15" s="153"/>
      <c r="C15" s="163" t="s">
        <v>441</v>
      </c>
      <c r="D15" s="96" t="s">
        <v>196</v>
      </c>
    </row>
    <row r="16" spans="1:4" ht="26" x14ac:dyDescent="0.3">
      <c r="A16" s="160" t="s">
        <v>109</v>
      </c>
      <c r="B16" s="151" t="s">
        <v>442</v>
      </c>
      <c r="C16" s="163" t="s">
        <v>443</v>
      </c>
    </row>
    <row r="17" spans="1:3" ht="26" x14ac:dyDescent="0.3">
      <c r="A17" s="160" t="s">
        <v>124</v>
      </c>
      <c r="B17" s="153"/>
      <c r="C17" s="163" t="s">
        <v>444</v>
      </c>
    </row>
    <row r="18" spans="1:3" x14ac:dyDescent="0.3">
      <c r="A18" s="160" t="s">
        <v>111</v>
      </c>
      <c r="B18" s="152"/>
      <c r="C18" s="164" t="s">
        <v>445</v>
      </c>
    </row>
    <row r="19" spans="1:3" ht="26" x14ac:dyDescent="0.3">
      <c r="A19" s="160" t="s">
        <v>446</v>
      </c>
      <c r="B19" s="152" t="s">
        <v>447</v>
      </c>
      <c r="C19" s="163" t="s">
        <v>448</v>
      </c>
    </row>
    <row r="20" spans="1:3" x14ac:dyDescent="0.3">
      <c r="A20" s="160" t="s">
        <v>113</v>
      </c>
      <c r="B20" s="152"/>
      <c r="C20" s="164" t="s">
        <v>449</v>
      </c>
    </row>
    <row r="21" spans="1:3" ht="26" x14ac:dyDescent="0.3">
      <c r="A21" s="160" t="s">
        <v>114</v>
      </c>
      <c r="B21" s="152" t="s">
        <v>450</v>
      </c>
      <c r="C21" s="163" t="s">
        <v>451</v>
      </c>
    </row>
    <row r="22" spans="1:3" ht="52.5" thickBot="1" x14ac:dyDescent="0.35">
      <c r="A22" s="165" t="s">
        <v>115</v>
      </c>
      <c r="B22" s="166" t="s">
        <v>452</v>
      </c>
      <c r="C22" s="167" t="s">
        <v>453</v>
      </c>
    </row>
    <row r="23" spans="1:3" x14ac:dyDescent="0.3">
      <c r="B23" s="99"/>
      <c r="C23" s="99"/>
    </row>
    <row r="24" spans="1:3" x14ac:dyDescent="0.3">
      <c r="B24" s="99"/>
      <c r="C24" s="99"/>
    </row>
    <row r="25" spans="1:3" x14ac:dyDescent="0.3">
      <c r="B25" s="99"/>
      <c r="C25" s="99"/>
    </row>
    <row r="26" spans="1:3" x14ac:dyDescent="0.3">
      <c r="B26" s="99"/>
      <c r="C26" s="99"/>
    </row>
    <row r="27" spans="1:3" x14ac:dyDescent="0.3">
      <c r="B27" s="99"/>
      <c r="C27" s="99"/>
    </row>
  </sheetData>
  <pageMargins left="0.7" right="0.7" top="0.75" bottom="0.75" header="0.3" footer="0.3"/>
  <pageSetup orientation="portrait" verticalDpi="0"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021394-FF96-4AEA-9E10-73426A8FB151}">
  <sheetPr filterMode="1"/>
  <dimension ref="A2:L83"/>
  <sheetViews>
    <sheetView zoomScale="70" zoomScaleNormal="70" workbookViewId="0">
      <selection activeCell="D6" sqref="D6"/>
    </sheetView>
  </sheetViews>
  <sheetFormatPr defaultRowHeight="14.5" x14ac:dyDescent="0.35"/>
  <cols>
    <col min="8" max="8" width="10.90625" customWidth="1"/>
  </cols>
  <sheetData>
    <row r="2" spans="1:12" x14ac:dyDescent="0.35">
      <c r="A2" s="1035" t="s">
        <v>169</v>
      </c>
      <c r="B2" s="1041">
        <v>2023</v>
      </c>
      <c r="C2" s="1042"/>
      <c r="D2" s="1042"/>
      <c r="E2" s="1041">
        <v>2013</v>
      </c>
      <c r="F2" s="1042"/>
      <c r="G2" s="1042"/>
      <c r="H2" s="1035" t="s">
        <v>466</v>
      </c>
      <c r="I2" s="1035" t="s">
        <v>465</v>
      </c>
      <c r="J2" s="1035" t="s">
        <v>77</v>
      </c>
      <c r="K2" s="1035" t="s">
        <v>79</v>
      </c>
    </row>
    <row r="3" spans="1:12" x14ac:dyDescent="0.35">
      <c r="A3" s="1036"/>
      <c r="B3" s="1038" t="s">
        <v>76</v>
      </c>
      <c r="C3" s="1038" t="s">
        <v>77</v>
      </c>
      <c r="D3" s="1038" t="s">
        <v>79</v>
      </c>
      <c r="E3" s="1038" t="s">
        <v>76</v>
      </c>
      <c r="F3" s="1038" t="s">
        <v>77</v>
      </c>
      <c r="G3" s="1038" t="s">
        <v>79</v>
      </c>
      <c r="H3" s="1036"/>
      <c r="I3" s="1036"/>
      <c r="J3" s="1036"/>
      <c r="K3" s="1036"/>
    </row>
    <row r="4" spans="1:12" x14ac:dyDescent="0.35">
      <c r="A4" s="1037"/>
      <c r="B4" s="1039"/>
      <c r="C4" s="1039"/>
      <c r="D4" s="1039"/>
      <c r="E4" s="1040"/>
      <c r="F4" s="1040"/>
      <c r="G4" s="1040"/>
      <c r="H4" s="1037"/>
      <c r="I4" s="1037"/>
      <c r="J4" s="1037"/>
      <c r="K4" s="1037"/>
    </row>
    <row r="5" spans="1:12" hidden="1" x14ac:dyDescent="0.35">
      <c r="A5" s="584" t="s">
        <v>108</v>
      </c>
      <c r="B5" s="580">
        <v>0.183</v>
      </c>
      <c r="C5" s="580">
        <v>8.3000000000000004E-2</v>
      </c>
      <c r="D5" s="580">
        <v>0.05</v>
      </c>
      <c r="E5" s="580">
        <v>0.11</v>
      </c>
      <c r="F5" s="580">
        <v>8.3000000000000004E-2</v>
      </c>
      <c r="G5" s="580">
        <v>0.05</v>
      </c>
      <c r="H5" s="595">
        <f t="shared" ref="H5:H24" si="0">(SUM(B5:D5)-SUM(E5:G5))*100</f>
        <v>7.3000000000000007</v>
      </c>
      <c r="I5" s="596">
        <f t="shared" ref="I5:I23" si="1">B5-E5</f>
        <v>7.2999999999999995E-2</v>
      </c>
      <c r="J5" s="596">
        <f t="shared" ref="J5:J23" si="2">C5-F5</f>
        <v>0</v>
      </c>
      <c r="K5" s="596">
        <f t="shared" ref="K5:K23" si="3">D5-G5</f>
        <v>0</v>
      </c>
      <c r="L5" s="597">
        <v>0.05</v>
      </c>
    </row>
    <row r="6" spans="1:12" x14ac:dyDescent="0.35">
      <c r="A6" s="584" t="s">
        <v>105</v>
      </c>
      <c r="B6" s="580">
        <v>0.03</v>
      </c>
      <c r="C6" s="580">
        <v>7.4999999999999997E-2</v>
      </c>
      <c r="D6" s="580">
        <v>0.04</v>
      </c>
      <c r="E6" s="580">
        <v>2.1999999999999999E-2</v>
      </c>
      <c r="F6" s="580">
        <v>5.5E-2</v>
      </c>
      <c r="G6" s="580">
        <v>3.1E-2</v>
      </c>
      <c r="H6" s="595">
        <f t="shared" si="0"/>
        <v>3.6999999999999993</v>
      </c>
      <c r="I6" s="596">
        <f t="shared" si="1"/>
        <v>8.0000000000000002E-3</v>
      </c>
      <c r="J6" s="596">
        <f t="shared" si="2"/>
        <v>1.9999999999999997E-2</v>
      </c>
      <c r="K6" s="596">
        <f t="shared" si="3"/>
        <v>9.0000000000000011E-3</v>
      </c>
      <c r="L6" s="597">
        <v>3.1E-2</v>
      </c>
    </row>
    <row r="7" spans="1:12" x14ac:dyDescent="0.35">
      <c r="A7" s="584" t="s">
        <v>113</v>
      </c>
      <c r="B7" s="580">
        <v>0.16</v>
      </c>
      <c r="C7" s="580">
        <v>0.105</v>
      </c>
      <c r="D7" s="580">
        <v>0.01</v>
      </c>
      <c r="E7" s="580">
        <v>0.13</v>
      </c>
      <c r="F7" s="580">
        <v>0.105</v>
      </c>
      <c r="G7" s="580">
        <v>0.01</v>
      </c>
      <c r="H7" s="595">
        <f t="shared" si="0"/>
        <v>3.0000000000000027</v>
      </c>
      <c r="I7" s="596">
        <f t="shared" si="1"/>
        <v>0.03</v>
      </c>
      <c r="J7" s="596">
        <f t="shared" si="2"/>
        <v>0</v>
      </c>
      <c r="K7" s="596">
        <f t="shared" si="3"/>
        <v>0</v>
      </c>
      <c r="L7" s="597">
        <v>0.01</v>
      </c>
    </row>
    <row r="8" spans="1:12" x14ac:dyDescent="0.35">
      <c r="A8" s="584" t="s">
        <v>110</v>
      </c>
      <c r="B8" s="580">
        <v>0.13</v>
      </c>
      <c r="C8" s="580">
        <v>0.09</v>
      </c>
      <c r="D8" s="581">
        <v>0.10630000000000001</v>
      </c>
      <c r="E8" s="581">
        <v>0.13</v>
      </c>
      <c r="F8" s="581">
        <v>0.09</v>
      </c>
      <c r="G8" s="581">
        <v>0.09</v>
      </c>
      <c r="H8" s="595">
        <f t="shared" si="0"/>
        <v>1.6300000000000037</v>
      </c>
      <c r="I8" s="596">
        <f t="shared" si="1"/>
        <v>0</v>
      </c>
      <c r="J8" s="596">
        <f t="shared" si="2"/>
        <v>0</v>
      </c>
      <c r="K8" s="596">
        <f t="shared" si="3"/>
        <v>1.6300000000000009E-2</v>
      </c>
      <c r="L8" s="597">
        <v>0.09</v>
      </c>
    </row>
    <row r="9" spans="1:12" x14ac:dyDescent="0.35">
      <c r="A9" s="584" t="s">
        <v>111</v>
      </c>
      <c r="B9" s="598">
        <v>0.23</v>
      </c>
      <c r="C9" s="598"/>
      <c r="D9" s="580">
        <v>2.5000000000000001E-2</v>
      </c>
      <c r="E9" s="599">
        <v>0.23</v>
      </c>
      <c r="F9" s="599"/>
      <c r="G9" s="580">
        <v>0.01</v>
      </c>
      <c r="H9" s="595">
        <f t="shared" si="0"/>
        <v>1.4999999999999987</v>
      </c>
      <c r="I9" s="596">
        <f t="shared" si="1"/>
        <v>0</v>
      </c>
      <c r="J9" s="596">
        <f t="shared" si="2"/>
        <v>0</v>
      </c>
      <c r="K9" s="596">
        <f t="shared" si="3"/>
        <v>1.5000000000000001E-2</v>
      </c>
      <c r="L9" s="597">
        <v>0.01</v>
      </c>
    </row>
    <row r="10" spans="1:12" x14ac:dyDescent="0.35">
      <c r="A10" s="584" t="s">
        <v>106</v>
      </c>
      <c r="B10" s="598">
        <v>0.06</v>
      </c>
      <c r="C10" s="598"/>
      <c r="D10" s="598"/>
      <c r="E10" s="599">
        <v>0.05</v>
      </c>
      <c r="F10" s="599"/>
      <c r="G10" s="599"/>
      <c r="H10" s="595">
        <f t="shared" si="0"/>
        <v>0.99999999999999956</v>
      </c>
      <c r="I10" s="596">
        <f t="shared" si="1"/>
        <v>9.999999999999995E-3</v>
      </c>
      <c r="J10" s="596">
        <f t="shared" si="2"/>
        <v>0</v>
      </c>
      <c r="K10" s="596">
        <f t="shared" si="3"/>
        <v>0</v>
      </c>
      <c r="L10" s="597">
        <v>0</v>
      </c>
    </row>
    <row r="11" spans="1:12" x14ac:dyDescent="0.35">
      <c r="A11" s="583" t="s">
        <v>102</v>
      </c>
      <c r="B11" s="580">
        <v>0.13800000000000001</v>
      </c>
      <c r="C11" s="580">
        <v>0.14799999999999999</v>
      </c>
      <c r="D11" s="580">
        <v>0.08</v>
      </c>
      <c r="E11" s="580">
        <v>9.0999999999999998E-2</v>
      </c>
      <c r="F11" s="580">
        <v>0.14799999999999999</v>
      </c>
      <c r="G11" s="580">
        <v>0.11799999999999999</v>
      </c>
      <c r="H11" s="595">
        <f t="shared" si="0"/>
        <v>0.90000000000000635</v>
      </c>
      <c r="I11" s="596">
        <f t="shared" si="1"/>
        <v>4.7000000000000014E-2</v>
      </c>
      <c r="J11" s="596">
        <f t="shared" si="2"/>
        <v>0</v>
      </c>
      <c r="K11" s="596">
        <f t="shared" si="3"/>
        <v>-3.7999999999999992E-2</v>
      </c>
      <c r="L11" s="597">
        <v>0.11799999999999999</v>
      </c>
    </row>
    <row r="12" spans="1:12" x14ac:dyDescent="0.35">
      <c r="A12" s="584" t="s">
        <v>106</v>
      </c>
      <c r="B12" s="580">
        <v>0.06</v>
      </c>
      <c r="C12" s="580">
        <v>0</v>
      </c>
      <c r="D12" s="580">
        <v>0.13500000000000001</v>
      </c>
      <c r="E12" s="580">
        <v>0.05</v>
      </c>
      <c r="F12" s="580">
        <v>0</v>
      </c>
      <c r="G12" s="580">
        <v>0.13800000000000001</v>
      </c>
      <c r="H12" s="595">
        <f t="shared" si="0"/>
        <v>0.70000000000000062</v>
      </c>
      <c r="I12" s="596">
        <f t="shared" si="1"/>
        <v>9.999999999999995E-3</v>
      </c>
      <c r="J12" s="596">
        <f t="shared" si="2"/>
        <v>0</v>
      </c>
      <c r="K12" s="596">
        <f t="shared" si="3"/>
        <v>-3.0000000000000027E-3</v>
      </c>
      <c r="L12" s="597">
        <v>0.13800000000000001</v>
      </c>
    </row>
    <row r="13" spans="1:12" x14ac:dyDescent="0.35">
      <c r="A13" s="583" t="s">
        <v>98</v>
      </c>
      <c r="B13" s="580">
        <v>0.16200000000000001</v>
      </c>
      <c r="C13" s="580">
        <v>0.1</v>
      </c>
      <c r="D13" s="580">
        <v>1.7100000000000001E-2</v>
      </c>
      <c r="E13" s="580">
        <v>0.157</v>
      </c>
      <c r="F13" s="580">
        <v>0.1</v>
      </c>
      <c r="G13" s="580">
        <v>1.7000000000000001E-2</v>
      </c>
      <c r="H13" s="595">
        <f t="shared" si="0"/>
        <v>0.50999999999999934</v>
      </c>
      <c r="I13" s="596">
        <f t="shared" si="1"/>
        <v>5.0000000000000044E-3</v>
      </c>
      <c r="J13" s="596">
        <f t="shared" si="2"/>
        <v>0</v>
      </c>
      <c r="K13" s="596">
        <f t="shared" si="3"/>
        <v>9.9999999999999395E-5</v>
      </c>
      <c r="L13" s="597">
        <v>1.7000000000000001E-2</v>
      </c>
    </row>
    <row r="14" spans="1:12" hidden="1" x14ac:dyDescent="0.35">
      <c r="A14" s="584" t="s">
        <v>292</v>
      </c>
      <c r="B14" s="580">
        <v>0.1</v>
      </c>
      <c r="C14" s="580">
        <v>0.1013</v>
      </c>
      <c r="D14" s="580">
        <v>0.03</v>
      </c>
      <c r="E14" s="580">
        <v>9.9699999999999997E-2</v>
      </c>
      <c r="F14" s="580">
        <v>0.1013</v>
      </c>
      <c r="G14" s="580">
        <v>2.7E-2</v>
      </c>
      <c r="H14" s="595">
        <f t="shared" si="0"/>
        <v>0.32999999999999974</v>
      </c>
      <c r="I14" s="596">
        <f t="shared" si="1"/>
        <v>3.0000000000000859E-4</v>
      </c>
      <c r="J14" s="596">
        <f t="shared" si="2"/>
        <v>0</v>
      </c>
      <c r="K14" s="596">
        <f t="shared" si="3"/>
        <v>2.9999999999999992E-3</v>
      </c>
      <c r="L14" s="597">
        <v>2.7E-2</v>
      </c>
    </row>
    <row r="15" spans="1:12" hidden="1" x14ac:dyDescent="0.35">
      <c r="A15" s="584" t="s">
        <v>107</v>
      </c>
      <c r="B15" s="580">
        <v>7.1400000000000005E-2</v>
      </c>
      <c r="C15" s="580">
        <v>8.1000000000000003E-2</v>
      </c>
      <c r="D15" s="580">
        <v>7.9799999999999996E-2</v>
      </c>
      <c r="E15" s="580">
        <v>6.275E-2</v>
      </c>
      <c r="F15" s="580">
        <v>8.7155766109583144E-2</v>
      </c>
      <c r="G15" s="580">
        <v>7.9799999999999996E-2</v>
      </c>
      <c r="H15" s="595">
        <f t="shared" si="0"/>
        <v>0.24942338904168637</v>
      </c>
      <c r="I15" s="596">
        <f t="shared" si="1"/>
        <v>8.6500000000000049E-3</v>
      </c>
      <c r="J15" s="596">
        <f t="shared" si="2"/>
        <v>-6.1557661095831412E-3</v>
      </c>
      <c r="K15" s="596">
        <f t="shared" si="3"/>
        <v>0</v>
      </c>
      <c r="L15" s="597">
        <v>7.9799999999999996E-2</v>
      </c>
    </row>
    <row r="16" spans="1:12" hidden="1" x14ac:dyDescent="0.35">
      <c r="A16" s="584" t="s">
        <v>100</v>
      </c>
      <c r="B16" s="580">
        <v>0.1</v>
      </c>
      <c r="C16" s="580">
        <v>7.0000000000000007E-2</v>
      </c>
      <c r="D16" s="580">
        <v>6.8000000000000005E-2</v>
      </c>
      <c r="E16" s="580">
        <v>0.1</v>
      </c>
      <c r="F16" s="580">
        <v>7.0000000000000007E-2</v>
      </c>
      <c r="G16" s="580">
        <v>6.7000000000000004E-2</v>
      </c>
      <c r="H16" s="595">
        <f t="shared" si="0"/>
        <v>0.10000000000000009</v>
      </c>
      <c r="I16" s="596">
        <f t="shared" si="1"/>
        <v>0</v>
      </c>
      <c r="J16" s="596">
        <f t="shared" si="2"/>
        <v>0</v>
      </c>
      <c r="K16" s="596">
        <f t="shared" si="3"/>
        <v>1.0000000000000009E-3</v>
      </c>
      <c r="L16" s="597">
        <v>6.7000000000000004E-2</v>
      </c>
    </row>
    <row r="17" spans="1:12" hidden="1" x14ac:dyDescent="0.35">
      <c r="A17" s="584" t="s">
        <v>103</v>
      </c>
      <c r="B17" s="580">
        <v>0.105</v>
      </c>
      <c r="C17" s="580">
        <v>5.1999999999999998E-2</v>
      </c>
      <c r="D17" s="580">
        <v>0.1333</v>
      </c>
      <c r="E17" s="580">
        <v>9.74E-2</v>
      </c>
      <c r="F17" s="580">
        <v>5.7099999999999998E-2</v>
      </c>
      <c r="G17" s="580">
        <v>0.1348</v>
      </c>
      <c r="H17" s="595">
        <f t="shared" si="0"/>
        <v>0.10000000000000009</v>
      </c>
      <c r="I17" s="596">
        <f t="shared" si="1"/>
        <v>7.5999999999999956E-3</v>
      </c>
      <c r="J17" s="596">
        <f t="shared" si="2"/>
        <v>-5.1000000000000004E-3</v>
      </c>
      <c r="K17" s="596">
        <f t="shared" si="3"/>
        <v>-1.5000000000000013E-3</v>
      </c>
      <c r="L17" s="597">
        <v>0.1348</v>
      </c>
    </row>
    <row r="18" spans="1:12" hidden="1" x14ac:dyDescent="0.35">
      <c r="A18" s="584" t="s">
        <v>104</v>
      </c>
      <c r="B18" s="580">
        <v>5.5E-2</v>
      </c>
      <c r="C18" s="580">
        <v>0.06</v>
      </c>
      <c r="D18" s="580">
        <v>0.06</v>
      </c>
      <c r="E18" s="580">
        <v>5.5E-2</v>
      </c>
      <c r="F18" s="580">
        <v>0.06</v>
      </c>
      <c r="G18" s="580">
        <v>0.06</v>
      </c>
      <c r="H18" s="595">
        <f t="shared" si="0"/>
        <v>0</v>
      </c>
      <c r="I18" s="596">
        <f t="shared" si="1"/>
        <v>0</v>
      </c>
      <c r="J18" s="596">
        <f t="shared" si="2"/>
        <v>0</v>
      </c>
      <c r="K18" s="596">
        <f t="shared" si="3"/>
        <v>0</v>
      </c>
      <c r="L18" s="597">
        <v>0.06</v>
      </c>
    </row>
    <row r="19" spans="1:12" hidden="1" x14ac:dyDescent="0.35">
      <c r="A19" s="570" t="s">
        <v>109</v>
      </c>
      <c r="B19" s="582">
        <v>0.13500000000000001</v>
      </c>
      <c r="C19" s="582">
        <v>8.5000000000000006E-2</v>
      </c>
      <c r="D19" s="582">
        <v>5.1229999999999998E-2</v>
      </c>
      <c r="E19" s="582">
        <v>0.13500000000000001</v>
      </c>
      <c r="F19" s="582">
        <v>8.5000000000000006E-2</v>
      </c>
      <c r="G19" s="582">
        <v>5.1229999999999998E-2</v>
      </c>
      <c r="H19" s="595">
        <f t="shared" si="0"/>
        <v>0</v>
      </c>
      <c r="I19" s="596">
        <f t="shared" si="1"/>
        <v>0</v>
      </c>
      <c r="J19" s="596">
        <f t="shared" si="2"/>
        <v>0</v>
      </c>
      <c r="K19" s="596">
        <f t="shared" si="3"/>
        <v>0</v>
      </c>
      <c r="L19" s="597">
        <v>5.1229999999999998E-2</v>
      </c>
    </row>
    <row r="20" spans="1:12" hidden="1" x14ac:dyDescent="0.35">
      <c r="A20" s="584" t="s">
        <v>115</v>
      </c>
      <c r="B20" s="593">
        <v>0.13</v>
      </c>
      <c r="C20" s="594"/>
      <c r="D20" s="580">
        <v>8.7999999999999995E-2</v>
      </c>
      <c r="E20" s="588">
        <v>0.13</v>
      </c>
      <c r="F20" s="590"/>
      <c r="G20" s="580">
        <v>8.7999999999999995E-2</v>
      </c>
      <c r="H20" s="595">
        <f t="shared" si="0"/>
        <v>0</v>
      </c>
      <c r="I20" s="596">
        <f t="shared" si="1"/>
        <v>0</v>
      </c>
      <c r="J20" s="596">
        <f t="shared" si="2"/>
        <v>0</v>
      </c>
      <c r="K20" s="596">
        <f t="shared" si="3"/>
        <v>0</v>
      </c>
      <c r="L20" s="597">
        <v>8.7999999999999995E-2</v>
      </c>
    </row>
    <row r="21" spans="1:12" hidden="1" x14ac:dyDescent="0.35">
      <c r="A21" s="583" t="s">
        <v>99</v>
      </c>
      <c r="B21" s="591">
        <v>0.28999999999999998</v>
      </c>
      <c r="C21" s="592"/>
      <c r="D21" s="587">
        <v>0.14000000000000001</v>
      </c>
      <c r="E21" s="588">
        <v>0.28999999999999998</v>
      </c>
      <c r="F21" s="589"/>
      <c r="G21" s="586">
        <v>0.14199999999999999</v>
      </c>
      <c r="H21" s="595">
        <f t="shared" si="0"/>
        <v>-0.19999999999999463</v>
      </c>
      <c r="I21" s="596">
        <f t="shared" si="1"/>
        <v>0</v>
      </c>
      <c r="J21" s="596">
        <f t="shared" si="2"/>
        <v>0</v>
      </c>
      <c r="K21" s="596">
        <f t="shared" si="3"/>
        <v>-1.999999999999974E-3</v>
      </c>
      <c r="L21" s="597">
        <v>0.14199999999999999</v>
      </c>
    </row>
    <row r="22" spans="1:12" x14ac:dyDescent="0.35">
      <c r="A22" s="583" t="s">
        <v>97</v>
      </c>
      <c r="B22" s="580">
        <v>0.218</v>
      </c>
      <c r="C22" s="580">
        <v>0.14000000000000001</v>
      </c>
      <c r="D22" s="580">
        <v>7.5999999999999998E-2</v>
      </c>
      <c r="E22" s="580">
        <v>0.21199999999999999</v>
      </c>
      <c r="F22" s="580">
        <v>0.18</v>
      </c>
      <c r="G22" s="580">
        <v>5.2999999999999999E-2</v>
      </c>
      <c r="H22" s="595">
        <f t="shared" si="0"/>
        <v>-1.100000000000001</v>
      </c>
      <c r="I22" s="596">
        <f t="shared" si="1"/>
        <v>6.0000000000000053E-3</v>
      </c>
      <c r="J22" s="596">
        <f t="shared" si="2"/>
        <v>-3.999999999999998E-2</v>
      </c>
      <c r="K22" s="596">
        <f t="shared" si="3"/>
        <v>2.3E-2</v>
      </c>
      <c r="L22" s="597">
        <v>5.2999999999999999E-2</v>
      </c>
    </row>
    <row r="23" spans="1:12" x14ac:dyDescent="0.35">
      <c r="A23" s="584" t="s">
        <v>114</v>
      </c>
      <c r="B23" s="585">
        <v>0.22500000000000001</v>
      </c>
      <c r="C23" s="586">
        <v>0.08</v>
      </c>
      <c r="D23" s="580">
        <v>7.0999999999999994E-2</v>
      </c>
      <c r="E23" s="585">
        <v>0.22500000000000001</v>
      </c>
      <c r="F23" s="586">
        <v>9.5000000000000001E-2</v>
      </c>
      <c r="G23" s="580">
        <v>7.1499999999999994E-2</v>
      </c>
      <c r="H23" s="595">
        <f t="shared" si="0"/>
        <v>-1.5500000000000014</v>
      </c>
      <c r="I23" s="596">
        <f t="shared" si="1"/>
        <v>0</v>
      </c>
      <c r="J23" s="596">
        <f t="shared" si="2"/>
        <v>-1.4999999999999999E-2</v>
      </c>
      <c r="K23" s="596">
        <f t="shared" si="3"/>
        <v>-5.0000000000000044E-4</v>
      </c>
      <c r="L23" s="597">
        <v>7.1499999999999994E-2</v>
      </c>
    </row>
    <row r="24" spans="1:12" x14ac:dyDescent="0.35">
      <c r="A24" s="583" t="s">
        <v>291</v>
      </c>
      <c r="B24" s="585">
        <v>0.16</v>
      </c>
      <c r="C24" s="586" t="s">
        <v>464</v>
      </c>
      <c r="D24" s="580">
        <v>0.13</v>
      </c>
      <c r="E24" s="585">
        <v>0.16</v>
      </c>
      <c r="F24" s="586">
        <v>0.04</v>
      </c>
      <c r="G24" s="580">
        <v>0.126</v>
      </c>
      <c r="H24" s="595">
        <f t="shared" si="0"/>
        <v>-3.5999999999999979</v>
      </c>
      <c r="I24" s="596">
        <f>B24-E24</f>
        <v>0</v>
      </c>
      <c r="J24" s="596">
        <v>0</v>
      </c>
      <c r="K24" s="596">
        <f>D24-G24</f>
        <v>4.0000000000000036E-3</v>
      </c>
      <c r="L24" s="597">
        <v>0.126</v>
      </c>
    </row>
    <row r="25" spans="1:12" x14ac:dyDescent="0.35">
      <c r="D25" s="2"/>
    </row>
    <row r="26" spans="1:12" x14ac:dyDescent="0.35">
      <c r="D26" s="2"/>
    </row>
    <row r="27" spans="1:12" x14ac:dyDescent="0.35">
      <c r="D27" s="2"/>
    </row>
    <row r="28" spans="1:12" x14ac:dyDescent="0.35">
      <c r="D28" s="2"/>
    </row>
    <row r="29" spans="1:12" x14ac:dyDescent="0.35">
      <c r="D29" s="2"/>
    </row>
    <row r="30" spans="1:12" x14ac:dyDescent="0.35">
      <c r="D30" s="2"/>
    </row>
    <row r="31" spans="1:12" x14ac:dyDescent="0.35">
      <c r="D31" s="2"/>
    </row>
    <row r="32" spans="1:12" x14ac:dyDescent="0.35">
      <c r="D32" s="2"/>
    </row>
    <row r="33" spans="4:4" x14ac:dyDescent="0.35">
      <c r="D33" s="2"/>
    </row>
    <row r="34" spans="4:4" x14ac:dyDescent="0.35">
      <c r="D34" s="2"/>
    </row>
    <row r="35" spans="4:4" x14ac:dyDescent="0.35">
      <c r="D35" s="2"/>
    </row>
    <row r="36" spans="4:4" x14ac:dyDescent="0.35">
      <c r="D36" s="2"/>
    </row>
    <row r="37" spans="4:4" x14ac:dyDescent="0.35">
      <c r="D37" s="2"/>
    </row>
    <row r="38" spans="4:4" x14ac:dyDescent="0.35">
      <c r="D38" s="2"/>
    </row>
    <row r="39" spans="4:4" x14ac:dyDescent="0.35">
      <c r="D39" s="2"/>
    </row>
    <row r="40" spans="4:4" x14ac:dyDescent="0.35">
      <c r="D40" s="2"/>
    </row>
    <row r="41" spans="4:4" x14ac:dyDescent="0.35">
      <c r="D41" s="2"/>
    </row>
    <row r="42" spans="4:4" x14ac:dyDescent="0.35">
      <c r="D42" s="2"/>
    </row>
    <row r="43" spans="4:4" x14ac:dyDescent="0.35">
      <c r="D43" s="2"/>
    </row>
    <row r="44" spans="4:4" x14ac:dyDescent="0.35">
      <c r="D44" s="2"/>
    </row>
    <row r="45" spans="4:4" x14ac:dyDescent="0.35">
      <c r="D45" s="2"/>
    </row>
    <row r="46" spans="4:4" x14ac:dyDescent="0.35">
      <c r="D46" s="2"/>
    </row>
    <row r="47" spans="4:4" x14ac:dyDescent="0.35">
      <c r="D47" s="2"/>
    </row>
    <row r="48" spans="4:4" x14ac:dyDescent="0.35">
      <c r="D48" s="2"/>
    </row>
    <row r="49" spans="4:4" x14ac:dyDescent="0.35">
      <c r="D49" s="2"/>
    </row>
    <row r="50" spans="4:4" x14ac:dyDescent="0.35">
      <c r="D50" s="2"/>
    </row>
    <row r="51" spans="4:4" x14ac:dyDescent="0.35">
      <c r="D51" s="2"/>
    </row>
    <row r="52" spans="4:4" x14ac:dyDescent="0.35">
      <c r="D52" s="2"/>
    </row>
    <row r="53" spans="4:4" x14ac:dyDescent="0.35">
      <c r="D53" s="2"/>
    </row>
    <row r="54" spans="4:4" x14ac:dyDescent="0.35">
      <c r="D54" s="2"/>
    </row>
    <row r="55" spans="4:4" x14ac:dyDescent="0.35">
      <c r="D55" s="2"/>
    </row>
    <row r="56" spans="4:4" x14ac:dyDescent="0.35">
      <c r="D56" s="2"/>
    </row>
    <row r="57" spans="4:4" x14ac:dyDescent="0.35">
      <c r="D57" s="2"/>
    </row>
    <row r="58" spans="4:4" x14ac:dyDescent="0.35">
      <c r="D58" s="2"/>
    </row>
    <row r="59" spans="4:4" x14ac:dyDescent="0.35">
      <c r="D59" s="2"/>
    </row>
    <row r="60" spans="4:4" x14ac:dyDescent="0.35">
      <c r="D60" s="2"/>
    </row>
    <row r="61" spans="4:4" x14ac:dyDescent="0.35">
      <c r="D61" s="2"/>
    </row>
    <row r="62" spans="4:4" x14ac:dyDescent="0.35">
      <c r="D62" s="2"/>
    </row>
    <row r="63" spans="4:4" x14ac:dyDescent="0.35">
      <c r="D63" s="2"/>
    </row>
    <row r="64" spans="4:4" x14ac:dyDescent="0.35">
      <c r="D64" s="2"/>
    </row>
    <row r="65" spans="4:4" x14ac:dyDescent="0.35">
      <c r="D65" s="2"/>
    </row>
    <row r="66" spans="4:4" x14ac:dyDescent="0.35">
      <c r="D66" s="2"/>
    </row>
    <row r="67" spans="4:4" x14ac:dyDescent="0.35">
      <c r="D67" s="2"/>
    </row>
    <row r="68" spans="4:4" x14ac:dyDescent="0.35">
      <c r="D68" s="2"/>
    </row>
    <row r="69" spans="4:4" x14ac:dyDescent="0.35">
      <c r="D69" s="2"/>
    </row>
    <row r="70" spans="4:4" x14ac:dyDescent="0.35">
      <c r="D70" s="2"/>
    </row>
    <row r="71" spans="4:4" x14ac:dyDescent="0.35">
      <c r="D71" s="2"/>
    </row>
    <row r="72" spans="4:4" x14ac:dyDescent="0.35">
      <c r="D72" s="2"/>
    </row>
    <row r="73" spans="4:4" x14ac:dyDescent="0.35">
      <c r="D73" s="2"/>
    </row>
    <row r="74" spans="4:4" x14ac:dyDescent="0.35">
      <c r="D74" s="2"/>
    </row>
    <row r="75" spans="4:4" x14ac:dyDescent="0.35">
      <c r="D75" s="2"/>
    </row>
    <row r="76" spans="4:4" x14ac:dyDescent="0.35">
      <c r="D76" s="2"/>
    </row>
    <row r="77" spans="4:4" x14ac:dyDescent="0.35">
      <c r="D77" s="2"/>
    </row>
    <row r="78" spans="4:4" x14ac:dyDescent="0.35">
      <c r="D78" s="2"/>
    </row>
    <row r="79" spans="4:4" x14ac:dyDescent="0.35">
      <c r="D79" s="2"/>
    </row>
    <row r="80" spans="4:4" x14ac:dyDescent="0.35">
      <c r="D80" s="2"/>
    </row>
    <row r="81" spans="4:4" x14ac:dyDescent="0.35">
      <c r="D81" s="2"/>
    </row>
    <row r="82" spans="4:4" x14ac:dyDescent="0.35">
      <c r="D82" s="2"/>
    </row>
    <row r="83" spans="4:4" x14ac:dyDescent="0.35">
      <c r="D83" s="2"/>
    </row>
  </sheetData>
  <autoFilter ref="A5:L24" xr:uid="{84021394-FF96-4AEA-9E10-73426A8FB151}">
    <filterColumn colId="7">
      <filters>
        <filter val="0.5"/>
        <filter val="0.7"/>
        <filter val="0.9"/>
        <filter val="1.0"/>
        <filter val="-1.1"/>
        <filter val="1.5"/>
        <filter val="1.6"/>
        <filter val="-1.6"/>
        <filter val="3.0"/>
        <filter val="-3.6"/>
        <filter val="3.7"/>
      </filters>
    </filterColumn>
  </autoFilter>
  <mergeCells count="13">
    <mergeCell ref="A2:A4"/>
    <mergeCell ref="I2:I4"/>
    <mergeCell ref="J2:J4"/>
    <mergeCell ref="K2:K4"/>
    <mergeCell ref="H2:H4"/>
    <mergeCell ref="B3:B4"/>
    <mergeCell ref="C3:C4"/>
    <mergeCell ref="D3:D4"/>
    <mergeCell ref="E3:E4"/>
    <mergeCell ref="F3:F4"/>
    <mergeCell ref="G3:G4"/>
    <mergeCell ref="B2:D2"/>
    <mergeCell ref="E2:G2"/>
  </mergeCells>
  <conditionalFormatting sqref="H5:H24">
    <cfRule type="dataBar" priority="19">
      <dataBar>
        <cfvo type="min"/>
        <cfvo type="max"/>
        <color theme="4" tint="0.59999389629810485"/>
      </dataBar>
      <extLst>
        <ext xmlns:x14="http://schemas.microsoft.com/office/spreadsheetml/2009/9/main" uri="{B025F937-C7B1-47D3-B67F-A62EFF666E3E}">
          <x14:id>{2DB72108-E23D-4190-9600-DD11D62B02E8}</x14:id>
        </ext>
      </extLst>
    </cfRule>
  </conditionalFormatting>
  <conditionalFormatting sqref="I5:I24">
    <cfRule type="dataBar" priority="21">
      <dataBar>
        <cfvo type="min"/>
        <cfvo type="max"/>
        <color rgb="FF638EC6"/>
      </dataBar>
      <extLst>
        <ext xmlns:x14="http://schemas.microsoft.com/office/spreadsheetml/2009/9/main" uri="{B025F937-C7B1-47D3-B67F-A62EFF666E3E}">
          <x14:id>{5EC9E38F-2C94-4DD3-BA9F-401AA644A7F1}</x14:id>
        </ext>
      </extLst>
    </cfRule>
  </conditionalFormatting>
  <conditionalFormatting sqref="J5:J19 J22">
    <cfRule type="dataBar" priority="2">
      <dataBar>
        <cfvo type="min"/>
        <cfvo type="max"/>
        <color rgb="FF638EC6"/>
      </dataBar>
      <extLst>
        <ext xmlns:x14="http://schemas.microsoft.com/office/spreadsheetml/2009/9/main" uri="{B025F937-C7B1-47D3-B67F-A62EFF666E3E}">
          <x14:id>{184DB5B2-E380-49F0-A78D-4E3610829C94}</x14:id>
        </ext>
      </extLst>
    </cfRule>
  </conditionalFormatting>
  <conditionalFormatting sqref="J20:J21 J23:J24">
    <cfRule type="dataBar" priority="1">
      <dataBar>
        <cfvo type="min"/>
        <cfvo type="max"/>
        <color rgb="FF638EC6"/>
      </dataBar>
      <extLst>
        <ext xmlns:x14="http://schemas.microsoft.com/office/spreadsheetml/2009/9/main" uri="{B025F937-C7B1-47D3-B67F-A62EFF666E3E}">
          <x14:id>{3AFAA5AA-CAF7-4D0C-9743-6A948960C4E3}</x14:id>
        </ext>
      </extLst>
    </cfRule>
  </conditionalFormatting>
  <conditionalFormatting sqref="K5:K24">
    <cfRule type="dataBar" priority="23">
      <dataBar>
        <cfvo type="min"/>
        <cfvo type="max"/>
        <color rgb="FF638EC6"/>
      </dataBar>
      <extLst>
        <ext xmlns:x14="http://schemas.microsoft.com/office/spreadsheetml/2009/9/main" uri="{B025F937-C7B1-47D3-B67F-A62EFF666E3E}">
          <x14:id>{A4925B70-42C7-4603-83E7-9115D822B339}</x14:id>
        </ext>
      </extLst>
    </cfRule>
  </conditionalFormatting>
  <pageMargins left="0.7" right="0.7" top="0.75" bottom="0.75" header="0.3" footer="0.3"/>
  <extLst>
    <ext xmlns:x14="http://schemas.microsoft.com/office/spreadsheetml/2009/9/main" uri="{78C0D931-6437-407d-A8EE-F0AAD7539E65}">
      <x14:conditionalFormattings>
        <x14:conditionalFormatting xmlns:xm="http://schemas.microsoft.com/office/excel/2006/main">
          <x14:cfRule type="dataBar" id="{2DB72108-E23D-4190-9600-DD11D62B02E8}">
            <x14:dataBar minLength="0" maxLength="100" gradient="0">
              <x14:cfvo type="autoMin"/>
              <x14:cfvo type="autoMax"/>
              <x14:negativeFillColor rgb="FFFF0000"/>
              <x14:axisColor rgb="FF000000"/>
            </x14:dataBar>
          </x14:cfRule>
          <xm:sqref>H5:H24</xm:sqref>
        </x14:conditionalFormatting>
        <x14:conditionalFormatting xmlns:xm="http://schemas.microsoft.com/office/excel/2006/main">
          <x14:cfRule type="dataBar" id="{5EC9E38F-2C94-4DD3-BA9F-401AA644A7F1}">
            <x14:dataBar minLength="0" maxLength="100" gradient="0">
              <x14:cfvo type="autoMin"/>
              <x14:cfvo type="autoMax"/>
              <x14:negativeFillColor rgb="FFFF0000"/>
              <x14:axisColor rgb="FF000000"/>
            </x14:dataBar>
          </x14:cfRule>
          <xm:sqref>I5:I24</xm:sqref>
        </x14:conditionalFormatting>
        <x14:conditionalFormatting xmlns:xm="http://schemas.microsoft.com/office/excel/2006/main">
          <x14:cfRule type="dataBar" id="{184DB5B2-E380-49F0-A78D-4E3610829C94}">
            <x14:dataBar minLength="0" maxLength="100" gradient="0">
              <x14:cfvo type="autoMin"/>
              <x14:cfvo type="autoMax"/>
              <x14:negativeFillColor rgb="FFFF0000"/>
              <x14:axisColor rgb="FF000000"/>
            </x14:dataBar>
          </x14:cfRule>
          <xm:sqref>J5:J19 J22</xm:sqref>
        </x14:conditionalFormatting>
        <x14:conditionalFormatting xmlns:xm="http://schemas.microsoft.com/office/excel/2006/main">
          <x14:cfRule type="dataBar" id="{3AFAA5AA-CAF7-4D0C-9743-6A948960C4E3}">
            <x14:dataBar minLength="0" maxLength="100" gradient="0">
              <x14:cfvo type="autoMin"/>
              <x14:cfvo type="autoMax"/>
              <x14:negativeFillColor rgb="FFFF0000"/>
              <x14:axisColor rgb="FF000000"/>
            </x14:dataBar>
          </x14:cfRule>
          <xm:sqref>J20:J21 J23:J24</xm:sqref>
        </x14:conditionalFormatting>
        <x14:conditionalFormatting xmlns:xm="http://schemas.microsoft.com/office/excel/2006/main">
          <x14:cfRule type="dataBar" id="{A4925B70-42C7-4603-83E7-9115D822B339}">
            <x14:dataBar minLength="0" maxLength="100" gradient="0">
              <x14:cfvo type="autoMin"/>
              <x14:cfvo type="autoMax"/>
              <x14:negativeFillColor rgb="FFFF0000"/>
              <x14:axisColor rgb="FF000000"/>
            </x14:dataBar>
          </x14:cfRule>
          <xm:sqref>K5:K24</xm:sqref>
        </x14:conditionalFormatting>
      </x14:conditionalFormattings>
    </ext>
  </extLst>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EB4E0-96F2-4FD3-9338-B328240F259B}">
  <dimension ref="A1:Y44"/>
  <sheetViews>
    <sheetView zoomScale="85" zoomScaleNormal="85" workbookViewId="0">
      <selection activeCell="M21" sqref="M21:O21"/>
    </sheetView>
  </sheetViews>
  <sheetFormatPr defaultRowHeight="14.5" x14ac:dyDescent="0.35"/>
  <cols>
    <col min="1" max="1" width="13.90625" customWidth="1"/>
    <col min="2" max="5" width="8.1796875" hidden="1" customWidth="1"/>
    <col min="6" max="8" width="8.1796875" customWidth="1"/>
    <col min="9" max="11" width="6.90625" customWidth="1"/>
    <col min="12" max="12" width="7.36328125" hidden="1" customWidth="1"/>
    <col min="13" max="15" width="7.54296875" customWidth="1"/>
    <col min="16" max="16" width="7.6328125" hidden="1" customWidth="1"/>
    <col min="17" max="19" width="8.26953125" hidden="1" customWidth="1"/>
    <col min="20" max="20" width="13.6328125" customWidth="1"/>
    <col min="21" max="21" width="8.08984375" customWidth="1"/>
    <col min="22" max="25" width="0" hidden="1" customWidth="1"/>
  </cols>
  <sheetData>
    <row r="1" spans="1:25" ht="15" customHeight="1" x14ac:dyDescent="0.35">
      <c r="A1" s="1038" t="s">
        <v>169</v>
      </c>
      <c r="B1" s="623"/>
      <c r="C1" s="623"/>
      <c r="D1" s="623"/>
      <c r="E1" s="623"/>
      <c r="F1" s="1043">
        <v>2025</v>
      </c>
      <c r="G1" s="1043"/>
      <c r="H1" s="1043"/>
      <c r="I1" s="1043">
        <v>2023</v>
      </c>
      <c r="J1" s="1043"/>
      <c r="K1" s="1043"/>
      <c r="L1" s="1043"/>
      <c r="M1" s="1043">
        <v>2013</v>
      </c>
      <c r="N1" s="1043"/>
      <c r="O1" s="1043"/>
      <c r="P1" s="1043"/>
      <c r="Q1" s="675" t="s">
        <v>466</v>
      </c>
      <c r="R1" s="675"/>
      <c r="S1" s="675"/>
      <c r="T1" s="1049" t="s">
        <v>466</v>
      </c>
      <c r="U1" s="1049"/>
      <c r="V1" s="1044" t="s">
        <v>465</v>
      </c>
      <c r="W1" s="1044" t="s">
        <v>77</v>
      </c>
      <c r="X1" s="1044" t="s">
        <v>79</v>
      </c>
      <c r="Y1" s="609"/>
    </row>
    <row r="2" spans="1:25" ht="19" customHeight="1" x14ac:dyDescent="0.35">
      <c r="A2" s="1038"/>
      <c r="B2" s="639" t="s">
        <v>460</v>
      </c>
      <c r="C2" s="1051" t="s">
        <v>283</v>
      </c>
      <c r="D2" s="1051" t="s">
        <v>461</v>
      </c>
      <c r="E2" s="1051" t="s">
        <v>284</v>
      </c>
      <c r="F2" s="1038" t="s">
        <v>76</v>
      </c>
      <c r="G2" s="1038" t="s">
        <v>77</v>
      </c>
      <c r="H2" s="1038" t="s">
        <v>79</v>
      </c>
      <c r="I2" s="1038" t="s">
        <v>76</v>
      </c>
      <c r="J2" s="1038" t="s">
        <v>77</v>
      </c>
      <c r="K2" s="1038" t="s">
        <v>79</v>
      </c>
      <c r="L2" s="1038" t="s">
        <v>473</v>
      </c>
      <c r="M2" s="1038" t="s">
        <v>76</v>
      </c>
      <c r="N2" s="1038" t="s">
        <v>77</v>
      </c>
      <c r="O2" s="1038" t="s">
        <v>79</v>
      </c>
      <c r="P2" s="1038" t="s">
        <v>473</v>
      </c>
      <c r="Q2" s="675"/>
      <c r="R2" s="675"/>
      <c r="S2" s="675"/>
      <c r="T2" s="1038" t="s">
        <v>489</v>
      </c>
      <c r="U2" s="1038" t="s">
        <v>488</v>
      </c>
      <c r="V2" s="1045"/>
      <c r="W2" s="1045"/>
      <c r="X2" s="1045"/>
      <c r="Y2" s="610"/>
    </row>
    <row r="3" spans="1:25" ht="19" customHeight="1" x14ac:dyDescent="0.35">
      <c r="A3" s="1038"/>
      <c r="B3" s="639" t="s">
        <v>289</v>
      </c>
      <c r="C3" s="1051"/>
      <c r="D3" s="1051"/>
      <c r="E3" s="1051"/>
      <c r="F3" s="1048"/>
      <c r="G3" s="1048"/>
      <c r="H3" s="1048"/>
      <c r="I3" s="1048"/>
      <c r="J3" s="1048"/>
      <c r="K3" s="1048"/>
      <c r="L3" s="1047"/>
      <c r="M3" s="1047"/>
      <c r="N3" s="1047"/>
      <c r="O3" s="1047"/>
      <c r="P3" s="1047"/>
      <c r="Q3" s="675"/>
      <c r="R3" s="675"/>
      <c r="S3" s="675"/>
      <c r="T3" s="1047"/>
      <c r="U3" s="1047"/>
      <c r="V3" s="1046"/>
      <c r="W3" s="1046"/>
      <c r="X3" s="1046"/>
    </row>
    <row r="4" spans="1:25" ht="16" customHeight="1" x14ac:dyDescent="0.35">
      <c r="A4" s="625" t="s">
        <v>105</v>
      </c>
      <c r="B4" s="584">
        <v>9</v>
      </c>
      <c r="C4" s="584">
        <v>30</v>
      </c>
      <c r="D4" s="584">
        <v>19</v>
      </c>
      <c r="E4" s="608" t="s">
        <v>294</v>
      </c>
      <c r="F4" s="676">
        <v>6.0000000000000005E-2</v>
      </c>
      <c r="G4" s="676">
        <v>7.5000000000000011E-2</v>
      </c>
      <c r="H4" s="676">
        <v>1.2E-2</v>
      </c>
      <c r="I4" s="626">
        <f>VLOOKUP(A4,'Table 2'!$A$5:$H$33,6,0)</f>
        <v>0.06</v>
      </c>
      <c r="J4" s="626">
        <f>VLOOKUP(A4,'Table 2'!$A$5:$H$33,7,0)</f>
        <v>7.4999999999999997E-2</v>
      </c>
      <c r="K4" s="626">
        <f>VLOOKUP(A4,'Table 2'!$A$5:$H$33,8,0)</f>
        <v>1.2E-2</v>
      </c>
      <c r="L4" s="580">
        <v>0</v>
      </c>
      <c r="M4" s="626">
        <v>2.1999999999999999E-2</v>
      </c>
      <c r="N4" s="626">
        <v>5.5E-2</v>
      </c>
      <c r="O4" s="626">
        <v>3.1E-2</v>
      </c>
      <c r="P4" s="580">
        <v>0</v>
      </c>
      <c r="Q4" s="595">
        <f t="shared" ref="Q4:Q12" si="0">(I4-M4)*100</f>
        <v>3.8</v>
      </c>
      <c r="R4" s="595">
        <f t="shared" ref="R4:R12" si="1">(J4-N4)*100</f>
        <v>1.9999999999999998</v>
      </c>
      <c r="S4" s="595">
        <f>(K4-O4)*100</f>
        <v>-1.9</v>
      </c>
      <c r="T4" s="595">
        <f>(SUM(F4:H4)-SUM(I4:K4))*100</f>
        <v>0</v>
      </c>
      <c r="U4" s="595">
        <f>(SUM(I4:K4)-SUM(M4:O4))*100</f>
        <v>3.9000000000000021</v>
      </c>
      <c r="V4" s="612">
        <f t="shared" ref="V4:X8" si="2">I4-M4</f>
        <v>3.7999999999999999E-2</v>
      </c>
      <c r="W4" s="612">
        <f t="shared" si="2"/>
        <v>1.9999999999999997E-2</v>
      </c>
      <c r="X4" s="612">
        <f t="shared" si="2"/>
        <v>-1.9E-2</v>
      </c>
    </row>
    <row r="5" spans="1:25" ht="16" customHeight="1" x14ac:dyDescent="0.35">
      <c r="A5" s="625" t="s">
        <v>110</v>
      </c>
      <c r="B5" s="584">
        <v>752</v>
      </c>
      <c r="C5" s="584">
        <v>19</v>
      </c>
      <c r="D5" s="584">
        <v>15</v>
      </c>
      <c r="E5" s="608" t="s">
        <v>294</v>
      </c>
      <c r="F5" s="676">
        <v>0.13</v>
      </c>
      <c r="G5" s="676">
        <v>0.09</v>
      </c>
      <c r="H5" s="676">
        <v>0.10630000000000001</v>
      </c>
      <c r="I5" s="626">
        <f>VLOOKUP(A5,'Table 2'!$A$5:$H$33,6,0)</f>
        <v>0.13</v>
      </c>
      <c r="J5" s="626">
        <f>VLOOKUP(A5,'Table 2'!$A$5:$H$33,7,0)</f>
        <v>0.09</v>
      </c>
      <c r="K5" s="626">
        <f>VLOOKUP(A5,'Table 2'!$A$5:$H$33,8,0)</f>
        <v>0.106</v>
      </c>
      <c r="L5" s="580">
        <v>0.1</v>
      </c>
      <c r="M5" s="626">
        <v>0.13</v>
      </c>
      <c r="N5" s="626">
        <v>0.09</v>
      </c>
      <c r="O5" s="626">
        <v>0.09</v>
      </c>
      <c r="P5" s="580">
        <v>8.3000000000000004E-2</v>
      </c>
      <c r="Q5" s="595">
        <f t="shared" si="0"/>
        <v>0</v>
      </c>
      <c r="R5" s="595">
        <f t="shared" si="1"/>
        <v>0</v>
      </c>
      <c r="S5" s="595">
        <f>(K5-O5)*100</f>
        <v>1.6</v>
      </c>
      <c r="T5" s="595">
        <f t="shared" ref="T5:T22" si="3">(SUM(F5:H5)-SUM(I5:K5))*100</f>
        <v>3.0000000000002247E-2</v>
      </c>
      <c r="U5" s="595">
        <f t="shared" ref="U5:U22" si="4">(SUM(I5:K5)-SUM(M5:O5))*100</f>
        <v>1.6000000000000014</v>
      </c>
      <c r="V5" s="612">
        <f t="shared" si="2"/>
        <v>0</v>
      </c>
      <c r="W5" s="612">
        <f t="shared" si="2"/>
        <v>0</v>
      </c>
      <c r="X5" s="612">
        <f t="shared" si="2"/>
        <v>1.6E-2</v>
      </c>
    </row>
    <row r="6" spans="1:25" ht="16" customHeight="1" x14ac:dyDescent="0.35">
      <c r="A6" s="625" t="s">
        <v>113</v>
      </c>
      <c r="B6" s="584">
        <v>821</v>
      </c>
      <c r="C6" s="584">
        <v>30</v>
      </c>
      <c r="D6" s="584">
        <v>21</v>
      </c>
      <c r="E6" s="608" t="s">
        <v>290</v>
      </c>
      <c r="F6" s="676">
        <v>0.15999999999999998</v>
      </c>
      <c r="G6" s="676">
        <v>0.105</v>
      </c>
      <c r="H6" s="676">
        <v>0.01</v>
      </c>
      <c r="I6" s="626">
        <f>VLOOKUP(A6,'Table 2'!$A$5:$H$33,6,0)</f>
        <v>0.16</v>
      </c>
      <c r="J6" s="626">
        <f>VLOOKUP(A6,'Table 2'!$A$5:$H$33,7,0)</f>
        <v>0.105</v>
      </c>
      <c r="K6" s="626">
        <f>VLOOKUP(A6,'Table 2'!$A$5:$H$33,8,0)</f>
        <v>0.01</v>
      </c>
      <c r="L6" s="580">
        <v>0</v>
      </c>
      <c r="M6" s="626">
        <v>0.13</v>
      </c>
      <c r="N6" s="626">
        <v>0.105</v>
      </c>
      <c r="O6" s="626">
        <v>0.01</v>
      </c>
      <c r="P6" s="580">
        <v>0</v>
      </c>
      <c r="Q6" s="595">
        <f t="shared" si="0"/>
        <v>3</v>
      </c>
      <c r="R6" s="595">
        <f t="shared" si="1"/>
        <v>0</v>
      </c>
      <c r="S6" s="595">
        <f>(K6-O6)*100</f>
        <v>0</v>
      </c>
      <c r="T6" s="595">
        <f t="shared" si="3"/>
        <v>-5.5511151231257827E-15</v>
      </c>
      <c r="U6" s="595">
        <f t="shared" si="4"/>
        <v>3.0000000000000027</v>
      </c>
      <c r="V6" s="612">
        <f t="shared" si="2"/>
        <v>0.03</v>
      </c>
      <c r="W6" s="612">
        <f t="shared" si="2"/>
        <v>0</v>
      </c>
      <c r="X6" s="612">
        <f t="shared" si="2"/>
        <v>0</v>
      </c>
    </row>
    <row r="7" spans="1:25" ht="16" hidden="1" customHeight="1" x14ac:dyDescent="0.35">
      <c r="A7" s="625" t="s">
        <v>111</v>
      </c>
      <c r="B7" s="584">
        <v>605</v>
      </c>
      <c r="C7" s="584">
        <v>0</v>
      </c>
      <c r="D7" s="584">
        <v>14</v>
      </c>
      <c r="E7" s="608" t="s">
        <v>290</v>
      </c>
      <c r="F7" s="676">
        <v>0.23</v>
      </c>
      <c r="G7" s="676">
        <v>0</v>
      </c>
      <c r="H7" s="676">
        <v>0.03</v>
      </c>
      <c r="I7" s="626">
        <f>VLOOKUP(A7,'Table 2'!$A$5:$H$33,6,0)</f>
        <v>0.23</v>
      </c>
      <c r="J7" s="626"/>
      <c r="K7" s="626">
        <f>VLOOKUP(A7,'Table 2'!$A$5:$H$33,8,0)+L7</f>
        <v>2.5000000000000001E-2</v>
      </c>
      <c r="L7" s="580">
        <v>0</v>
      </c>
      <c r="M7" s="678">
        <v>0.23</v>
      </c>
      <c r="N7" s="678"/>
      <c r="O7" s="626">
        <v>0.03</v>
      </c>
      <c r="P7" s="580">
        <v>0</v>
      </c>
      <c r="Q7" s="595">
        <f t="shared" si="0"/>
        <v>0</v>
      </c>
      <c r="R7" s="595">
        <f t="shared" si="1"/>
        <v>0</v>
      </c>
      <c r="S7" s="595"/>
      <c r="T7" s="595">
        <f t="shared" si="3"/>
        <v>0.50000000000000044</v>
      </c>
      <c r="U7" s="595">
        <f t="shared" si="4"/>
        <v>-0.50000000000000044</v>
      </c>
      <c r="V7" s="612">
        <f t="shared" si="2"/>
        <v>0</v>
      </c>
      <c r="W7" s="612">
        <f t="shared" si="2"/>
        <v>0</v>
      </c>
      <c r="X7" s="612">
        <f t="shared" si="2"/>
        <v>-4.9999999999999975E-3</v>
      </c>
    </row>
    <row r="8" spans="1:25" ht="16" customHeight="1" x14ac:dyDescent="0.35">
      <c r="A8" s="625" t="s">
        <v>109</v>
      </c>
      <c r="B8" s="584">
        <v>1291</v>
      </c>
      <c r="C8" s="584">
        <v>30</v>
      </c>
      <c r="D8" s="584">
        <v>30</v>
      </c>
      <c r="E8" s="608" t="s">
        <v>294</v>
      </c>
      <c r="F8" s="676">
        <v>0.14499999999999999</v>
      </c>
      <c r="G8" s="676">
        <v>8.5000000000000006E-2</v>
      </c>
      <c r="H8" s="676">
        <v>5.0929999999999996E-2</v>
      </c>
      <c r="I8" s="626" t="e">
        <f>VLOOKUP(A8,'Table 2'!$A$5:$H$33,6,0)</f>
        <v>#N/A</v>
      </c>
      <c r="J8" s="626" t="e">
        <f>VLOOKUP(A8,'Table 2'!$A$5:$H$33,7,0)</f>
        <v>#N/A</v>
      </c>
      <c r="K8" s="626" t="e">
        <f>VLOOKUP(A8,'Table 2'!$A$5:$H$33,8,0)</f>
        <v>#N/A</v>
      </c>
      <c r="L8" s="580">
        <v>1.9230000000000001E-2</v>
      </c>
      <c r="M8" s="626">
        <v>0.13500000000000001</v>
      </c>
      <c r="N8" s="626">
        <v>8.5000000000000006E-2</v>
      </c>
      <c r="O8" s="626">
        <v>3.2000000000000001E-2</v>
      </c>
      <c r="P8" s="580">
        <v>1.9230000000000001E-2</v>
      </c>
      <c r="Q8" s="595" t="e">
        <f t="shared" si="0"/>
        <v>#N/A</v>
      </c>
      <c r="R8" s="595" t="e">
        <f t="shared" si="1"/>
        <v>#N/A</v>
      </c>
      <c r="S8" s="595" t="e">
        <f>(K8-O8)*100</f>
        <v>#N/A</v>
      </c>
      <c r="T8" s="595" t="e">
        <f t="shared" si="3"/>
        <v>#N/A</v>
      </c>
      <c r="U8" s="595" t="e">
        <f t="shared" si="4"/>
        <v>#N/A</v>
      </c>
      <c r="V8" s="612" t="e">
        <f t="shared" si="2"/>
        <v>#N/A</v>
      </c>
      <c r="W8" s="612" t="e">
        <f t="shared" si="2"/>
        <v>#N/A</v>
      </c>
      <c r="X8" s="612" t="e">
        <f t="shared" si="2"/>
        <v>#N/A</v>
      </c>
    </row>
    <row r="9" spans="1:25" ht="16" customHeight="1" x14ac:dyDescent="0.35">
      <c r="A9" s="625" t="s">
        <v>293</v>
      </c>
      <c r="B9" s="584"/>
      <c r="C9" s="584"/>
      <c r="D9" s="584"/>
      <c r="E9" s="608"/>
      <c r="F9" s="1052">
        <v>0.13200000000000001</v>
      </c>
      <c r="G9" s="1053"/>
      <c r="H9" s="1054"/>
      <c r="I9" s="1050">
        <v>0.13200000000000001</v>
      </c>
      <c r="J9" s="1050"/>
      <c r="K9" s="1050"/>
      <c r="L9" s="580">
        <v>0</v>
      </c>
      <c r="M9" s="618">
        <f>3.471%+6.942%</f>
        <v>0.10413</v>
      </c>
      <c r="N9" s="580">
        <f>0.468%+0.234%</f>
        <v>7.0200000000000002E-3</v>
      </c>
      <c r="O9" s="580">
        <f>0.195%+0.395%</f>
        <v>5.9000000000000007E-3</v>
      </c>
      <c r="P9" s="580">
        <v>0</v>
      </c>
      <c r="Q9" s="595">
        <f t="shared" si="0"/>
        <v>2.7870000000000008</v>
      </c>
      <c r="R9" s="595">
        <f t="shared" si="1"/>
        <v>-0.70200000000000007</v>
      </c>
      <c r="S9" s="595"/>
      <c r="T9" s="595">
        <f t="shared" si="3"/>
        <v>0</v>
      </c>
      <c r="U9" s="595">
        <f t="shared" si="4"/>
        <v>1.4950000000000006</v>
      </c>
      <c r="V9" s="612">
        <f t="shared" ref="V9:V22" si="5">I9-M9</f>
        <v>2.7870000000000006E-2</v>
      </c>
      <c r="W9" s="612">
        <v>0</v>
      </c>
      <c r="X9" s="612">
        <f t="shared" ref="X9:X22" si="6">K9-O9</f>
        <v>-5.9000000000000007E-3</v>
      </c>
    </row>
    <row r="10" spans="1:25" ht="16" customHeight="1" x14ac:dyDescent="0.35">
      <c r="A10" s="614" t="s">
        <v>102</v>
      </c>
      <c r="B10" s="584">
        <v>589</v>
      </c>
      <c r="C10" s="584">
        <v>60</v>
      </c>
      <c r="D10" s="584">
        <v>30</v>
      </c>
      <c r="E10" s="608" t="s">
        <v>290</v>
      </c>
      <c r="F10" s="676">
        <v>0.13869999999999999</v>
      </c>
      <c r="G10" s="676">
        <v>0.14749999999999999</v>
      </c>
      <c r="H10" s="676">
        <v>9.7500000000000003E-2</v>
      </c>
      <c r="I10" s="626">
        <f>VLOOKUP(A10,'Table 2'!$A$5:$H$33,6,0)</f>
        <v>0.13900000000000001</v>
      </c>
      <c r="J10" s="626">
        <f>VLOOKUP(A10,'Table 2'!$A$5:$H$33,7,0)</f>
        <v>0.14799999999999999</v>
      </c>
      <c r="K10" s="626">
        <f>VLOOKUP(A10,'Table 2'!$A$5:$H$33,8,0)</f>
        <v>9.8000000000000004E-2</v>
      </c>
      <c r="L10" s="580">
        <v>1.4999999999999999E-2</v>
      </c>
      <c r="M10" s="626">
        <v>9.0999999999999998E-2</v>
      </c>
      <c r="N10" s="626">
        <v>0.14799999999999999</v>
      </c>
      <c r="O10" s="626">
        <v>0.11799999999999999</v>
      </c>
      <c r="P10" s="580">
        <v>0.03</v>
      </c>
      <c r="Q10" s="595">
        <f t="shared" si="0"/>
        <v>4.8000000000000016</v>
      </c>
      <c r="R10" s="595">
        <f t="shared" si="1"/>
        <v>0</v>
      </c>
      <c r="S10" s="595">
        <f>(K10-O10)*100</f>
        <v>-1.9999999999999991</v>
      </c>
      <c r="T10" s="595">
        <f t="shared" si="3"/>
        <v>-0.12999999999999678</v>
      </c>
      <c r="U10" s="595">
        <f t="shared" si="4"/>
        <v>2.8000000000000025</v>
      </c>
      <c r="V10" s="612">
        <f t="shared" si="5"/>
        <v>4.8000000000000015E-2</v>
      </c>
      <c r="W10" s="612">
        <f t="shared" ref="W10:W22" si="7">J10-N10</f>
        <v>0</v>
      </c>
      <c r="X10" s="612">
        <f t="shared" si="6"/>
        <v>-1.999999999999999E-2</v>
      </c>
    </row>
    <row r="11" spans="1:25" ht="16" customHeight="1" x14ac:dyDescent="0.35">
      <c r="A11" s="614" t="s">
        <v>101</v>
      </c>
      <c r="B11" s="625">
        <v>1026</v>
      </c>
      <c r="C11" s="625">
        <v>30</v>
      </c>
      <c r="D11" s="625">
        <v>12</v>
      </c>
      <c r="E11" s="677" t="s">
        <v>290</v>
      </c>
      <c r="F11" s="676">
        <v>0.16</v>
      </c>
      <c r="G11" s="676">
        <v>0.04</v>
      </c>
      <c r="H11" s="676">
        <v>0.13</v>
      </c>
      <c r="I11" s="626">
        <f>VLOOKUP(A11,'Table 2'!$A$5:$H$33,6,0)</f>
        <v>0.16</v>
      </c>
      <c r="J11" s="626">
        <f>VLOOKUP(A11,'Table 2'!$A$5:$H$33,7,0)</f>
        <v>0.04</v>
      </c>
      <c r="K11" s="626">
        <f>VLOOKUP(A11,'Table 2'!$A$5:$H$33,8,0)</f>
        <v>0.13</v>
      </c>
      <c r="L11" s="580">
        <v>8.3000000000000004E-2</v>
      </c>
      <c r="M11" s="626">
        <v>0.16</v>
      </c>
      <c r="N11" s="626">
        <v>0.04</v>
      </c>
      <c r="O11" s="626">
        <v>0.126</v>
      </c>
      <c r="P11" s="580">
        <v>8.3000000000000004E-2</v>
      </c>
      <c r="Q11" s="595">
        <f t="shared" si="0"/>
        <v>0</v>
      </c>
      <c r="R11" s="595">
        <f t="shared" si="1"/>
        <v>0</v>
      </c>
      <c r="S11" s="595">
        <f>(K11-O11)*100</f>
        <v>0.40000000000000036</v>
      </c>
      <c r="T11" s="595">
        <f t="shared" si="3"/>
        <v>0</v>
      </c>
      <c r="U11" s="595">
        <f t="shared" si="4"/>
        <v>0.40000000000000036</v>
      </c>
      <c r="V11" s="612">
        <f t="shared" si="5"/>
        <v>0</v>
      </c>
      <c r="W11" s="612">
        <f t="shared" si="7"/>
        <v>0</v>
      </c>
      <c r="X11" s="612">
        <f t="shared" si="6"/>
        <v>4.0000000000000036E-3</v>
      </c>
    </row>
    <row r="12" spans="1:25" ht="16" customHeight="1" x14ac:dyDescent="0.35">
      <c r="A12" s="625" t="s">
        <v>106</v>
      </c>
      <c r="B12" s="584">
        <v>1333</v>
      </c>
      <c r="C12" s="584">
        <v>60</v>
      </c>
      <c r="D12" s="584">
        <v>20</v>
      </c>
      <c r="E12" s="608" t="s">
        <v>294</v>
      </c>
      <c r="F12" s="676">
        <v>0.06</v>
      </c>
      <c r="G12" s="676">
        <v>0</v>
      </c>
      <c r="H12" s="676">
        <v>0.13500000000000001</v>
      </c>
      <c r="I12" s="626">
        <f>VLOOKUP(A12,'Table 2'!$A$5:$H$33,6,0)</f>
        <v>0.06</v>
      </c>
      <c r="J12" s="626">
        <f>VLOOKUP(A12,'Table 2'!$A$5:$H$33,7,0)</f>
        <v>0</v>
      </c>
      <c r="K12" s="626">
        <f>VLOOKUP(A12,'Table 2'!$A$5:$H$33,8,0)</f>
        <v>0.13500000000000001</v>
      </c>
      <c r="L12" s="580">
        <v>0</v>
      </c>
      <c r="M12" s="626">
        <v>0.05</v>
      </c>
      <c r="N12" s="626">
        <v>0</v>
      </c>
      <c r="O12" s="626">
        <v>0.13800000000000001</v>
      </c>
      <c r="P12" s="580">
        <v>0</v>
      </c>
      <c r="Q12" s="595">
        <f t="shared" si="0"/>
        <v>0.99999999999999956</v>
      </c>
      <c r="R12" s="595">
        <f t="shared" si="1"/>
        <v>0</v>
      </c>
      <c r="S12" s="595">
        <f>(K12-O12)*100</f>
        <v>-0.30000000000000027</v>
      </c>
      <c r="T12" s="595">
        <f t="shared" si="3"/>
        <v>0</v>
      </c>
      <c r="U12" s="595">
        <f t="shared" si="4"/>
        <v>0.70000000000000062</v>
      </c>
      <c r="V12" s="612">
        <f t="shared" si="5"/>
        <v>9.999999999999995E-3</v>
      </c>
      <c r="W12" s="612">
        <f t="shared" si="7"/>
        <v>0</v>
      </c>
      <c r="X12" s="612">
        <f t="shared" si="6"/>
        <v>-3.0000000000000027E-3</v>
      </c>
    </row>
    <row r="13" spans="1:25" ht="16" customHeight="1" x14ac:dyDescent="0.35">
      <c r="A13" s="625" t="s">
        <v>107</v>
      </c>
      <c r="B13" s="584">
        <v>992</v>
      </c>
      <c r="C13" s="584">
        <v>60</v>
      </c>
      <c r="D13" s="584">
        <v>20</v>
      </c>
      <c r="E13" s="608" t="s">
        <v>294</v>
      </c>
      <c r="F13" s="676">
        <v>8.8719999999999993E-2</v>
      </c>
      <c r="G13" s="676">
        <v>7.7076157445605878E-2</v>
      </c>
      <c r="H13" s="676">
        <v>7.980000000000001E-2</v>
      </c>
      <c r="I13" s="580" t="e">
        <f>VLOOKUP(A13,'Table 2'!$A$5:$H$33,6,0)</f>
        <v>#N/A</v>
      </c>
      <c r="J13" s="580" t="e">
        <f>VLOOKUP(A13,'Table 2'!$A$5:$H$33,7,0)</f>
        <v>#N/A</v>
      </c>
      <c r="K13" s="580" t="e">
        <f>VLOOKUP(A13,'Table 2'!$A$5:$H$33,8,0)</f>
        <v>#N/A</v>
      </c>
      <c r="L13" s="580">
        <v>0</v>
      </c>
      <c r="M13" s="580">
        <v>6.275E-2</v>
      </c>
      <c r="N13" s="580">
        <v>8.7155766109583144E-2</v>
      </c>
      <c r="O13" s="580">
        <v>7.9799999999999996E-2</v>
      </c>
      <c r="P13" s="580">
        <v>0</v>
      </c>
      <c r="Q13" s="595" t="e">
        <f t="shared" ref="Q13:Q22" si="8">(I13-M13)*100</f>
        <v>#N/A</v>
      </c>
      <c r="R13" s="595" t="e">
        <f t="shared" ref="R13:S17" si="9">(J13-N13)*100</f>
        <v>#N/A</v>
      </c>
      <c r="S13" s="595" t="e">
        <f t="shared" si="9"/>
        <v>#N/A</v>
      </c>
      <c r="T13" s="595" t="e">
        <f t="shared" si="3"/>
        <v>#N/A</v>
      </c>
      <c r="U13" s="595" t="e">
        <f t="shared" si="4"/>
        <v>#N/A</v>
      </c>
      <c r="V13" s="612" t="e">
        <f t="shared" si="5"/>
        <v>#N/A</v>
      </c>
      <c r="W13" s="612" t="e">
        <f t="shared" si="7"/>
        <v>#N/A</v>
      </c>
      <c r="X13" s="612" t="e">
        <f t="shared" si="6"/>
        <v>#N/A</v>
      </c>
    </row>
    <row r="14" spans="1:25" ht="16" customHeight="1" x14ac:dyDescent="0.35">
      <c r="A14" s="625" t="s">
        <v>100</v>
      </c>
      <c r="B14" s="640">
        <v>1066</v>
      </c>
      <c r="C14" s="584">
        <v>0</v>
      </c>
      <c r="D14" s="584">
        <v>15</v>
      </c>
      <c r="E14" s="608" t="s">
        <v>290</v>
      </c>
      <c r="F14" s="676">
        <v>0.11</v>
      </c>
      <c r="G14" s="676">
        <v>7.0000000000000007E-2</v>
      </c>
      <c r="H14" s="676">
        <v>7.1799999999999989E-2</v>
      </c>
      <c r="I14" s="580">
        <f>VLOOKUP(A14,'Table 2'!$A$5:$H$33,6,0)</f>
        <v>0.11</v>
      </c>
      <c r="J14" s="580">
        <f>VLOOKUP(A14,'Table 2'!$A$5:$H$33,7,0)</f>
        <v>7.0000000000000007E-2</v>
      </c>
      <c r="K14" s="580">
        <f>VLOOKUP(A14,'Table 2'!$A$5:$H$33,8,0)-L14</f>
        <v>7.1300000000000002E-2</v>
      </c>
      <c r="L14" s="580"/>
      <c r="M14" s="580">
        <v>0.1</v>
      </c>
      <c r="N14" s="580">
        <v>7.0000000000000007E-2</v>
      </c>
      <c r="O14" s="580">
        <v>6.7000000000000004E-2</v>
      </c>
      <c r="P14" s="580"/>
      <c r="Q14" s="595">
        <f t="shared" si="8"/>
        <v>0.99999999999999956</v>
      </c>
      <c r="R14" s="595">
        <f t="shared" si="9"/>
        <v>0</v>
      </c>
      <c r="S14" s="595">
        <f t="shared" si="9"/>
        <v>0.42999999999999983</v>
      </c>
      <c r="T14" s="595">
        <f t="shared" si="3"/>
        <v>5.0000000000000044E-2</v>
      </c>
      <c r="U14" s="595">
        <f t="shared" si="4"/>
        <v>1.4299999999999953</v>
      </c>
      <c r="V14" s="612">
        <f t="shared" si="5"/>
        <v>9.999999999999995E-3</v>
      </c>
      <c r="W14" s="612">
        <f t="shared" si="7"/>
        <v>0</v>
      </c>
      <c r="X14" s="612">
        <f t="shared" si="6"/>
        <v>4.2999999999999983E-3</v>
      </c>
    </row>
    <row r="15" spans="1:25" ht="16" hidden="1" customHeight="1" x14ac:dyDescent="0.35">
      <c r="A15" s="614" t="s">
        <v>98</v>
      </c>
      <c r="B15" s="640">
        <v>541</v>
      </c>
      <c r="C15" s="584">
        <v>30</v>
      </c>
      <c r="D15" s="584">
        <v>40</v>
      </c>
      <c r="E15" s="608" t="s">
        <v>290</v>
      </c>
      <c r="F15" s="676">
        <v>0.15709999999999999</v>
      </c>
      <c r="G15" s="676">
        <v>0.1</v>
      </c>
      <c r="H15" s="676">
        <v>1.7100000000000001E-2</v>
      </c>
      <c r="I15" s="580">
        <f>VLOOKUP(A15,'Table 2'!$A$5:$H$33,6,0)</f>
        <v>0.16200000000000001</v>
      </c>
      <c r="J15" s="580">
        <f>VLOOKUP(A15,'Table 2'!$A$5:$H$33,7,0)</f>
        <v>0.1</v>
      </c>
      <c r="K15" s="580">
        <f>VLOOKUP(A15,'Table 2'!$A$5:$H$33,8,0)</f>
        <v>1.7000000000000001E-2</v>
      </c>
      <c r="L15" s="580">
        <v>0</v>
      </c>
      <c r="M15" s="580">
        <v>0.157</v>
      </c>
      <c r="N15" s="580">
        <v>0.1</v>
      </c>
      <c r="O15" s="580">
        <v>1.7000000000000001E-2</v>
      </c>
      <c r="P15" s="580">
        <v>0</v>
      </c>
      <c r="Q15" s="595">
        <f t="shared" si="8"/>
        <v>0.50000000000000044</v>
      </c>
      <c r="R15" s="595">
        <f t="shared" si="9"/>
        <v>0</v>
      </c>
      <c r="S15" s="595">
        <f t="shared" si="9"/>
        <v>0</v>
      </c>
      <c r="T15" s="595">
        <f t="shared" si="3"/>
        <v>-0.48000000000000265</v>
      </c>
      <c r="U15" s="595">
        <f t="shared" si="4"/>
        <v>0.50000000000000044</v>
      </c>
      <c r="V15" s="612">
        <f t="shared" si="5"/>
        <v>5.0000000000000044E-3</v>
      </c>
      <c r="W15" s="612">
        <f t="shared" si="7"/>
        <v>0</v>
      </c>
      <c r="X15" s="612">
        <f t="shared" si="6"/>
        <v>0</v>
      </c>
    </row>
    <row r="16" spans="1:25" ht="16" hidden="1" customHeight="1" x14ac:dyDescent="0.35">
      <c r="A16" s="625" t="s">
        <v>104</v>
      </c>
      <c r="B16" s="584">
        <v>1020</v>
      </c>
      <c r="C16" s="584">
        <v>60</v>
      </c>
      <c r="D16" s="584">
        <v>15</v>
      </c>
      <c r="E16" s="608" t="s">
        <v>294</v>
      </c>
      <c r="F16" s="676">
        <v>5.5000000000000007E-2</v>
      </c>
      <c r="G16" s="676">
        <v>0.06</v>
      </c>
      <c r="H16" s="676">
        <v>6.0000000000000005E-2</v>
      </c>
      <c r="I16" s="580">
        <f>VLOOKUP(A16,'Table 2'!$A$5:$H$33,6,0)</f>
        <v>5.5E-2</v>
      </c>
      <c r="J16" s="580">
        <f>VLOOKUP(A16,'Table 2'!$A$5:$H$33,7,0)</f>
        <v>0.06</v>
      </c>
      <c r="K16" s="580">
        <f>VLOOKUP(A16,'Table 2'!$A$5:$H$33,8,0)</f>
        <v>0.06</v>
      </c>
      <c r="L16" s="580">
        <v>0</v>
      </c>
      <c r="M16" s="580">
        <v>5.5E-2</v>
      </c>
      <c r="N16" s="580">
        <v>0.06</v>
      </c>
      <c r="O16" s="580">
        <v>0.06</v>
      </c>
      <c r="P16" s="580">
        <v>0</v>
      </c>
      <c r="Q16" s="595">
        <f t="shared" si="8"/>
        <v>0</v>
      </c>
      <c r="R16" s="595">
        <f t="shared" si="9"/>
        <v>0</v>
      </c>
      <c r="S16" s="595">
        <f t="shared" si="9"/>
        <v>0</v>
      </c>
      <c r="T16" s="595">
        <f t="shared" si="3"/>
        <v>2.7755575615628914E-15</v>
      </c>
      <c r="U16" s="595">
        <f t="shared" si="4"/>
        <v>0</v>
      </c>
      <c r="V16" s="612">
        <f t="shared" si="5"/>
        <v>0</v>
      </c>
      <c r="W16" s="612">
        <f t="shared" si="7"/>
        <v>0</v>
      </c>
      <c r="X16" s="612">
        <f t="shared" si="6"/>
        <v>0</v>
      </c>
    </row>
    <row r="17" spans="1:24" ht="16" customHeight="1" x14ac:dyDescent="0.35">
      <c r="A17" s="625" t="s">
        <v>103</v>
      </c>
      <c r="B17" s="584">
        <v>1098</v>
      </c>
      <c r="C17" s="584">
        <v>30</v>
      </c>
      <c r="D17" s="584">
        <v>15</v>
      </c>
      <c r="E17" s="608" t="s">
        <v>290</v>
      </c>
      <c r="F17" s="676">
        <v>0.1046</v>
      </c>
      <c r="G17" s="676">
        <v>5.16E-2</v>
      </c>
      <c r="H17" s="676">
        <v>0.1331</v>
      </c>
      <c r="I17" s="626">
        <f>VLOOKUP(A17,'Table 2'!$A$5:$H$33,6,0)</f>
        <v>0.105</v>
      </c>
      <c r="J17" s="626">
        <f>VLOOKUP(A17,'Table 2'!$A$5:$H$33,7,0)</f>
        <v>5.1999999999999998E-2</v>
      </c>
      <c r="K17" s="626">
        <f>VLOOKUP(A17,'Table 2'!$A$5:$H$33,8,0)</f>
        <v>0.13300000000000001</v>
      </c>
      <c r="L17" s="580">
        <v>8.3299999999999999E-2</v>
      </c>
      <c r="M17" s="626">
        <v>9.74E-2</v>
      </c>
      <c r="N17" s="626">
        <v>5.7099999999999998E-2</v>
      </c>
      <c r="O17" s="626">
        <v>0.1331</v>
      </c>
      <c r="P17" s="580">
        <v>8.3299999999999999E-2</v>
      </c>
      <c r="Q17" s="595">
        <f t="shared" si="8"/>
        <v>0.75999999999999956</v>
      </c>
      <c r="R17" s="595">
        <f t="shared" si="9"/>
        <v>-0.51</v>
      </c>
      <c r="S17" s="595">
        <f t="shared" si="9"/>
        <v>-9.9999999999988987E-3</v>
      </c>
      <c r="T17" s="595">
        <f t="shared" si="3"/>
        <v>-7.0000000000003393E-2</v>
      </c>
      <c r="U17" s="595">
        <f t="shared" si="4"/>
        <v>0.24000000000000687</v>
      </c>
      <c r="V17" s="612">
        <f t="shared" si="5"/>
        <v>7.5999999999999956E-3</v>
      </c>
      <c r="W17" s="612">
        <f t="shared" si="7"/>
        <v>-5.1000000000000004E-3</v>
      </c>
      <c r="X17" s="612">
        <f t="shared" si="6"/>
        <v>-9.9999999999988987E-5</v>
      </c>
    </row>
    <row r="18" spans="1:24" ht="16" customHeight="1" x14ac:dyDescent="0.35">
      <c r="A18" s="625" t="s">
        <v>115</v>
      </c>
      <c r="B18" s="584"/>
      <c r="C18" s="584"/>
      <c r="D18" s="584"/>
      <c r="E18" s="608"/>
      <c r="F18" s="676">
        <v>0.22</v>
      </c>
      <c r="G18" s="676">
        <v>0</v>
      </c>
      <c r="H18" s="676">
        <v>8.7499999999999994E-2</v>
      </c>
      <c r="I18" s="580">
        <f>VLOOKUP(A18,'Table 2'!$A$5:$H$33,6,0)</f>
        <v>0.22</v>
      </c>
      <c r="J18" s="580"/>
      <c r="K18" s="580">
        <f>VLOOKUP(A18,'Table 2'!$A$5:$H$33,8,0)</f>
        <v>8.7999999999999995E-2</v>
      </c>
      <c r="L18" s="580">
        <v>0</v>
      </c>
      <c r="M18" s="618">
        <v>0.13</v>
      </c>
      <c r="N18" s="618"/>
      <c r="O18" s="580">
        <v>8.7999999999999995E-2</v>
      </c>
      <c r="P18" s="580">
        <v>0</v>
      </c>
      <c r="Q18" s="595">
        <f t="shared" si="8"/>
        <v>9</v>
      </c>
      <c r="R18" s="595">
        <f t="shared" ref="R18:R22" si="10">(J18-N18)*100</f>
        <v>0</v>
      </c>
      <c r="S18" s="595"/>
      <c r="T18" s="595">
        <f t="shared" si="3"/>
        <v>-5.0000000000000044E-2</v>
      </c>
      <c r="U18" s="595">
        <f t="shared" si="4"/>
        <v>9</v>
      </c>
      <c r="V18" s="612">
        <f t="shared" si="5"/>
        <v>0.09</v>
      </c>
      <c r="W18" s="612">
        <f t="shared" si="7"/>
        <v>0</v>
      </c>
      <c r="X18" s="612">
        <f t="shared" si="6"/>
        <v>0</v>
      </c>
    </row>
    <row r="19" spans="1:24" ht="16" customHeight="1" x14ac:dyDescent="0.35">
      <c r="A19" s="625" t="s">
        <v>112</v>
      </c>
      <c r="B19" s="584">
        <v>582</v>
      </c>
      <c r="C19" s="584">
        <v>30</v>
      </c>
      <c r="D19" s="584">
        <v>18</v>
      </c>
      <c r="E19" s="608" t="s">
        <v>290</v>
      </c>
      <c r="F19" s="676">
        <v>9.9699999999999997E-2</v>
      </c>
      <c r="G19" s="676">
        <v>0.10139999999999999</v>
      </c>
      <c r="H19" s="676">
        <v>2.5000000000000001E-2</v>
      </c>
      <c r="I19" s="580">
        <f>VLOOKUP(A19,'Table 2'!$A$5:$H$33,6,0)</f>
        <v>0.1</v>
      </c>
      <c r="J19" s="580">
        <f>VLOOKUP(A19,'Table 2'!$A$5:$H$33,7,0)</f>
        <v>0.10100000000000001</v>
      </c>
      <c r="K19" s="580">
        <f>VLOOKUP(A19,'Table 2'!$A$5:$H$33,8,0)</f>
        <v>2.5000000000000001E-2</v>
      </c>
      <c r="L19" s="580">
        <v>0</v>
      </c>
      <c r="M19" s="580">
        <v>9.9699999999999997E-2</v>
      </c>
      <c r="N19" s="580">
        <v>0.1013</v>
      </c>
      <c r="O19" s="580">
        <v>2.7E-2</v>
      </c>
      <c r="P19" s="580">
        <v>0</v>
      </c>
      <c r="Q19" s="595">
        <f t="shared" si="8"/>
        <v>3.0000000000000859E-2</v>
      </c>
      <c r="R19" s="595">
        <f t="shared" si="10"/>
        <v>-2.9999999999999472E-2</v>
      </c>
      <c r="S19" s="595">
        <f>(K19-O19)*100</f>
        <v>-0.19999999999999984</v>
      </c>
      <c r="T19" s="595">
        <f t="shared" si="3"/>
        <v>9.9999999999988987E-3</v>
      </c>
      <c r="U19" s="595">
        <f t="shared" si="4"/>
        <v>-0.20000000000000018</v>
      </c>
      <c r="V19" s="612">
        <f t="shared" si="5"/>
        <v>3.0000000000000859E-4</v>
      </c>
      <c r="W19" s="612">
        <f t="shared" si="7"/>
        <v>-2.9999999999999472E-4</v>
      </c>
      <c r="X19" s="612">
        <f t="shared" si="6"/>
        <v>-1.9999999999999983E-3</v>
      </c>
    </row>
    <row r="20" spans="1:24" ht="16" customHeight="1" x14ac:dyDescent="0.35">
      <c r="A20" s="614" t="s">
        <v>99</v>
      </c>
      <c r="B20" s="640">
        <v>828</v>
      </c>
      <c r="C20" s="584">
        <v>30</v>
      </c>
      <c r="D20" s="584">
        <v>15</v>
      </c>
      <c r="E20" s="608" t="s">
        <v>462</v>
      </c>
      <c r="F20" s="676">
        <v>0.29000000000000004</v>
      </c>
      <c r="G20" s="676">
        <v>0</v>
      </c>
      <c r="H20" s="676">
        <v>0.14000000000000001</v>
      </c>
      <c r="I20" s="580">
        <f>VLOOKUP(A20,'Table 2'!$A$5:$H$33,6,0)</f>
        <v>0.28999999999999998</v>
      </c>
      <c r="J20" s="580"/>
      <c r="K20" s="580">
        <f>VLOOKUP(A20,'Table 2'!$A$5:$H$33,8,0)</f>
        <v>0.14000000000000001</v>
      </c>
      <c r="L20" s="580">
        <v>0.08</v>
      </c>
      <c r="M20" s="618">
        <v>0.28999999999999998</v>
      </c>
      <c r="N20" s="618"/>
      <c r="O20" s="580">
        <v>0.14199999999999999</v>
      </c>
      <c r="P20" s="580">
        <v>0.08</v>
      </c>
      <c r="Q20" s="595">
        <f t="shared" si="8"/>
        <v>0</v>
      </c>
      <c r="R20" s="595">
        <f t="shared" si="10"/>
        <v>0</v>
      </c>
      <c r="S20" s="595"/>
      <c r="T20" s="595">
        <f t="shared" si="3"/>
        <v>5.5511151231257827E-15</v>
      </c>
      <c r="U20" s="595">
        <f t="shared" si="4"/>
        <v>-0.19999999999999463</v>
      </c>
      <c r="V20" s="612">
        <f t="shared" si="5"/>
        <v>0</v>
      </c>
      <c r="W20" s="612">
        <f t="shared" si="7"/>
        <v>0</v>
      </c>
      <c r="X20" s="612">
        <f t="shared" si="6"/>
        <v>-1.999999999999974E-3</v>
      </c>
    </row>
    <row r="21" spans="1:24" ht="16" customHeight="1" x14ac:dyDescent="0.35">
      <c r="A21" s="614" t="s">
        <v>97</v>
      </c>
      <c r="B21" s="640">
        <v>653</v>
      </c>
      <c r="C21" s="584">
        <v>15</v>
      </c>
      <c r="D21" s="584">
        <v>20</v>
      </c>
      <c r="E21" s="608" t="s">
        <v>463</v>
      </c>
      <c r="F21" s="676">
        <v>0.2177</v>
      </c>
      <c r="G21" s="676">
        <v>0.13589999999999999</v>
      </c>
      <c r="H21" s="676">
        <v>6.6000000000000003E-2</v>
      </c>
      <c r="I21" s="626">
        <f>VLOOKUP(A21,'Table 2'!$A$5:$H$33,6,0)</f>
        <v>0.218</v>
      </c>
      <c r="J21" s="626">
        <f>VLOOKUP(A21,'Table 2'!$A$5:$H$33,7,0)</f>
        <v>0.13600000000000001</v>
      </c>
      <c r="K21" s="626">
        <f>VLOOKUP(A21,'Table 2'!$A$5:$H$33,8,0)</f>
        <v>6.6000000000000003E-2</v>
      </c>
      <c r="L21" s="580">
        <v>0</v>
      </c>
      <c r="M21" s="626">
        <v>0.21199999999999999</v>
      </c>
      <c r="N21" s="626">
        <v>0.13589999999999999</v>
      </c>
      <c r="O21" s="626">
        <v>6.3E-2</v>
      </c>
      <c r="P21" s="580">
        <v>0</v>
      </c>
      <c r="Q21" s="595">
        <f t="shared" si="8"/>
        <v>0.60000000000000053</v>
      </c>
      <c r="R21" s="595">
        <f t="shared" si="10"/>
        <v>1.0000000000001674E-2</v>
      </c>
      <c r="S21" s="595">
        <f>(K21-O21)*100</f>
        <v>0.30000000000000027</v>
      </c>
      <c r="T21" s="595">
        <f t="shared" si="3"/>
        <v>-3.9999999999995595E-2</v>
      </c>
      <c r="U21" s="595">
        <f t="shared" si="4"/>
        <v>0.9099999999999997</v>
      </c>
      <c r="V21" s="612">
        <f t="shared" si="5"/>
        <v>6.0000000000000053E-3</v>
      </c>
      <c r="W21" s="612">
        <f t="shared" si="7"/>
        <v>1.0000000000001674E-4</v>
      </c>
      <c r="X21" s="612">
        <f t="shared" si="6"/>
        <v>3.0000000000000027E-3</v>
      </c>
    </row>
    <row r="22" spans="1:24" ht="16" customHeight="1" x14ac:dyDescent="0.35">
      <c r="A22" s="625" t="s">
        <v>114</v>
      </c>
      <c r="B22" s="584">
        <v>717</v>
      </c>
      <c r="C22" s="584">
        <v>30</v>
      </c>
      <c r="D22" s="584">
        <v>30</v>
      </c>
      <c r="E22" s="608" t="s">
        <v>294</v>
      </c>
      <c r="F22" s="676">
        <v>0.22499999999999998</v>
      </c>
      <c r="G22" s="676">
        <v>0.08</v>
      </c>
      <c r="H22" s="676">
        <v>7.1000000000000008E-2</v>
      </c>
      <c r="I22" s="626">
        <f>VLOOKUP(A22,'Table 2'!$A$5:$H$33,6,0)</f>
        <v>0.22500000000000001</v>
      </c>
      <c r="J22" s="626">
        <f>VLOOKUP(A22,'Table 2'!$A$5:$H$33,7,0)</f>
        <v>9.5000000000000001E-2</v>
      </c>
      <c r="K22" s="626">
        <f>VLOOKUP(A22,'Table 2'!$A$5:$H$33,8,0)</f>
        <v>7.0999999999999994E-2</v>
      </c>
      <c r="L22" s="580">
        <v>0</v>
      </c>
      <c r="M22" s="626">
        <v>0.22500000000000001</v>
      </c>
      <c r="N22" s="626">
        <v>9.5000000000000001E-2</v>
      </c>
      <c r="O22" s="626">
        <v>7.1499999999999994E-2</v>
      </c>
      <c r="P22" s="580">
        <v>0</v>
      </c>
      <c r="Q22" s="595">
        <f t="shared" si="8"/>
        <v>0</v>
      </c>
      <c r="R22" s="595">
        <f t="shared" si="10"/>
        <v>0</v>
      </c>
      <c r="S22" s="595">
        <f>(K22-O22)*100</f>
        <v>-5.0000000000000044E-2</v>
      </c>
      <c r="T22" s="595">
        <f t="shared" si="3"/>
        <v>-1.5000000000000013</v>
      </c>
      <c r="U22" s="595">
        <f t="shared" si="4"/>
        <v>-5.0000000000000044E-2</v>
      </c>
      <c r="V22" s="612">
        <f t="shared" si="5"/>
        <v>0</v>
      </c>
      <c r="W22" s="612">
        <f t="shared" si="7"/>
        <v>0</v>
      </c>
      <c r="X22" s="612">
        <f t="shared" si="6"/>
        <v>-5.0000000000000044E-4</v>
      </c>
    </row>
    <row r="23" spans="1:24" ht="16" customHeight="1" x14ac:dyDescent="0.35">
      <c r="A23" s="615"/>
      <c r="B23" s="570"/>
      <c r="C23" s="570"/>
      <c r="D23" s="570"/>
      <c r="E23" s="571"/>
      <c r="F23" s="571"/>
      <c r="G23" s="571"/>
      <c r="H23" s="571"/>
      <c r="I23" s="619"/>
      <c r="J23" s="620"/>
      <c r="K23" s="620"/>
      <c r="L23" s="620"/>
      <c r="M23" s="621"/>
      <c r="N23" s="620"/>
      <c r="O23" s="620"/>
      <c r="P23" s="620"/>
      <c r="Q23" s="616"/>
      <c r="R23" s="616"/>
      <c r="S23" s="616"/>
      <c r="T23" s="616"/>
      <c r="U23" s="622"/>
    </row>
    <row r="24" spans="1:24" x14ac:dyDescent="0.35">
      <c r="A24" s="615"/>
      <c r="B24" s="570"/>
      <c r="C24" s="570"/>
      <c r="D24" s="570"/>
      <c r="E24" s="571"/>
      <c r="F24" s="571"/>
      <c r="G24" s="571"/>
      <c r="H24" s="571"/>
      <c r="I24" s="619"/>
      <c r="J24" s="620"/>
      <c r="K24" s="620"/>
      <c r="L24" s="620"/>
      <c r="M24" s="621"/>
      <c r="N24" s="620"/>
      <c r="O24" s="620"/>
      <c r="P24" s="620"/>
      <c r="Q24" s="616"/>
      <c r="R24" s="616"/>
      <c r="S24" s="616"/>
      <c r="T24" s="616"/>
      <c r="U24" s="622"/>
    </row>
    <row r="25" spans="1:24" x14ac:dyDescent="0.35">
      <c r="A25" s="615"/>
      <c r="B25" s="570"/>
      <c r="C25" s="570"/>
      <c r="D25" s="570"/>
      <c r="E25" s="571"/>
      <c r="F25" s="571"/>
      <c r="G25" s="571"/>
      <c r="H25" s="571"/>
      <c r="I25" s="619"/>
      <c r="J25" s="620"/>
      <c r="K25" s="620"/>
      <c r="L25" s="620"/>
      <c r="M25" s="621"/>
      <c r="N25" s="620"/>
      <c r="O25" s="620"/>
      <c r="P25" s="620"/>
      <c r="Q25" s="616"/>
      <c r="R25" s="616"/>
      <c r="S25" s="616"/>
      <c r="T25" s="616"/>
      <c r="U25" s="622"/>
    </row>
    <row r="26" spans="1:24" x14ac:dyDescent="0.35">
      <c r="A26" s="615"/>
      <c r="B26" s="570"/>
      <c r="C26" s="570"/>
      <c r="D26" s="570"/>
      <c r="E26" s="571"/>
      <c r="F26" s="571"/>
      <c r="G26" s="571"/>
      <c r="H26" s="571"/>
      <c r="I26" s="619"/>
      <c r="J26" s="620"/>
      <c r="K26" s="620"/>
      <c r="L26" s="620"/>
      <c r="M26" s="621"/>
      <c r="N26" s="620"/>
      <c r="O26" s="620"/>
      <c r="P26" s="620"/>
      <c r="Q26" s="616"/>
      <c r="R26" s="616"/>
      <c r="S26" s="616"/>
      <c r="T26" s="616"/>
      <c r="U26" s="622"/>
    </row>
    <row r="27" spans="1:24" ht="15" thickBot="1" x14ac:dyDescent="0.4">
      <c r="A27" s="623" t="s">
        <v>474</v>
      </c>
      <c r="B27" s="613"/>
      <c r="C27" s="613"/>
      <c r="D27" s="613"/>
      <c r="E27" s="613"/>
      <c r="I27" s="623"/>
      <c r="J27" s="623"/>
      <c r="K27" s="623"/>
      <c r="L27" s="623"/>
      <c r="M27" s="623"/>
      <c r="N27" s="623"/>
      <c r="O27" s="623"/>
      <c r="P27" s="623"/>
      <c r="Q27" s="623"/>
      <c r="R27" s="623"/>
      <c r="S27" s="623"/>
      <c r="T27" s="623"/>
      <c r="U27" s="623"/>
      <c r="W27" s="624" t="s">
        <v>475</v>
      </c>
    </row>
    <row r="28" spans="1:24" x14ac:dyDescent="0.35">
      <c r="A28" t="s">
        <v>476</v>
      </c>
      <c r="I28" s="624" t="s">
        <v>475</v>
      </c>
    </row>
    <row r="29" spans="1:24" x14ac:dyDescent="0.35">
      <c r="A29" t="s">
        <v>477</v>
      </c>
    </row>
    <row r="30" spans="1:24" x14ac:dyDescent="0.35">
      <c r="A30" t="s">
        <v>478</v>
      </c>
    </row>
    <row r="36" spans="1:24" ht="19" customHeight="1" thickBot="1" x14ac:dyDescent="0.4">
      <c r="A36" s="619"/>
      <c r="B36" s="617"/>
      <c r="C36" s="617"/>
      <c r="D36" s="617"/>
      <c r="E36" s="617"/>
      <c r="F36" s="619"/>
      <c r="G36" s="619"/>
      <c r="H36" s="619"/>
      <c r="I36" s="619"/>
      <c r="J36" s="620"/>
      <c r="K36" s="620"/>
      <c r="L36" s="586"/>
      <c r="M36" s="621"/>
      <c r="N36" s="620"/>
      <c r="O36" s="620"/>
      <c r="P36" s="586"/>
      <c r="Q36" s="611">
        <f t="shared" ref="Q36:S44" si="11">(I36-M36)*100</f>
        <v>0</v>
      </c>
      <c r="R36" s="611">
        <f t="shared" si="11"/>
        <v>0</v>
      </c>
      <c r="S36" s="611">
        <f t="shared" si="11"/>
        <v>0</v>
      </c>
      <c r="T36" s="616"/>
      <c r="U36" s="622"/>
      <c r="V36" s="621"/>
      <c r="W36" s="621"/>
    </row>
    <row r="37" spans="1:24" ht="19" customHeight="1" thickBot="1" x14ac:dyDescent="0.4">
      <c r="A37" s="629"/>
      <c r="B37" s="613"/>
      <c r="C37" s="613"/>
      <c r="D37" s="613"/>
      <c r="E37" s="613"/>
      <c r="I37" s="619"/>
      <c r="J37" s="620"/>
      <c r="K37" s="620"/>
      <c r="L37" s="586"/>
      <c r="M37" s="621"/>
      <c r="N37" s="620"/>
      <c r="O37" s="620"/>
      <c r="P37" s="586"/>
      <c r="Q37" s="611">
        <f t="shared" si="11"/>
        <v>0</v>
      </c>
      <c r="R37" s="611">
        <f t="shared" si="11"/>
        <v>0</v>
      </c>
      <c r="S37" s="611">
        <f t="shared" si="11"/>
        <v>0</v>
      </c>
      <c r="T37" s="616"/>
      <c r="U37" s="622"/>
      <c r="V37" s="621"/>
      <c r="W37" s="621"/>
    </row>
    <row r="38" spans="1:24" ht="19" customHeight="1" x14ac:dyDescent="0.35">
      <c r="A38" s="630"/>
      <c r="B38" s="627">
        <v>828</v>
      </c>
      <c r="C38" s="584">
        <v>30</v>
      </c>
      <c r="D38" s="584">
        <v>15</v>
      </c>
      <c r="E38" s="608" t="s">
        <v>462</v>
      </c>
      <c r="F38" s="571"/>
      <c r="G38" s="571"/>
      <c r="H38" s="571"/>
      <c r="I38" s="619"/>
      <c r="J38" s="620"/>
      <c r="K38" s="620"/>
      <c r="L38" s="586"/>
      <c r="M38" s="621"/>
      <c r="N38" s="620"/>
      <c r="O38" s="620"/>
      <c r="P38" s="586"/>
      <c r="Q38" s="611">
        <f t="shared" si="11"/>
        <v>0</v>
      </c>
      <c r="R38" s="611">
        <f t="shared" si="11"/>
        <v>0</v>
      </c>
      <c r="S38" s="611">
        <f t="shared" si="11"/>
        <v>0</v>
      </c>
      <c r="T38" s="616"/>
      <c r="U38" s="622"/>
      <c r="V38" s="621"/>
      <c r="W38" s="621"/>
    </row>
    <row r="39" spans="1:24" ht="19" customHeight="1" thickBot="1" x14ac:dyDescent="0.4">
      <c r="A39" s="615"/>
      <c r="B39" s="567"/>
      <c r="C39" s="567"/>
      <c r="D39" s="567"/>
      <c r="E39" s="568"/>
      <c r="F39" s="571"/>
      <c r="G39" s="571"/>
      <c r="H39" s="571"/>
      <c r="I39" s="619"/>
      <c r="J39" s="620"/>
      <c r="K39" s="620"/>
      <c r="L39" s="586"/>
      <c r="M39" s="621"/>
      <c r="N39" s="620"/>
      <c r="O39" s="620"/>
      <c r="P39" s="586"/>
      <c r="Q39" s="611">
        <f t="shared" si="11"/>
        <v>0</v>
      </c>
      <c r="R39" s="611">
        <f t="shared" si="11"/>
        <v>0</v>
      </c>
      <c r="S39" s="611">
        <f t="shared" si="11"/>
        <v>0</v>
      </c>
      <c r="T39" s="616"/>
      <c r="U39" s="622"/>
      <c r="V39" s="632"/>
      <c r="W39" s="621"/>
      <c r="X39" s="173"/>
    </row>
    <row r="40" spans="1:24" ht="19" customHeight="1" thickBot="1" x14ac:dyDescent="0.4">
      <c r="A40" s="615"/>
      <c r="B40" s="567"/>
      <c r="C40" s="567"/>
      <c r="D40" s="567"/>
      <c r="E40" s="568"/>
      <c r="F40" s="571"/>
      <c r="G40" s="571"/>
      <c r="H40" s="571"/>
      <c r="I40" s="619"/>
      <c r="J40" s="620"/>
      <c r="K40" s="620"/>
      <c r="L40" s="586"/>
      <c r="M40" s="621"/>
      <c r="N40" s="620"/>
      <c r="O40" s="620"/>
      <c r="P40" s="586"/>
      <c r="Q40" s="611">
        <f t="shared" si="11"/>
        <v>0</v>
      </c>
      <c r="R40" s="611">
        <f t="shared" si="11"/>
        <v>0</v>
      </c>
      <c r="S40" s="611">
        <f t="shared" si="11"/>
        <v>0</v>
      </c>
      <c r="T40" s="616"/>
      <c r="U40" s="622"/>
      <c r="V40" s="633"/>
      <c r="W40" s="621"/>
    </row>
    <row r="41" spans="1:24" ht="19" customHeight="1" thickBot="1" x14ac:dyDescent="0.4">
      <c r="A41" s="615"/>
      <c r="B41" s="567">
        <v>605</v>
      </c>
      <c r="C41" s="567">
        <v>0</v>
      </c>
      <c r="D41" s="567">
        <v>14</v>
      </c>
      <c r="E41" s="568" t="s">
        <v>290</v>
      </c>
      <c r="F41" s="571"/>
      <c r="G41" s="571"/>
      <c r="H41" s="571"/>
      <c r="I41" s="619"/>
      <c r="J41" s="620"/>
      <c r="K41" s="620"/>
      <c r="L41" s="586"/>
      <c r="M41" s="621"/>
      <c r="N41" s="620"/>
      <c r="O41" s="620"/>
      <c r="P41" s="586"/>
      <c r="Q41" s="611">
        <f t="shared" si="11"/>
        <v>0</v>
      </c>
      <c r="R41" s="611">
        <f t="shared" si="11"/>
        <v>0</v>
      </c>
      <c r="S41" s="611">
        <f t="shared" si="11"/>
        <v>0</v>
      </c>
      <c r="T41" s="616"/>
      <c r="U41" s="622"/>
      <c r="V41" s="621"/>
      <c r="W41" s="621"/>
    </row>
    <row r="42" spans="1:24" ht="19" customHeight="1" thickBot="1" x14ac:dyDescent="0.4">
      <c r="A42" s="615"/>
      <c r="B42" s="567"/>
      <c r="C42" s="567"/>
      <c r="D42" s="567"/>
      <c r="E42" s="568"/>
      <c r="F42" s="571"/>
      <c r="G42" s="571"/>
      <c r="H42" s="571"/>
      <c r="I42" s="619"/>
      <c r="J42" s="620"/>
      <c r="K42" s="620"/>
      <c r="L42" s="586"/>
      <c r="M42" s="631"/>
      <c r="N42" s="620"/>
      <c r="O42" s="620"/>
      <c r="P42" s="586"/>
      <c r="Q42" s="611">
        <f t="shared" si="11"/>
        <v>0</v>
      </c>
      <c r="R42" s="611">
        <f t="shared" si="11"/>
        <v>0</v>
      </c>
      <c r="S42" s="611">
        <f t="shared" si="11"/>
        <v>0</v>
      </c>
      <c r="T42" s="616"/>
      <c r="U42" s="622"/>
      <c r="V42" s="621"/>
      <c r="W42" s="621"/>
    </row>
    <row r="43" spans="1:24" ht="19" customHeight="1" thickBot="1" x14ac:dyDescent="0.4">
      <c r="A43" s="615"/>
      <c r="B43" s="567"/>
      <c r="C43" s="567"/>
      <c r="D43" s="567"/>
      <c r="E43" s="568"/>
      <c r="F43" s="571"/>
      <c r="G43" s="571"/>
      <c r="H43" s="571"/>
      <c r="I43" s="619"/>
      <c r="J43" s="620"/>
      <c r="K43" s="620"/>
      <c r="L43" s="586"/>
      <c r="M43" s="621"/>
      <c r="N43" s="620"/>
      <c r="O43" s="620"/>
      <c r="P43" s="586"/>
      <c r="Q43" s="611">
        <f t="shared" si="11"/>
        <v>0</v>
      </c>
      <c r="R43" s="611">
        <f t="shared" si="11"/>
        <v>0</v>
      </c>
      <c r="S43" s="611">
        <f t="shared" si="11"/>
        <v>0</v>
      </c>
      <c r="T43" s="616"/>
      <c r="U43" s="622"/>
      <c r="V43" s="621"/>
      <c r="W43" s="621"/>
    </row>
    <row r="44" spans="1:24" ht="19" customHeight="1" x14ac:dyDescent="0.35">
      <c r="A44" s="615"/>
      <c r="B44" s="628"/>
      <c r="C44" s="607"/>
      <c r="D44" s="607"/>
      <c r="E44" s="569"/>
      <c r="F44" s="571"/>
      <c r="G44" s="571"/>
      <c r="H44" s="571"/>
      <c r="I44" s="619"/>
      <c r="J44" s="620"/>
      <c r="K44" s="620"/>
      <c r="L44" s="586"/>
      <c r="M44" s="621"/>
      <c r="N44" s="620"/>
      <c r="O44" s="620"/>
      <c r="P44" s="586"/>
      <c r="Q44" s="611">
        <f t="shared" si="11"/>
        <v>0</v>
      </c>
      <c r="R44" s="611">
        <f t="shared" si="11"/>
        <v>0</v>
      </c>
      <c r="S44" s="611">
        <f t="shared" si="11"/>
        <v>0</v>
      </c>
      <c r="T44" s="616"/>
      <c r="U44" s="622"/>
      <c r="V44" s="621"/>
      <c r="W44" s="621"/>
    </row>
  </sheetData>
  <autoFilter ref="F2:U3" xr:uid="{87DEB4E0-96F2-4FD3-9338-B328240F259B}"/>
  <mergeCells count="26">
    <mergeCell ref="I9:K9"/>
    <mergeCell ref="X1:X3"/>
    <mergeCell ref="C2:C3"/>
    <mergeCell ref="D2:D3"/>
    <mergeCell ref="E2:E3"/>
    <mergeCell ref="I2:I3"/>
    <mergeCell ref="J2:J3"/>
    <mergeCell ref="K2:K3"/>
    <mergeCell ref="L2:L3"/>
    <mergeCell ref="M2:M3"/>
    <mergeCell ref="N2:N3"/>
    <mergeCell ref="W1:W3"/>
    <mergeCell ref="F9:H9"/>
    <mergeCell ref="A1:A3"/>
    <mergeCell ref="I1:L1"/>
    <mergeCell ref="M1:P1"/>
    <mergeCell ref="V1:V3"/>
    <mergeCell ref="O2:O3"/>
    <mergeCell ref="P2:P3"/>
    <mergeCell ref="F1:H1"/>
    <mergeCell ref="F2:F3"/>
    <mergeCell ref="G2:G3"/>
    <mergeCell ref="H2:H3"/>
    <mergeCell ref="T1:U1"/>
    <mergeCell ref="T2:T3"/>
    <mergeCell ref="U2:U3"/>
  </mergeCells>
  <conditionalFormatting sqref="Q15:Q22">
    <cfRule type="dataBar" priority="57">
      <dataBar>
        <cfvo type="min"/>
        <cfvo type="max"/>
        <color rgb="FF638EC6"/>
      </dataBar>
      <extLst>
        <ext xmlns:x14="http://schemas.microsoft.com/office/spreadsheetml/2009/9/main" uri="{B025F937-C7B1-47D3-B67F-A62EFF666E3E}">
          <x14:id>{64BA7229-7BBE-4DFF-ABDE-80E9BBE142A7}</x14:id>
        </ext>
      </extLst>
    </cfRule>
  </conditionalFormatting>
  <conditionalFormatting sqref="Q27:T27 Q4:T4 Q36:T44 Q5:S13 T5:T22">
    <cfRule type="dataBar" priority="7">
      <dataBar>
        <cfvo type="min"/>
        <cfvo type="max"/>
        <color rgb="FF638EC6"/>
      </dataBar>
      <extLst>
        <ext xmlns:x14="http://schemas.microsoft.com/office/spreadsheetml/2009/9/main" uri="{B025F937-C7B1-47D3-B67F-A62EFF666E3E}">
          <x14:id>{25281136-6BB7-4D1B-BB57-689CAEBB8C7B}</x14:id>
        </ext>
      </extLst>
    </cfRule>
  </conditionalFormatting>
  <conditionalFormatting sqref="S15:S17">
    <cfRule type="dataBar" priority="5">
      <dataBar>
        <cfvo type="min"/>
        <cfvo type="max"/>
        <color rgb="FF638EC6"/>
      </dataBar>
      <extLst>
        <ext xmlns:x14="http://schemas.microsoft.com/office/spreadsheetml/2009/9/main" uri="{B025F937-C7B1-47D3-B67F-A62EFF666E3E}">
          <x14:id>{BF7C7437-8711-46E4-B350-3C381FF4CDE9}</x14:id>
        </ext>
      </extLst>
    </cfRule>
  </conditionalFormatting>
  <conditionalFormatting sqref="U4:U22">
    <cfRule type="dataBar" priority="100">
      <dataBar>
        <cfvo type="min"/>
        <cfvo type="max"/>
        <color theme="4" tint="0.59999389629810485"/>
      </dataBar>
      <extLst>
        <ext xmlns:x14="http://schemas.microsoft.com/office/spreadsheetml/2009/9/main" uri="{B025F937-C7B1-47D3-B67F-A62EFF666E3E}">
          <x14:id>{BA68C945-3282-499B-A745-FD552B1DF1FB}</x14:id>
        </ext>
      </extLst>
    </cfRule>
  </conditionalFormatting>
  <conditionalFormatting sqref="V4:V22">
    <cfRule type="dataBar" priority="101">
      <dataBar>
        <cfvo type="min"/>
        <cfvo type="max"/>
        <color rgb="FF638EC6"/>
      </dataBar>
      <extLst>
        <ext xmlns:x14="http://schemas.microsoft.com/office/spreadsheetml/2009/9/main" uri="{B025F937-C7B1-47D3-B67F-A62EFF666E3E}">
          <x14:id>{E1A0FF85-CF3A-46FC-A87D-B876E3F20A4F}</x14:id>
        </ext>
      </extLst>
    </cfRule>
  </conditionalFormatting>
  <conditionalFormatting sqref="W4:W22">
    <cfRule type="dataBar" priority="102">
      <dataBar>
        <cfvo type="min"/>
        <cfvo type="max"/>
        <color rgb="FF638EC6"/>
      </dataBar>
      <extLst>
        <ext xmlns:x14="http://schemas.microsoft.com/office/spreadsheetml/2009/9/main" uri="{B025F937-C7B1-47D3-B67F-A62EFF666E3E}">
          <x14:id>{EDAC15F0-26AB-4363-A2FE-53F13C6AA052}</x14:id>
        </ext>
      </extLst>
    </cfRule>
  </conditionalFormatting>
  <conditionalFormatting sqref="X4:X22">
    <cfRule type="dataBar" priority="103">
      <dataBar>
        <cfvo type="min"/>
        <cfvo type="max"/>
        <color rgb="FF638EC6"/>
      </dataBar>
      <extLst>
        <ext xmlns:x14="http://schemas.microsoft.com/office/spreadsheetml/2009/9/main" uri="{B025F937-C7B1-47D3-B67F-A62EFF666E3E}">
          <x14:id>{0476F3EF-56F3-42D1-9005-8329D1830554}</x14:id>
        </ext>
      </extLst>
    </cfRule>
  </conditionalFormatting>
  <hyperlinks>
    <hyperlink ref="W27" r:id="rId1" display="https://www.ssa.gov/policy/docs/progdesc/ssptw/2012-2013/americas/ssptw13americas.pdf" xr:uid="{026476F9-8757-491E-8850-309395E0209E}"/>
    <hyperlink ref="I28" r:id="rId2" display="https://www.ssa.gov/policy/docs/progdesc/ssptw/2012-2013/americas/ssptw13americas.pdf" xr:uid="{7DC63D67-D451-4D3F-AEAD-AD0F443EE815}"/>
  </hyperlinks>
  <pageMargins left="0.7" right="0.7" top="0.75" bottom="0.75" header="0.3" footer="0.3"/>
  <pageSetup orientation="portrait" r:id="rId3"/>
  <legacyDrawing r:id="rId4"/>
  <extLst>
    <ext xmlns:x14="http://schemas.microsoft.com/office/spreadsheetml/2009/9/main" uri="{78C0D931-6437-407d-A8EE-F0AAD7539E65}">
      <x14:conditionalFormattings>
        <x14:conditionalFormatting xmlns:xm="http://schemas.microsoft.com/office/excel/2006/main">
          <x14:cfRule type="dataBar" id="{64BA7229-7BBE-4DFF-ABDE-80E9BBE142A7}">
            <x14:dataBar minLength="0" maxLength="100" gradient="0">
              <x14:cfvo type="autoMin"/>
              <x14:cfvo type="autoMax"/>
              <x14:negativeFillColor rgb="FFFF0000"/>
              <x14:axisColor rgb="FF000000"/>
            </x14:dataBar>
          </x14:cfRule>
          <xm:sqref>Q15:Q22</xm:sqref>
        </x14:conditionalFormatting>
        <x14:conditionalFormatting xmlns:xm="http://schemas.microsoft.com/office/excel/2006/main">
          <x14:cfRule type="dataBar" id="{25281136-6BB7-4D1B-BB57-689CAEBB8C7B}">
            <x14:dataBar minLength="0" maxLength="100" gradient="0">
              <x14:cfvo type="autoMin"/>
              <x14:cfvo type="autoMax"/>
              <x14:negativeFillColor rgb="FFFF0000"/>
              <x14:axisColor rgb="FF000000"/>
            </x14:dataBar>
          </x14:cfRule>
          <xm:sqref>Q27:T27 Q4:T4 Q36:T44 Q5:S13 T5:T22</xm:sqref>
        </x14:conditionalFormatting>
        <x14:conditionalFormatting xmlns:xm="http://schemas.microsoft.com/office/excel/2006/main">
          <x14:cfRule type="dataBar" id="{BF7C7437-8711-46E4-B350-3C381FF4CDE9}">
            <x14:dataBar minLength="0" maxLength="100" gradient="0">
              <x14:cfvo type="autoMin"/>
              <x14:cfvo type="autoMax"/>
              <x14:negativeFillColor rgb="FFFF0000"/>
              <x14:axisColor rgb="FF000000"/>
            </x14:dataBar>
          </x14:cfRule>
          <xm:sqref>S15:S17</xm:sqref>
        </x14:conditionalFormatting>
        <x14:conditionalFormatting xmlns:xm="http://schemas.microsoft.com/office/excel/2006/main">
          <x14:cfRule type="dataBar" id="{BA68C945-3282-499B-A745-FD552B1DF1FB}">
            <x14:dataBar minLength="0" maxLength="100" gradient="0">
              <x14:cfvo type="autoMin"/>
              <x14:cfvo type="autoMax"/>
              <x14:negativeFillColor rgb="FFFF0000"/>
              <x14:axisColor rgb="FF000000"/>
            </x14:dataBar>
          </x14:cfRule>
          <xm:sqref>U4:U22</xm:sqref>
        </x14:conditionalFormatting>
        <x14:conditionalFormatting xmlns:xm="http://schemas.microsoft.com/office/excel/2006/main">
          <x14:cfRule type="dataBar" id="{E1A0FF85-CF3A-46FC-A87D-B876E3F20A4F}">
            <x14:dataBar minLength="0" maxLength="100" gradient="0">
              <x14:cfvo type="autoMin"/>
              <x14:cfvo type="autoMax"/>
              <x14:negativeFillColor rgb="FFFF0000"/>
              <x14:axisColor rgb="FF000000"/>
            </x14:dataBar>
          </x14:cfRule>
          <xm:sqref>V4:V22</xm:sqref>
        </x14:conditionalFormatting>
        <x14:conditionalFormatting xmlns:xm="http://schemas.microsoft.com/office/excel/2006/main">
          <x14:cfRule type="dataBar" id="{EDAC15F0-26AB-4363-A2FE-53F13C6AA052}">
            <x14:dataBar minLength="0" maxLength="100" gradient="0">
              <x14:cfvo type="autoMin"/>
              <x14:cfvo type="autoMax"/>
              <x14:negativeFillColor rgb="FFFF0000"/>
              <x14:axisColor rgb="FF000000"/>
            </x14:dataBar>
          </x14:cfRule>
          <xm:sqref>W4:W22</xm:sqref>
        </x14:conditionalFormatting>
        <x14:conditionalFormatting xmlns:xm="http://schemas.microsoft.com/office/excel/2006/main">
          <x14:cfRule type="dataBar" id="{0476F3EF-56F3-42D1-9005-8329D1830554}">
            <x14:dataBar minLength="0" maxLength="100" gradient="0">
              <x14:cfvo type="autoMin"/>
              <x14:cfvo type="autoMax"/>
              <x14:negativeFillColor rgb="FFFF0000"/>
              <x14:axisColor rgb="FF000000"/>
            </x14:dataBar>
          </x14:cfRule>
          <xm:sqref>X4:X22</xm:sqref>
        </x14:conditionalFormatting>
      </x14:conditionalFormattings>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758A0F-AE9F-4AC5-B115-03FCE313C7B7}">
  <dimension ref="A1:G21"/>
  <sheetViews>
    <sheetView zoomScale="88" workbookViewId="0">
      <selection activeCell="H7" sqref="H7"/>
    </sheetView>
  </sheetViews>
  <sheetFormatPr defaultRowHeight="14.5" x14ac:dyDescent="0.35"/>
  <sheetData>
    <row r="1" spans="1:7" x14ac:dyDescent="0.35">
      <c r="A1" t="s">
        <v>502</v>
      </c>
    </row>
    <row r="2" spans="1:7" x14ac:dyDescent="0.35">
      <c r="A2" s="687"/>
      <c r="B2" s="687"/>
      <c r="C2" s="1055" t="s">
        <v>504</v>
      </c>
      <c r="D2" s="1055"/>
      <c r="E2" s="1055"/>
      <c r="F2" s="1056" t="s">
        <v>505</v>
      </c>
      <c r="G2" s="1055"/>
    </row>
    <row r="3" spans="1:7" ht="52" x14ac:dyDescent="0.35">
      <c r="A3" s="688" t="s">
        <v>169</v>
      </c>
      <c r="B3" s="688" t="s">
        <v>503</v>
      </c>
      <c r="C3" s="689" t="s">
        <v>506</v>
      </c>
      <c r="D3" s="689" t="s">
        <v>507</v>
      </c>
      <c r="E3" s="689" t="s">
        <v>508</v>
      </c>
      <c r="F3" s="896" t="s">
        <v>506</v>
      </c>
      <c r="G3" s="689" t="s">
        <v>507</v>
      </c>
    </row>
    <row r="4" spans="1:7" x14ac:dyDescent="0.35">
      <c r="A4" s="690" t="s">
        <v>97</v>
      </c>
      <c r="B4" s="687" t="s">
        <v>509</v>
      </c>
      <c r="C4" s="687" t="s">
        <v>236</v>
      </c>
      <c r="D4" s="687" t="s">
        <v>510</v>
      </c>
      <c r="E4" s="687"/>
      <c r="F4" s="897" t="s">
        <v>510</v>
      </c>
      <c r="G4" s="687"/>
    </row>
    <row r="5" spans="1:7" x14ac:dyDescent="0.35">
      <c r="A5" s="690" t="s">
        <v>98</v>
      </c>
      <c r="B5" s="687" t="s">
        <v>509</v>
      </c>
      <c r="C5" s="687" t="s">
        <v>510</v>
      </c>
      <c r="D5" s="687"/>
      <c r="E5" s="687" t="s">
        <v>510</v>
      </c>
      <c r="F5" s="897" t="s">
        <v>510</v>
      </c>
      <c r="G5" s="687"/>
    </row>
    <row r="6" spans="1:7" x14ac:dyDescent="0.35">
      <c r="A6" s="690" t="s">
        <v>99</v>
      </c>
      <c r="B6" s="687" t="s">
        <v>511</v>
      </c>
      <c r="C6" s="687"/>
      <c r="D6" s="687"/>
      <c r="E6" s="687"/>
      <c r="F6" s="897" t="s">
        <v>510</v>
      </c>
      <c r="G6" s="687"/>
    </row>
    <row r="7" spans="1:7" x14ac:dyDescent="0.35">
      <c r="A7" s="690" t="s">
        <v>100</v>
      </c>
      <c r="B7" s="687" t="s">
        <v>509</v>
      </c>
      <c r="C7" s="687"/>
      <c r="D7" s="687"/>
      <c r="E7" s="687" t="s">
        <v>510</v>
      </c>
      <c r="F7" s="897" t="s">
        <v>510</v>
      </c>
      <c r="G7" s="687"/>
    </row>
    <row r="8" spans="1:7" x14ac:dyDescent="0.35">
      <c r="A8" s="690" t="s">
        <v>101</v>
      </c>
      <c r="B8" s="687" t="s">
        <v>509</v>
      </c>
      <c r="C8" s="687" t="s">
        <v>510</v>
      </c>
      <c r="D8" s="687"/>
      <c r="E8" s="687"/>
      <c r="F8" s="897"/>
      <c r="G8" s="687"/>
    </row>
    <row r="9" spans="1:7" x14ac:dyDescent="0.35">
      <c r="A9" s="690" t="s">
        <v>102</v>
      </c>
      <c r="B9" s="687" t="s">
        <v>509</v>
      </c>
      <c r="C9" s="687" t="s">
        <v>510</v>
      </c>
      <c r="D9" s="687"/>
      <c r="E9" s="687"/>
      <c r="F9" s="897"/>
      <c r="G9" s="687"/>
    </row>
    <row r="10" spans="1:7" x14ac:dyDescent="0.35">
      <c r="A10" s="690" t="s">
        <v>112</v>
      </c>
      <c r="B10" s="687" t="s">
        <v>509</v>
      </c>
      <c r="C10" s="687" t="s">
        <v>236</v>
      </c>
      <c r="D10" s="687" t="s">
        <v>510</v>
      </c>
      <c r="E10" s="687"/>
      <c r="F10" s="897" t="s">
        <v>510</v>
      </c>
      <c r="G10" s="687"/>
    </row>
    <row r="11" spans="1:7" x14ac:dyDescent="0.35">
      <c r="A11" s="690" t="s">
        <v>103</v>
      </c>
      <c r="B11" s="687" t="s">
        <v>509</v>
      </c>
      <c r="C11" s="687" t="s">
        <v>510</v>
      </c>
      <c r="D11" s="687"/>
      <c r="E11" s="687"/>
      <c r="F11" s="897" t="s">
        <v>236</v>
      </c>
      <c r="G11" s="687"/>
    </row>
    <row r="12" spans="1:7" x14ac:dyDescent="0.35">
      <c r="A12" s="690" t="s">
        <v>113</v>
      </c>
      <c r="B12" s="687" t="s">
        <v>509</v>
      </c>
      <c r="C12" s="687" t="s">
        <v>510</v>
      </c>
      <c r="D12" s="687"/>
      <c r="E12" s="687" t="s">
        <v>510</v>
      </c>
      <c r="F12" s="897" t="s">
        <v>510</v>
      </c>
      <c r="G12" s="687"/>
    </row>
    <row r="13" spans="1:7" x14ac:dyDescent="0.35">
      <c r="A13" s="690" t="s">
        <v>104</v>
      </c>
      <c r="B13" s="687" t="s">
        <v>509</v>
      </c>
      <c r="C13" s="687" t="s">
        <v>510</v>
      </c>
      <c r="D13" s="687"/>
      <c r="E13" s="687" t="s">
        <v>510</v>
      </c>
      <c r="F13" s="897" t="s">
        <v>510</v>
      </c>
      <c r="G13" s="687"/>
    </row>
    <row r="14" spans="1:7" x14ac:dyDescent="0.35">
      <c r="A14" s="690" t="s">
        <v>105</v>
      </c>
      <c r="B14" s="687" t="s">
        <v>509</v>
      </c>
      <c r="C14" s="687" t="s">
        <v>510</v>
      </c>
      <c r="D14" s="687"/>
      <c r="E14" s="687"/>
      <c r="F14" s="897"/>
      <c r="G14" s="687"/>
    </row>
    <row r="15" spans="1:7" x14ac:dyDescent="0.35">
      <c r="A15" s="690" t="s">
        <v>107</v>
      </c>
      <c r="B15" s="687" t="s">
        <v>509</v>
      </c>
      <c r="C15" s="687" t="s">
        <v>510</v>
      </c>
      <c r="D15" s="687"/>
      <c r="E15" s="687"/>
      <c r="F15" s="897" t="s">
        <v>236</v>
      </c>
      <c r="G15" s="687" t="s">
        <v>510</v>
      </c>
    </row>
    <row r="16" spans="1:7" x14ac:dyDescent="0.35">
      <c r="A16" s="690" t="s">
        <v>109</v>
      </c>
      <c r="B16" s="687" t="s">
        <v>509</v>
      </c>
      <c r="C16" s="687" t="s">
        <v>236</v>
      </c>
      <c r="D16" s="687" t="s">
        <v>510</v>
      </c>
      <c r="E16" s="687" t="s">
        <v>510</v>
      </c>
      <c r="F16" s="897"/>
      <c r="G16" s="687"/>
    </row>
    <row r="17" spans="1:7" x14ac:dyDescent="0.35">
      <c r="A17" s="690" t="s">
        <v>111</v>
      </c>
      <c r="B17" s="687" t="s">
        <v>511</v>
      </c>
      <c r="C17" s="687"/>
      <c r="D17" s="687"/>
      <c r="E17" s="687"/>
      <c r="F17" s="897" t="s">
        <v>510</v>
      </c>
      <c r="G17" s="687"/>
    </row>
    <row r="18" spans="1:7" x14ac:dyDescent="0.35">
      <c r="A18" s="690" t="s">
        <v>110</v>
      </c>
      <c r="B18" s="687" t="s">
        <v>511</v>
      </c>
      <c r="C18" s="687"/>
      <c r="D18" s="687"/>
      <c r="E18" s="687"/>
      <c r="F18" s="897" t="s">
        <v>236</v>
      </c>
      <c r="G18" s="687"/>
    </row>
    <row r="19" spans="1:7" x14ac:dyDescent="0.35">
      <c r="A19" s="690" t="s">
        <v>114</v>
      </c>
      <c r="B19" s="687" t="s">
        <v>509</v>
      </c>
      <c r="C19" s="687"/>
      <c r="D19" s="687"/>
      <c r="E19" s="687" t="s">
        <v>510</v>
      </c>
      <c r="F19" s="897" t="s">
        <v>236</v>
      </c>
      <c r="G19" s="687" t="s">
        <v>510</v>
      </c>
    </row>
    <row r="20" spans="1:7" x14ac:dyDescent="0.35">
      <c r="A20" s="690" t="s">
        <v>115</v>
      </c>
      <c r="B20" s="687" t="s">
        <v>511</v>
      </c>
      <c r="C20" s="687"/>
      <c r="D20" s="687"/>
      <c r="E20" s="687" t="s">
        <v>510</v>
      </c>
      <c r="F20" s="897" t="s">
        <v>236</v>
      </c>
      <c r="G20" s="687"/>
    </row>
    <row r="21" spans="1:7" x14ac:dyDescent="0.35">
      <c r="A21" s="690"/>
      <c r="B21" s="687"/>
      <c r="C21" s="687"/>
      <c r="D21" s="687"/>
      <c r="E21" s="687"/>
      <c r="F21" s="687"/>
      <c r="G21" s="687"/>
    </row>
  </sheetData>
  <mergeCells count="2">
    <mergeCell ref="C2:E2"/>
    <mergeCell ref="F2:G2"/>
  </mergeCells>
  <pageMargins left="0.7" right="0.7" top="0.75" bottom="0.75" header="0.3" footer="0.3"/>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P61"/>
  <sheetViews>
    <sheetView topLeftCell="A37" zoomScale="40" zoomScaleNormal="70" workbookViewId="0">
      <selection activeCell="A38" sqref="A38"/>
    </sheetView>
  </sheetViews>
  <sheetFormatPr defaultColWidth="9.1796875" defaultRowHeight="37.5" customHeight="1" x14ac:dyDescent="0.35"/>
  <cols>
    <col min="1" max="1" width="17.54296875" customWidth="1"/>
    <col min="2" max="2" width="10.08984375" customWidth="1"/>
    <col min="3" max="3" width="12.36328125" customWidth="1"/>
    <col min="4" max="4" width="14.90625" customWidth="1"/>
    <col min="5" max="5" width="15.81640625" customWidth="1"/>
    <col min="6" max="16" width="5.81640625" customWidth="1"/>
  </cols>
  <sheetData>
    <row r="1" spans="1:16" ht="15" x14ac:dyDescent="0.35">
      <c r="A1" s="58" t="s">
        <v>544</v>
      </c>
    </row>
    <row r="2" spans="1:16" ht="15" thickBot="1" x14ac:dyDescent="0.4"/>
    <row r="3" spans="1:16" ht="37.5" customHeight="1" thickBot="1" x14ac:dyDescent="0.4">
      <c r="A3" s="1057"/>
      <c r="B3" s="1060" t="s">
        <v>295</v>
      </c>
      <c r="C3" s="1061"/>
      <c r="D3" s="1061"/>
      <c r="E3" s="1062"/>
      <c r="F3" s="1069" t="s">
        <v>296</v>
      </c>
      <c r="G3" s="1070"/>
      <c r="H3" s="1070"/>
      <c r="I3" s="1070"/>
      <c r="J3" s="1070"/>
      <c r="K3" s="1070"/>
      <c r="L3" s="1070"/>
      <c r="M3" s="1070"/>
      <c r="N3" s="1070"/>
      <c r="O3" s="1070"/>
      <c r="P3" s="1071"/>
    </row>
    <row r="4" spans="1:16" ht="37.5" customHeight="1" x14ac:dyDescent="0.35">
      <c r="A4" s="1058"/>
      <c r="B4" s="1063"/>
      <c r="C4" s="1064"/>
      <c r="D4" s="1064"/>
      <c r="E4" s="1065"/>
      <c r="F4" s="1072" t="s">
        <v>297</v>
      </c>
      <c r="G4" s="1073"/>
      <c r="H4" s="1073"/>
      <c r="I4" s="1073"/>
      <c r="J4" s="1073"/>
      <c r="K4" s="1073"/>
      <c r="L4" s="1073"/>
      <c r="M4" s="1073"/>
      <c r="N4" s="1073"/>
      <c r="O4" s="1073"/>
      <c r="P4" s="1074"/>
    </row>
    <row r="5" spans="1:16" ht="37.5" customHeight="1" thickBot="1" x14ac:dyDescent="0.4">
      <c r="A5" s="1059"/>
      <c r="B5" s="1066"/>
      <c r="C5" s="1067"/>
      <c r="D5" s="1067"/>
      <c r="E5" s="1068"/>
      <c r="F5" s="203">
        <v>0</v>
      </c>
      <c r="G5" s="1075">
        <v>1</v>
      </c>
      <c r="H5" s="1076"/>
      <c r="I5" s="1075">
        <v>2</v>
      </c>
      <c r="J5" s="1076"/>
      <c r="K5" s="1075">
        <v>3</v>
      </c>
      <c r="L5" s="1076"/>
      <c r="M5" s="1075">
        <v>4</v>
      </c>
      <c r="N5" s="1076"/>
      <c r="O5" s="203">
        <v>5</v>
      </c>
      <c r="P5" s="203">
        <v>6</v>
      </c>
    </row>
    <row r="6" spans="1:16" ht="15" thickBot="1" x14ac:dyDescent="0.4">
      <c r="A6" s="212">
        <v>1</v>
      </c>
      <c r="B6" s="1077" t="s">
        <v>298</v>
      </c>
      <c r="C6" s="1078"/>
      <c r="D6" s="1078"/>
      <c r="E6" s="1079"/>
      <c r="F6" s="1080" t="s">
        <v>299</v>
      </c>
      <c r="G6" s="1081"/>
      <c r="H6" s="1081"/>
      <c r="I6" s="1081"/>
      <c r="J6" s="1081"/>
      <c r="K6" s="1081"/>
      <c r="L6" s="1081"/>
      <c r="M6" s="1081"/>
      <c r="N6" s="1081"/>
      <c r="O6" s="1081"/>
      <c r="P6" s="1082"/>
    </row>
    <row r="7" spans="1:16" ht="37.5" customHeight="1" thickBot="1" x14ac:dyDescent="0.4">
      <c r="A7" s="204" t="s">
        <v>300</v>
      </c>
      <c r="B7" s="1077">
        <v>0</v>
      </c>
      <c r="C7" s="1079"/>
      <c r="D7" s="1077" t="s">
        <v>301</v>
      </c>
      <c r="E7" s="1079"/>
      <c r="F7" s="1083"/>
      <c r="G7" s="1084"/>
      <c r="H7" s="1084"/>
      <c r="I7" s="1084"/>
      <c r="J7" s="1084"/>
      <c r="K7" s="1084"/>
      <c r="L7" s="1084"/>
      <c r="M7" s="1084"/>
      <c r="N7" s="1084"/>
      <c r="O7" s="1084"/>
      <c r="P7" s="1085"/>
    </row>
    <row r="8" spans="1:16" ht="37.5" customHeight="1" thickBot="1" x14ac:dyDescent="0.4">
      <c r="A8" s="205"/>
      <c r="B8" s="1077">
        <v>1</v>
      </c>
      <c r="C8" s="1079"/>
      <c r="D8" s="1077" t="s">
        <v>302</v>
      </c>
      <c r="E8" s="1079"/>
      <c r="F8" s="1083"/>
      <c r="G8" s="1084"/>
      <c r="H8" s="1084"/>
      <c r="I8" s="1084"/>
      <c r="J8" s="1084"/>
      <c r="K8" s="1084"/>
      <c r="L8" s="1084"/>
      <c r="M8" s="1084"/>
      <c r="N8" s="1084"/>
      <c r="O8" s="1084"/>
      <c r="P8" s="1085"/>
    </row>
    <row r="9" spans="1:16" ht="37.5" customHeight="1" thickBot="1" x14ac:dyDescent="0.4">
      <c r="A9" s="205"/>
      <c r="B9" s="1077">
        <v>2</v>
      </c>
      <c r="C9" s="1079"/>
      <c r="D9" s="1077" t="s">
        <v>303</v>
      </c>
      <c r="E9" s="1079"/>
      <c r="F9" s="1083"/>
      <c r="G9" s="1084"/>
      <c r="H9" s="1084"/>
      <c r="I9" s="1084"/>
      <c r="J9" s="1084"/>
      <c r="K9" s="1084"/>
      <c r="L9" s="1084"/>
      <c r="M9" s="1084"/>
      <c r="N9" s="1084"/>
      <c r="O9" s="1084"/>
      <c r="P9" s="1085"/>
    </row>
    <row r="10" spans="1:16" ht="37.5" customHeight="1" x14ac:dyDescent="0.35">
      <c r="A10" s="206"/>
      <c r="B10" s="1089">
        <v>3</v>
      </c>
      <c r="C10" s="1090"/>
      <c r="D10" s="1089" t="s">
        <v>304</v>
      </c>
      <c r="E10" s="1090"/>
      <c r="F10" s="1086"/>
      <c r="G10" s="1087"/>
      <c r="H10" s="1087"/>
      <c r="I10" s="1087"/>
      <c r="J10" s="1087"/>
      <c r="K10" s="1087"/>
      <c r="L10" s="1087"/>
      <c r="M10" s="1087"/>
      <c r="N10" s="1087"/>
      <c r="O10" s="1087"/>
      <c r="P10" s="1088"/>
    </row>
    <row r="11" spans="1:16" ht="14.5" x14ac:dyDescent="0.35">
      <c r="A11" s="212">
        <v>2</v>
      </c>
      <c r="B11" s="1100" t="s">
        <v>305</v>
      </c>
      <c r="C11" s="1101"/>
      <c r="D11" s="1101"/>
      <c r="E11" s="1102"/>
      <c r="F11" s="1095" t="s">
        <v>306</v>
      </c>
      <c r="G11" s="1091" t="s">
        <v>307</v>
      </c>
      <c r="H11" s="1092"/>
      <c r="I11" s="1091" t="s">
        <v>308</v>
      </c>
      <c r="J11" s="1092"/>
      <c r="K11" s="1091" t="s">
        <v>309</v>
      </c>
      <c r="L11" s="1092"/>
      <c r="M11" s="1091" t="s">
        <v>310</v>
      </c>
      <c r="N11" s="1092"/>
      <c r="O11" s="1095" t="s">
        <v>311</v>
      </c>
      <c r="P11" s="1095" t="s">
        <v>312</v>
      </c>
    </row>
    <row r="12" spans="1:16" ht="72.75" customHeight="1" x14ac:dyDescent="0.35">
      <c r="A12" s="207" t="s">
        <v>313</v>
      </c>
      <c r="B12" s="1103" t="s">
        <v>314</v>
      </c>
      <c r="C12" s="1104"/>
      <c r="D12" s="1104"/>
      <c r="E12" s="1105"/>
      <c r="F12" s="1096"/>
      <c r="G12" s="1093"/>
      <c r="H12" s="1094"/>
      <c r="I12" s="1093"/>
      <c r="J12" s="1094"/>
      <c r="K12" s="1093"/>
      <c r="L12" s="1094"/>
      <c r="M12" s="1093"/>
      <c r="N12" s="1094"/>
      <c r="O12" s="1096"/>
      <c r="P12" s="1096"/>
    </row>
    <row r="13" spans="1:16" ht="15" thickBot="1" x14ac:dyDescent="0.4">
      <c r="A13" s="212">
        <v>3</v>
      </c>
      <c r="B13" s="1097" t="s">
        <v>315</v>
      </c>
      <c r="C13" s="1098"/>
      <c r="D13" s="1099"/>
      <c r="E13" s="208" t="s">
        <v>316</v>
      </c>
      <c r="F13" s="203">
        <v>0</v>
      </c>
      <c r="G13" s="1075" t="s">
        <v>317</v>
      </c>
      <c r="H13" s="1076"/>
      <c r="I13" s="1075" t="s">
        <v>318</v>
      </c>
      <c r="J13" s="1076"/>
      <c r="K13" s="1075" t="s">
        <v>319</v>
      </c>
      <c r="L13" s="1076"/>
      <c r="M13" s="1075" t="s">
        <v>320</v>
      </c>
      <c r="N13" s="1076"/>
      <c r="O13" s="203" t="s">
        <v>321</v>
      </c>
      <c r="P13" s="203" t="s">
        <v>322</v>
      </c>
    </row>
    <row r="14" spans="1:16" ht="20.5" thickBot="1" x14ac:dyDescent="0.4">
      <c r="A14" s="204" t="s">
        <v>323</v>
      </c>
      <c r="B14" s="1077" t="s">
        <v>324</v>
      </c>
      <c r="C14" s="1078"/>
      <c r="D14" s="1079"/>
      <c r="E14" s="208" t="s">
        <v>316</v>
      </c>
      <c r="F14" s="203">
        <v>0</v>
      </c>
      <c r="G14" s="1109" t="s">
        <v>325</v>
      </c>
      <c r="H14" s="1110"/>
      <c r="I14" s="1109" t="s">
        <v>326</v>
      </c>
      <c r="J14" s="1110"/>
      <c r="K14" s="1109" t="s">
        <v>321</v>
      </c>
      <c r="L14" s="1110"/>
      <c r="M14" s="1109" t="s">
        <v>327</v>
      </c>
      <c r="N14" s="1110"/>
      <c r="O14" s="203" t="s">
        <v>328</v>
      </c>
      <c r="P14" s="203" t="s">
        <v>329</v>
      </c>
    </row>
    <row r="15" spans="1:16" ht="14.5" x14ac:dyDescent="0.35">
      <c r="A15" s="206"/>
      <c r="B15" s="1089" t="s">
        <v>330</v>
      </c>
      <c r="C15" s="1106"/>
      <c r="D15" s="1090"/>
      <c r="E15" s="209" t="s">
        <v>316</v>
      </c>
      <c r="F15" s="210" t="s">
        <v>331</v>
      </c>
      <c r="G15" s="1107" t="s">
        <v>332</v>
      </c>
      <c r="H15" s="1108"/>
      <c r="I15" s="1107" t="s">
        <v>333</v>
      </c>
      <c r="J15" s="1108"/>
      <c r="K15" s="1107" t="s">
        <v>334</v>
      </c>
      <c r="L15" s="1108"/>
      <c r="M15" s="1107" t="s">
        <v>335</v>
      </c>
      <c r="N15" s="1108"/>
      <c r="O15" s="210" t="s">
        <v>336</v>
      </c>
      <c r="P15" s="210" t="s">
        <v>337</v>
      </c>
    </row>
    <row r="16" spans="1:16" ht="15" thickBot="1" x14ac:dyDescent="0.4">
      <c r="A16" s="212">
        <v>4</v>
      </c>
      <c r="B16" s="1097" t="s">
        <v>315</v>
      </c>
      <c r="C16" s="1098"/>
      <c r="D16" s="1099"/>
      <c r="E16" s="208" t="s">
        <v>338</v>
      </c>
      <c r="F16" s="203">
        <v>0</v>
      </c>
      <c r="G16" s="1075" t="s">
        <v>339</v>
      </c>
      <c r="H16" s="1076"/>
      <c r="I16" s="1075" t="s">
        <v>340</v>
      </c>
      <c r="J16" s="1076"/>
      <c r="K16" s="1075" t="s">
        <v>341</v>
      </c>
      <c r="L16" s="1076"/>
      <c r="M16" s="1075" t="s">
        <v>342</v>
      </c>
      <c r="N16" s="1076"/>
      <c r="O16" s="203" t="s">
        <v>343</v>
      </c>
      <c r="P16" s="203" t="s">
        <v>344</v>
      </c>
    </row>
    <row r="17" spans="1:16" ht="15" thickBot="1" x14ac:dyDescent="0.4">
      <c r="A17" s="204" t="s">
        <v>345</v>
      </c>
      <c r="B17" s="1077" t="s">
        <v>324</v>
      </c>
      <c r="C17" s="1078"/>
      <c r="D17" s="1079"/>
      <c r="E17" s="208" t="s">
        <v>338</v>
      </c>
      <c r="F17" s="203">
        <v>0</v>
      </c>
      <c r="G17" s="1109" t="s">
        <v>339</v>
      </c>
      <c r="H17" s="1110"/>
      <c r="I17" s="1109" t="s">
        <v>340</v>
      </c>
      <c r="J17" s="1110"/>
      <c r="K17" s="1109" t="s">
        <v>306</v>
      </c>
      <c r="L17" s="1110"/>
      <c r="M17" s="1109" t="s">
        <v>346</v>
      </c>
      <c r="N17" s="1110"/>
      <c r="O17" s="203" t="s">
        <v>347</v>
      </c>
      <c r="P17" s="203" t="s">
        <v>348</v>
      </c>
    </row>
    <row r="18" spans="1:16" ht="14.5" x14ac:dyDescent="0.35">
      <c r="A18" s="206"/>
      <c r="B18" s="1089" t="s">
        <v>330</v>
      </c>
      <c r="C18" s="1106"/>
      <c r="D18" s="1090"/>
      <c r="E18" s="209" t="s">
        <v>338</v>
      </c>
      <c r="F18" s="210">
        <v>0</v>
      </c>
      <c r="G18" s="1107" t="s">
        <v>346</v>
      </c>
      <c r="H18" s="1108"/>
      <c r="I18" s="1107" t="s">
        <v>349</v>
      </c>
      <c r="J18" s="1108"/>
      <c r="K18" s="1107" t="s">
        <v>350</v>
      </c>
      <c r="L18" s="1108"/>
      <c r="M18" s="1107" t="s">
        <v>351</v>
      </c>
      <c r="N18" s="1108"/>
      <c r="O18" s="210" t="s">
        <v>352</v>
      </c>
      <c r="P18" s="210" t="s">
        <v>353</v>
      </c>
    </row>
    <row r="19" spans="1:16" ht="15" thickBot="1" x14ac:dyDescent="0.4">
      <c r="A19" s="212">
        <v>5</v>
      </c>
      <c r="B19" s="1097" t="s">
        <v>298</v>
      </c>
      <c r="C19" s="1098"/>
      <c r="D19" s="1098"/>
      <c r="E19" s="1099"/>
      <c r="F19" s="1111" t="s">
        <v>354</v>
      </c>
      <c r="G19" s="1112"/>
      <c r="H19" s="1112"/>
      <c r="I19" s="1112"/>
      <c r="J19" s="1112"/>
      <c r="K19" s="1112"/>
      <c r="L19" s="1112"/>
      <c r="M19" s="1112"/>
      <c r="N19" s="1112"/>
      <c r="O19" s="1112"/>
      <c r="P19" s="1113"/>
    </row>
    <row r="20" spans="1:16" ht="37.5" customHeight="1" thickBot="1" x14ac:dyDescent="0.4">
      <c r="A20" s="204" t="s">
        <v>355</v>
      </c>
      <c r="B20" s="1077">
        <v>0</v>
      </c>
      <c r="C20" s="1079"/>
      <c r="D20" s="1077" t="s">
        <v>356</v>
      </c>
      <c r="E20" s="1079"/>
      <c r="F20" s="1083"/>
      <c r="G20" s="1084"/>
      <c r="H20" s="1084"/>
      <c r="I20" s="1084"/>
      <c r="J20" s="1084"/>
      <c r="K20" s="1084"/>
      <c r="L20" s="1084"/>
      <c r="M20" s="1084"/>
      <c r="N20" s="1084"/>
      <c r="O20" s="1084"/>
      <c r="P20" s="1085"/>
    </row>
    <row r="21" spans="1:16" ht="37.5" customHeight="1" thickBot="1" x14ac:dyDescent="0.4">
      <c r="A21" s="205"/>
      <c r="B21" s="1077">
        <v>1</v>
      </c>
      <c r="C21" s="1079"/>
      <c r="D21" s="1077" t="s">
        <v>357</v>
      </c>
      <c r="E21" s="1079"/>
      <c r="F21" s="1083"/>
      <c r="G21" s="1084"/>
      <c r="H21" s="1084"/>
      <c r="I21" s="1084"/>
      <c r="J21" s="1084"/>
      <c r="K21" s="1084"/>
      <c r="L21" s="1084"/>
      <c r="M21" s="1084"/>
      <c r="N21" s="1084"/>
      <c r="O21" s="1084"/>
      <c r="P21" s="1085"/>
    </row>
    <row r="22" spans="1:16" ht="37.5" customHeight="1" thickBot="1" x14ac:dyDescent="0.4">
      <c r="A22" s="205"/>
      <c r="B22" s="1077">
        <v>2</v>
      </c>
      <c r="C22" s="1079"/>
      <c r="D22" s="1077" t="s">
        <v>358</v>
      </c>
      <c r="E22" s="1079"/>
      <c r="F22" s="1083"/>
      <c r="G22" s="1084"/>
      <c r="H22" s="1084"/>
      <c r="I22" s="1084"/>
      <c r="J22" s="1084"/>
      <c r="K22" s="1084"/>
      <c r="L22" s="1084"/>
      <c r="M22" s="1084"/>
      <c r="N22" s="1084"/>
      <c r="O22" s="1084"/>
      <c r="P22" s="1085"/>
    </row>
    <row r="23" spans="1:16" ht="37.5" customHeight="1" x14ac:dyDescent="0.35">
      <c r="A23" s="206"/>
      <c r="B23" s="1089">
        <v>3</v>
      </c>
      <c r="C23" s="1090"/>
      <c r="D23" s="1089" t="s">
        <v>359</v>
      </c>
      <c r="E23" s="1090"/>
      <c r="F23" s="1086"/>
      <c r="G23" s="1087"/>
      <c r="H23" s="1087"/>
      <c r="I23" s="1087"/>
      <c r="J23" s="1087"/>
      <c r="K23" s="1087"/>
      <c r="L23" s="1087"/>
      <c r="M23" s="1087"/>
      <c r="N23" s="1087"/>
      <c r="O23" s="1087"/>
      <c r="P23" s="1088"/>
    </row>
    <row r="24" spans="1:16" ht="37.5" customHeight="1" x14ac:dyDescent="0.35">
      <c r="A24" s="212">
        <v>6</v>
      </c>
      <c r="B24" s="1100" t="s">
        <v>316</v>
      </c>
      <c r="C24" s="1101"/>
      <c r="D24" s="1101"/>
      <c r="E24" s="1102"/>
      <c r="F24" s="1095" t="s">
        <v>360</v>
      </c>
      <c r="G24" s="1091" t="s">
        <v>361</v>
      </c>
      <c r="H24" s="1092"/>
      <c r="I24" s="1091" t="s">
        <v>362</v>
      </c>
      <c r="J24" s="1092"/>
      <c r="K24" s="1091" t="s">
        <v>363</v>
      </c>
      <c r="L24" s="1092"/>
      <c r="M24" s="1091" t="s">
        <v>364</v>
      </c>
      <c r="N24" s="1092"/>
      <c r="O24" s="1095" t="s">
        <v>365</v>
      </c>
      <c r="P24" s="1095" t="s">
        <v>366</v>
      </c>
    </row>
    <row r="25" spans="1:16" ht="37.5" customHeight="1" x14ac:dyDescent="0.35">
      <c r="A25" s="207" t="s">
        <v>367</v>
      </c>
      <c r="B25" s="1103" t="s">
        <v>368</v>
      </c>
      <c r="C25" s="1104"/>
      <c r="D25" s="1104"/>
      <c r="E25" s="1105"/>
      <c r="F25" s="1096"/>
      <c r="G25" s="1093"/>
      <c r="H25" s="1094"/>
      <c r="I25" s="1093"/>
      <c r="J25" s="1094"/>
      <c r="K25" s="1093"/>
      <c r="L25" s="1094"/>
      <c r="M25" s="1093"/>
      <c r="N25" s="1094"/>
      <c r="O25" s="1096"/>
      <c r="P25" s="1096"/>
    </row>
    <row r="26" spans="1:16" ht="37.5" customHeight="1" x14ac:dyDescent="0.35">
      <c r="A26" s="212">
        <v>7</v>
      </c>
      <c r="B26" s="1100" t="s">
        <v>338</v>
      </c>
      <c r="C26" s="1101"/>
      <c r="D26" s="1101"/>
      <c r="E26" s="1102"/>
      <c r="F26" s="1095" t="s">
        <v>346</v>
      </c>
      <c r="G26" s="1091" t="s">
        <v>369</v>
      </c>
      <c r="H26" s="1092"/>
      <c r="I26" s="1091" t="s">
        <v>351</v>
      </c>
      <c r="J26" s="1092"/>
      <c r="K26" s="1091" t="s">
        <v>352</v>
      </c>
      <c r="L26" s="1092"/>
      <c r="M26" s="1091" t="s">
        <v>370</v>
      </c>
      <c r="N26" s="1092"/>
      <c r="O26" s="1095" t="s">
        <v>371</v>
      </c>
      <c r="P26" s="1095" t="s">
        <v>372</v>
      </c>
    </row>
    <row r="27" spans="1:16" ht="37.5" customHeight="1" x14ac:dyDescent="0.35">
      <c r="A27" s="207" t="s">
        <v>373</v>
      </c>
      <c r="B27" s="1103" t="s">
        <v>374</v>
      </c>
      <c r="C27" s="1104"/>
      <c r="D27" s="1104"/>
      <c r="E27" s="1105"/>
      <c r="F27" s="1096"/>
      <c r="G27" s="1093"/>
      <c r="H27" s="1094"/>
      <c r="I27" s="1093"/>
      <c r="J27" s="1094"/>
      <c r="K27" s="1093"/>
      <c r="L27" s="1094"/>
      <c r="M27" s="1093"/>
      <c r="N27" s="1094"/>
      <c r="O27" s="1096"/>
      <c r="P27" s="1096"/>
    </row>
    <row r="28" spans="1:16" ht="15" thickBot="1" x14ac:dyDescent="0.4">
      <c r="A28" s="212">
        <v>8</v>
      </c>
      <c r="B28" s="1097" t="s">
        <v>375</v>
      </c>
      <c r="C28" s="1098"/>
      <c r="D28" s="1098"/>
      <c r="E28" s="1099"/>
      <c r="F28" s="1111" t="s">
        <v>376</v>
      </c>
      <c r="G28" s="1112"/>
      <c r="H28" s="1112"/>
      <c r="I28" s="1112"/>
      <c r="J28" s="1112"/>
      <c r="K28" s="1112"/>
      <c r="L28" s="1112"/>
      <c r="M28" s="1112"/>
      <c r="N28" s="1112"/>
      <c r="O28" s="1112"/>
      <c r="P28" s="1113"/>
    </row>
    <row r="29" spans="1:16" ht="30.5" thickBot="1" x14ac:dyDescent="0.4">
      <c r="A29" s="204" t="s">
        <v>377</v>
      </c>
      <c r="B29" s="208">
        <v>0</v>
      </c>
      <c r="C29" s="1077" t="s">
        <v>378</v>
      </c>
      <c r="D29" s="1078"/>
      <c r="E29" s="1079"/>
      <c r="F29" s="1083"/>
      <c r="G29" s="1084"/>
      <c r="H29" s="1084"/>
      <c r="I29" s="1084"/>
      <c r="J29" s="1084"/>
      <c r="K29" s="1084"/>
      <c r="L29" s="1084"/>
      <c r="M29" s="1084"/>
      <c r="N29" s="1084"/>
      <c r="O29" s="1084"/>
      <c r="P29" s="1085"/>
    </row>
    <row r="30" spans="1:16" ht="15" thickBot="1" x14ac:dyDescent="0.4">
      <c r="A30" s="205"/>
      <c r="B30" s="208">
        <v>1</v>
      </c>
      <c r="C30" s="1077" t="s">
        <v>379</v>
      </c>
      <c r="D30" s="1078"/>
      <c r="E30" s="1079"/>
      <c r="F30" s="1083"/>
      <c r="G30" s="1084"/>
      <c r="H30" s="1084"/>
      <c r="I30" s="1084"/>
      <c r="J30" s="1084"/>
      <c r="K30" s="1084"/>
      <c r="L30" s="1084"/>
      <c r="M30" s="1084"/>
      <c r="N30" s="1084"/>
      <c r="O30" s="1084"/>
      <c r="P30" s="1085"/>
    </row>
    <row r="31" spans="1:16" ht="15" thickBot="1" x14ac:dyDescent="0.4">
      <c r="A31" s="205"/>
      <c r="B31" s="208">
        <v>2</v>
      </c>
      <c r="C31" s="1077" t="s">
        <v>380</v>
      </c>
      <c r="D31" s="1078"/>
      <c r="E31" s="1079"/>
      <c r="F31" s="1083"/>
      <c r="G31" s="1084"/>
      <c r="H31" s="1084"/>
      <c r="I31" s="1084"/>
      <c r="J31" s="1084"/>
      <c r="K31" s="1084"/>
      <c r="L31" s="1084"/>
      <c r="M31" s="1084"/>
      <c r="N31" s="1084"/>
      <c r="O31" s="1084"/>
      <c r="P31" s="1085"/>
    </row>
    <row r="32" spans="1:16" ht="14.5" x14ac:dyDescent="0.35">
      <c r="A32" s="206"/>
      <c r="B32" s="209">
        <v>3</v>
      </c>
      <c r="C32" s="1089" t="s">
        <v>381</v>
      </c>
      <c r="D32" s="1106"/>
      <c r="E32" s="1090"/>
      <c r="F32" s="1086"/>
      <c r="G32" s="1087"/>
      <c r="H32" s="1087"/>
      <c r="I32" s="1087"/>
      <c r="J32" s="1087"/>
      <c r="K32" s="1087"/>
      <c r="L32" s="1087"/>
      <c r="M32" s="1087"/>
      <c r="N32" s="1087"/>
      <c r="O32" s="1087"/>
      <c r="P32" s="1088"/>
    </row>
    <row r="33" spans="1:16" ht="14.5" x14ac:dyDescent="0.35">
      <c r="A33" s="212">
        <v>9</v>
      </c>
      <c r="B33" s="1100" t="s">
        <v>316</v>
      </c>
      <c r="C33" s="1101"/>
      <c r="D33" s="1101"/>
      <c r="E33" s="1102"/>
      <c r="F33" s="1091" t="s">
        <v>382</v>
      </c>
      <c r="G33" s="1092"/>
      <c r="H33" s="1095" t="s">
        <v>340</v>
      </c>
      <c r="I33" s="1095" t="s">
        <v>346</v>
      </c>
      <c r="J33" s="1091" t="s">
        <v>349</v>
      </c>
      <c r="K33" s="1092"/>
      <c r="L33" s="1091" t="s">
        <v>383</v>
      </c>
      <c r="M33" s="1092"/>
      <c r="N33" s="1091" t="s">
        <v>351</v>
      </c>
      <c r="O33" s="1092"/>
      <c r="P33" s="1095" t="s">
        <v>384</v>
      </c>
    </row>
    <row r="34" spans="1:16" ht="37.5" customHeight="1" thickBot="1" x14ac:dyDescent="0.4">
      <c r="A34" s="211" t="s">
        <v>385</v>
      </c>
      <c r="B34" s="1117" t="s">
        <v>386</v>
      </c>
      <c r="C34" s="1118"/>
      <c r="D34" s="1118"/>
      <c r="E34" s="1119"/>
      <c r="F34" s="1114"/>
      <c r="G34" s="1115"/>
      <c r="H34" s="1116"/>
      <c r="I34" s="1116"/>
      <c r="J34" s="1114"/>
      <c r="K34" s="1115"/>
      <c r="L34" s="1114"/>
      <c r="M34" s="1115"/>
      <c r="N34" s="1114"/>
      <c r="O34" s="1115"/>
      <c r="P34" s="1116"/>
    </row>
    <row r="38" spans="1:16" ht="37.5" customHeight="1" x14ac:dyDescent="0.35">
      <c r="A38" s="89" t="s">
        <v>640</v>
      </c>
    </row>
    <row r="40" spans="1:16" ht="37.5" customHeight="1" x14ac:dyDescent="0.35">
      <c r="A40" s="16" t="s">
        <v>169</v>
      </c>
      <c r="B40" s="16"/>
      <c r="C40" s="843">
        <v>2013</v>
      </c>
      <c r="D40" s="843">
        <v>2023</v>
      </c>
    </row>
    <row r="41" spans="1:16" ht="37.5" customHeight="1" x14ac:dyDescent="0.35">
      <c r="A41" t="s">
        <v>628</v>
      </c>
      <c r="B41" s="28" t="s">
        <v>220</v>
      </c>
      <c r="C41" s="704">
        <v>1.4095238447189331</v>
      </c>
      <c r="D41" s="545">
        <v>1.4095238447189331</v>
      </c>
    </row>
    <row r="42" spans="1:16" ht="37.5" customHeight="1" x14ac:dyDescent="0.35">
      <c r="A42" t="s">
        <v>104</v>
      </c>
      <c r="B42" s="28" t="s">
        <v>21</v>
      </c>
      <c r="C42" s="705">
        <v>1.422222375869751</v>
      </c>
      <c r="D42" s="545">
        <v>1.4222222222222223</v>
      </c>
    </row>
    <row r="43" spans="1:16" ht="37.5" customHeight="1" x14ac:dyDescent="0.35">
      <c r="A43" t="s">
        <v>110</v>
      </c>
      <c r="B43" s="28" t="s">
        <v>16</v>
      </c>
      <c r="C43" s="705">
        <v>1.6000000238418579</v>
      </c>
      <c r="D43" s="545">
        <v>1.6000000000000003</v>
      </c>
    </row>
    <row r="44" spans="1:16" ht="37.5" customHeight="1" x14ac:dyDescent="0.35">
      <c r="A44" t="s">
        <v>106</v>
      </c>
      <c r="B44" s="28" t="s">
        <v>29</v>
      </c>
      <c r="C44" s="705">
        <v>1.6253968477249146</v>
      </c>
      <c r="D44" s="545">
        <v>1.6253968253968256</v>
      </c>
    </row>
    <row r="45" spans="1:16" ht="37.5" customHeight="1" x14ac:dyDescent="0.35">
      <c r="A45" t="s">
        <v>101</v>
      </c>
      <c r="B45" s="28" t="s">
        <v>15</v>
      </c>
      <c r="C45" s="705">
        <v>1.6730159521102905</v>
      </c>
      <c r="D45" s="545">
        <v>1.6730158730158731</v>
      </c>
    </row>
    <row r="46" spans="1:16" ht="37.5" customHeight="1" x14ac:dyDescent="0.35">
      <c r="A46" t="s">
        <v>102</v>
      </c>
      <c r="B46" s="28" t="s">
        <v>18</v>
      </c>
      <c r="C46" s="705">
        <v>1.682539701461792</v>
      </c>
      <c r="D46" s="545">
        <v>1.6825396825396826</v>
      </c>
    </row>
    <row r="47" spans="1:16" ht="37.5" customHeight="1" x14ac:dyDescent="0.35">
      <c r="A47" t="s">
        <v>113</v>
      </c>
      <c r="B47" s="28" t="s">
        <v>25</v>
      </c>
      <c r="C47" s="705">
        <v>1.6952381134033203</v>
      </c>
      <c r="D47" s="545">
        <v>1.6952380952380952</v>
      </c>
    </row>
    <row r="48" spans="1:16" ht="37.5" customHeight="1" x14ac:dyDescent="0.35">
      <c r="A48" t="s">
        <v>99</v>
      </c>
      <c r="B48" s="28" t="s">
        <v>12</v>
      </c>
      <c r="C48" s="705">
        <v>1.8444444444444423</v>
      </c>
      <c r="D48" s="545">
        <v>1.8920634920634922</v>
      </c>
    </row>
    <row r="49" spans="1:4" ht="37.5" customHeight="1" x14ac:dyDescent="0.35">
      <c r="A49" t="s">
        <v>111</v>
      </c>
      <c r="B49" s="28" t="s">
        <v>20</v>
      </c>
      <c r="C49" s="705">
        <v>1.9047619104385376</v>
      </c>
      <c r="D49" s="545">
        <v>1.9047619047619049</v>
      </c>
    </row>
    <row r="50" spans="1:4" ht="37.5" customHeight="1" x14ac:dyDescent="0.35">
      <c r="A50" t="s">
        <v>107</v>
      </c>
      <c r="B50" s="28" t="s">
        <v>24</v>
      </c>
      <c r="C50" s="705">
        <v>1.9111111111111092</v>
      </c>
      <c r="D50" s="545">
        <v>1.9111111111111108</v>
      </c>
    </row>
    <row r="51" spans="1:4" ht="37.5" customHeight="1" x14ac:dyDescent="0.35">
      <c r="A51" t="s">
        <v>114</v>
      </c>
      <c r="B51" s="28" t="s">
        <v>14</v>
      </c>
      <c r="C51" s="705">
        <v>1.9349206686019897</v>
      </c>
      <c r="D51" s="545">
        <v>1.9349206349206352</v>
      </c>
    </row>
    <row r="52" spans="1:4" ht="37.5" customHeight="1" x14ac:dyDescent="0.35">
      <c r="A52" t="s">
        <v>112</v>
      </c>
      <c r="B52" s="28" t="s">
        <v>26</v>
      </c>
      <c r="C52" s="705">
        <v>1.9587302207946777</v>
      </c>
      <c r="D52" s="545">
        <v>1.9587301587301589</v>
      </c>
    </row>
    <row r="53" spans="1:4" ht="37.5" customHeight="1" x14ac:dyDescent="0.35">
      <c r="A53" t="s">
        <v>125</v>
      </c>
      <c r="B53" s="28" t="s">
        <v>125</v>
      </c>
      <c r="C53" s="705">
        <v>1.9800453846867296</v>
      </c>
      <c r="D53" s="545">
        <v>2.0060985797827904</v>
      </c>
    </row>
    <row r="54" spans="1:4" ht="37.5" customHeight="1" x14ac:dyDescent="0.35">
      <c r="A54" t="s">
        <v>105</v>
      </c>
      <c r="B54" s="28" t="s">
        <v>27</v>
      </c>
      <c r="C54" s="705">
        <v>2.0666666030883789</v>
      </c>
      <c r="D54" s="545">
        <v>2.0666666666666669</v>
      </c>
    </row>
    <row r="55" spans="1:4" ht="37.5" customHeight="1" x14ac:dyDescent="0.35">
      <c r="A55" t="s">
        <v>103</v>
      </c>
      <c r="B55" s="28" t="s">
        <v>17</v>
      </c>
      <c r="C55" s="705">
        <v>2.095238208770752</v>
      </c>
      <c r="D55" s="545">
        <v>2.0952380952380953</v>
      </c>
    </row>
    <row r="56" spans="1:4" ht="37.5" customHeight="1" x14ac:dyDescent="0.35">
      <c r="A56" t="s">
        <v>627</v>
      </c>
      <c r="B56" s="28" t="s">
        <v>246</v>
      </c>
      <c r="C56" s="705">
        <v>2.1031746864318848</v>
      </c>
      <c r="D56" s="545">
        <v>2.1031746864318848</v>
      </c>
    </row>
    <row r="57" spans="1:4" ht="37.5" customHeight="1" x14ac:dyDescent="0.35">
      <c r="A57" t="s">
        <v>97</v>
      </c>
      <c r="B57" s="28" t="s">
        <v>11</v>
      </c>
      <c r="C57" s="705">
        <v>2.1174602508544922</v>
      </c>
      <c r="D57" s="545">
        <v>2.1174603174603175</v>
      </c>
    </row>
    <row r="58" spans="1:4" ht="37.5" customHeight="1" x14ac:dyDescent="0.35">
      <c r="A58" t="s">
        <v>109</v>
      </c>
      <c r="B58" s="28" t="s">
        <v>19</v>
      </c>
      <c r="C58" s="705">
        <v>2.4285714626312256</v>
      </c>
      <c r="D58" s="545">
        <v>2.4285714285714284</v>
      </c>
    </row>
    <row r="59" spans="1:4" ht="37.5" customHeight="1" x14ac:dyDescent="0.35">
      <c r="A59" t="s">
        <v>100</v>
      </c>
      <c r="B59" s="28" t="s">
        <v>28</v>
      </c>
      <c r="C59" s="705">
        <v>2.5269841269841242</v>
      </c>
      <c r="D59" s="545">
        <v>2.5269841269841269</v>
      </c>
    </row>
    <row r="60" spans="1:4" ht="37.5" customHeight="1" x14ac:dyDescent="0.35">
      <c r="A60" t="s">
        <v>98</v>
      </c>
      <c r="B60" s="28" t="s">
        <v>13</v>
      </c>
      <c r="C60" s="705">
        <v>2.7095239162445068</v>
      </c>
      <c r="D60" s="545">
        <v>2.7095238095238092</v>
      </c>
    </row>
    <row r="61" spans="1:4" ht="37.5" customHeight="1" x14ac:dyDescent="0.35">
      <c r="A61" t="s">
        <v>115</v>
      </c>
      <c r="B61" s="28" t="s">
        <v>22</v>
      </c>
      <c r="C61" s="705">
        <v>3.5</v>
      </c>
      <c r="D61" s="545">
        <v>3.5</v>
      </c>
    </row>
  </sheetData>
  <mergeCells count="100">
    <mergeCell ref="L33:M34"/>
    <mergeCell ref="N33:O34"/>
    <mergeCell ref="P33:P34"/>
    <mergeCell ref="B33:E33"/>
    <mergeCell ref="B34:E34"/>
    <mergeCell ref="F33:G34"/>
    <mergeCell ref="H33:H34"/>
    <mergeCell ref="I33:I34"/>
    <mergeCell ref="J33:K34"/>
    <mergeCell ref="P26:P27"/>
    <mergeCell ref="B28:E28"/>
    <mergeCell ref="F28:P32"/>
    <mergeCell ref="C29:E29"/>
    <mergeCell ref="C30:E30"/>
    <mergeCell ref="C31:E31"/>
    <mergeCell ref="C32:E32"/>
    <mergeCell ref="O24:O25"/>
    <mergeCell ref="P24:P25"/>
    <mergeCell ref="B26:E26"/>
    <mergeCell ref="B27:E27"/>
    <mergeCell ref="F26:F27"/>
    <mergeCell ref="G26:H27"/>
    <mergeCell ref="I26:J27"/>
    <mergeCell ref="K26:L27"/>
    <mergeCell ref="M26:N27"/>
    <mergeCell ref="O26:O27"/>
    <mergeCell ref="B25:E25"/>
    <mergeCell ref="F24:F25"/>
    <mergeCell ref="G24:H25"/>
    <mergeCell ref="I24:J25"/>
    <mergeCell ref="K24:L25"/>
    <mergeCell ref="M24:N25"/>
    <mergeCell ref="B24:E24"/>
    <mergeCell ref="B18:D18"/>
    <mergeCell ref="G18:H18"/>
    <mergeCell ref="I18:J18"/>
    <mergeCell ref="K18:L18"/>
    <mergeCell ref="D21:E21"/>
    <mergeCell ref="B22:C22"/>
    <mergeCell ref="D22:E22"/>
    <mergeCell ref="B23:C23"/>
    <mergeCell ref="D23:E23"/>
    <mergeCell ref="M18:N18"/>
    <mergeCell ref="B19:E19"/>
    <mergeCell ref="F19:P23"/>
    <mergeCell ref="B20:C20"/>
    <mergeCell ref="D20:E20"/>
    <mergeCell ref="B21:C21"/>
    <mergeCell ref="B16:D16"/>
    <mergeCell ref="G16:H16"/>
    <mergeCell ref="I16:J16"/>
    <mergeCell ref="K16:L16"/>
    <mergeCell ref="M16:N16"/>
    <mergeCell ref="B17:D17"/>
    <mergeCell ref="G17:H17"/>
    <mergeCell ref="I17:J17"/>
    <mergeCell ref="K17:L17"/>
    <mergeCell ref="M17:N17"/>
    <mergeCell ref="B14:D14"/>
    <mergeCell ref="G14:H14"/>
    <mergeCell ref="I14:J14"/>
    <mergeCell ref="K14:L14"/>
    <mergeCell ref="M14:N14"/>
    <mergeCell ref="B15:D15"/>
    <mergeCell ref="G15:H15"/>
    <mergeCell ref="I15:J15"/>
    <mergeCell ref="K15:L15"/>
    <mergeCell ref="M15:N15"/>
    <mergeCell ref="M11:N12"/>
    <mergeCell ref="O11:O12"/>
    <mergeCell ref="P11:P12"/>
    <mergeCell ref="B13:D13"/>
    <mergeCell ref="G13:H13"/>
    <mergeCell ref="I13:J13"/>
    <mergeCell ref="K13:L13"/>
    <mergeCell ref="M13:N13"/>
    <mergeCell ref="B11:E11"/>
    <mergeCell ref="B12:E12"/>
    <mergeCell ref="F11:F12"/>
    <mergeCell ref="G11:H12"/>
    <mergeCell ref="I11:J12"/>
    <mergeCell ref="K11:L12"/>
    <mergeCell ref="B6:E6"/>
    <mergeCell ref="F6:P10"/>
    <mergeCell ref="B7:C7"/>
    <mergeCell ref="D7:E7"/>
    <mergeCell ref="B8:C8"/>
    <mergeCell ref="D8:E8"/>
    <mergeCell ref="B9:C9"/>
    <mergeCell ref="D9:E9"/>
    <mergeCell ref="B10:C10"/>
    <mergeCell ref="D10:E10"/>
    <mergeCell ref="A3:A5"/>
    <mergeCell ref="B3:E5"/>
    <mergeCell ref="F3:P3"/>
    <mergeCell ref="F4:P4"/>
    <mergeCell ref="G5:H5"/>
    <mergeCell ref="I5:J5"/>
    <mergeCell ref="K5:L5"/>
    <mergeCell ref="M5:N5"/>
  </mergeCells>
  <pageMargins left="0.7" right="0.7" top="0.75" bottom="0.75" header="0.3" footer="0.3"/>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5782D5-AF52-443D-9BDD-EE6967957005}">
  <dimension ref="A1:C12"/>
  <sheetViews>
    <sheetView workbookViewId="0">
      <selection activeCell="A13" sqref="A13:XFD13"/>
    </sheetView>
  </sheetViews>
  <sheetFormatPr defaultRowHeight="14.5" x14ac:dyDescent="0.35"/>
  <cols>
    <col min="1" max="1" width="18.26953125" customWidth="1"/>
    <col min="2" max="2" width="17.6328125" customWidth="1"/>
    <col min="3" max="3" width="40.54296875" customWidth="1"/>
  </cols>
  <sheetData>
    <row r="1" spans="1:3" ht="15.5" thickBot="1" x14ac:dyDescent="0.4">
      <c r="A1" s="89" t="s">
        <v>527</v>
      </c>
    </row>
    <row r="2" spans="1:3" ht="29.25" customHeight="1" thickBot="1" x14ac:dyDescent="0.4">
      <c r="A2" s="798" t="s">
        <v>545</v>
      </c>
      <c r="B2" s="799" t="s">
        <v>169</v>
      </c>
      <c r="C2" s="799" t="s">
        <v>514</v>
      </c>
    </row>
    <row r="3" spans="1:3" ht="43" customHeight="1" thickBot="1" x14ac:dyDescent="0.4">
      <c r="A3" s="800" t="s">
        <v>515</v>
      </c>
      <c r="B3" s="801" t="s">
        <v>482</v>
      </c>
      <c r="C3" s="803" t="s">
        <v>516</v>
      </c>
    </row>
    <row r="4" spans="1:3" ht="43" customHeight="1" thickBot="1" x14ac:dyDescent="0.4">
      <c r="A4" s="800" t="s">
        <v>515</v>
      </c>
      <c r="B4" s="801" t="s">
        <v>105</v>
      </c>
      <c r="C4" s="803" t="s">
        <v>517</v>
      </c>
    </row>
    <row r="5" spans="1:3" ht="43" customHeight="1" thickBot="1" x14ac:dyDescent="0.4">
      <c r="A5" s="800" t="s">
        <v>518</v>
      </c>
      <c r="B5" s="802" t="s">
        <v>97</v>
      </c>
      <c r="C5" s="803" t="s">
        <v>519</v>
      </c>
    </row>
    <row r="6" spans="1:3" ht="43" customHeight="1" thickBot="1" x14ac:dyDescent="0.4">
      <c r="A6" s="800" t="s">
        <v>518</v>
      </c>
      <c r="B6" s="802" t="s">
        <v>103</v>
      </c>
      <c r="C6" s="803" t="s">
        <v>546</v>
      </c>
    </row>
    <row r="7" spans="1:3" ht="43" customHeight="1" thickBot="1" x14ac:dyDescent="0.4">
      <c r="A7" s="800" t="s">
        <v>518</v>
      </c>
      <c r="B7" s="801" t="s">
        <v>113</v>
      </c>
      <c r="C7" s="803" t="s">
        <v>520</v>
      </c>
    </row>
    <row r="8" spans="1:3" ht="43" customHeight="1" thickBot="1" x14ac:dyDescent="0.4">
      <c r="A8" s="800" t="s">
        <v>518</v>
      </c>
      <c r="B8" s="801" t="s">
        <v>105</v>
      </c>
      <c r="C8" s="803" t="s">
        <v>521</v>
      </c>
    </row>
    <row r="9" spans="1:3" ht="43" customHeight="1" thickBot="1" x14ac:dyDescent="0.4">
      <c r="A9" s="800" t="s">
        <v>518</v>
      </c>
      <c r="B9" s="801" t="s">
        <v>122</v>
      </c>
      <c r="C9" s="803" t="s">
        <v>522</v>
      </c>
    </row>
    <row r="10" spans="1:3" ht="43" customHeight="1" thickBot="1" x14ac:dyDescent="0.4">
      <c r="A10" s="800" t="s">
        <v>518</v>
      </c>
      <c r="B10" s="801" t="s">
        <v>111</v>
      </c>
      <c r="C10" s="803" t="s">
        <v>523</v>
      </c>
    </row>
    <row r="11" spans="1:3" ht="43" customHeight="1" thickBot="1" x14ac:dyDescent="0.4">
      <c r="A11" s="800" t="s">
        <v>518</v>
      </c>
      <c r="B11" s="801" t="s">
        <v>114</v>
      </c>
      <c r="C11" s="803" t="s">
        <v>524</v>
      </c>
    </row>
    <row r="12" spans="1:3" ht="43" customHeight="1" thickBot="1" x14ac:dyDescent="0.4">
      <c r="A12" s="800" t="s">
        <v>525</v>
      </c>
      <c r="B12" s="801" t="s">
        <v>110</v>
      </c>
      <c r="C12" s="803" t="s">
        <v>526</v>
      </c>
    </row>
  </sheetData>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pageSetUpPr fitToPage="1"/>
  </sheetPr>
  <dimension ref="A1:I25"/>
  <sheetViews>
    <sheetView showGridLines="0" topLeftCell="B1" zoomScaleNormal="100" workbookViewId="0">
      <selection activeCell="G11" sqref="G11"/>
    </sheetView>
  </sheetViews>
  <sheetFormatPr defaultColWidth="9.1796875" defaultRowHeight="14" x14ac:dyDescent="0.3"/>
  <cols>
    <col min="1" max="1" width="0" style="96" hidden="1" customWidth="1"/>
    <col min="2" max="2" width="15.54296875" style="98" customWidth="1"/>
    <col min="3" max="3" width="12.81640625" style="98" customWidth="1"/>
    <col min="4" max="4" width="12.81640625" style="98" hidden="1" customWidth="1"/>
    <col min="5" max="8" width="18.1796875" style="98" customWidth="1"/>
    <col min="9" max="9" width="65.54296875" style="96" customWidth="1"/>
    <col min="10" max="16384" width="9.1796875" style="96"/>
  </cols>
  <sheetData>
    <row r="1" spans="1:9" x14ac:dyDescent="0.3">
      <c r="B1" s="169" t="s">
        <v>547</v>
      </c>
    </row>
    <row r="3" spans="1:9" x14ac:dyDescent="0.3">
      <c r="B3" s="1121" t="s">
        <v>169</v>
      </c>
      <c r="C3" s="1121" t="s">
        <v>388</v>
      </c>
      <c r="D3" s="691"/>
      <c r="E3" s="1123">
        <v>2023</v>
      </c>
      <c r="F3" s="1123"/>
      <c r="G3" s="1123">
        <v>2025</v>
      </c>
      <c r="H3" s="1123"/>
      <c r="I3" s="1121" t="s">
        <v>390</v>
      </c>
    </row>
    <row r="4" spans="1:9" ht="26" x14ac:dyDescent="0.3">
      <c r="A4" s="96" t="s">
        <v>387</v>
      </c>
      <c r="B4" s="1122"/>
      <c r="C4" s="1122"/>
      <c r="D4" s="693" t="s">
        <v>389</v>
      </c>
      <c r="E4" s="692" t="s">
        <v>512</v>
      </c>
      <c r="F4" s="692" t="s">
        <v>513</v>
      </c>
      <c r="G4" s="692" t="s">
        <v>512</v>
      </c>
      <c r="H4" s="692" t="s">
        <v>513</v>
      </c>
      <c r="I4" s="1122"/>
    </row>
    <row r="5" spans="1:9" x14ac:dyDescent="0.3">
      <c r="A5" s="96" t="s">
        <v>11</v>
      </c>
      <c r="B5" s="694" t="s">
        <v>97</v>
      </c>
      <c r="C5" s="695" t="s">
        <v>391</v>
      </c>
      <c r="D5" s="696">
        <v>139.72187036566601</v>
      </c>
      <c r="E5" s="697">
        <v>128333.33333333299</v>
      </c>
      <c r="F5" s="804">
        <v>11021.896543251698</v>
      </c>
      <c r="G5" s="697">
        <v>317800</v>
      </c>
      <c r="H5" s="697">
        <v>9078.350215329363</v>
      </c>
      <c r="I5" s="698" t="s">
        <v>392</v>
      </c>
    </row>
    <row r="6" spans="1:9" x14ac:dyDescent="0.3">
      <c r="A6" s="96" t="s">
        <v>13</v>
      </c>
      <c r="B6" s="699" t="s">
        <v>98</v>
      </c>
      <c r="C6" s="696" t="s">
        <v>391</v>
      </c>
      <c r="D6" s="696">
        <v>2.3314927170917001</v>
      </c>
      <c r="E6" s="697">
        <v>2361.9999999999995</v>
      </c>
      <c r="F6" s="804">
        <v>12157.018459554209</v>
      </c>
      <c r="G6" s="697">
        <v>2750</v>
      </c>
      <c r="H6" s="697">
        <v>13355.708746254135</v>
      </c>
      <c r="I6" s="700" t="s">
        <v>393</v>
      </c>
    </row>
    <row r="7" spans="1:9" x14ac:dyDescent="0.3">
      <c r="A7" s="96" t="s">
        <v>12</v>
      </c>
      <c r="B7" s="699" t="s">
        <v>99</v>
      </c>
      <c r="C7" s="696" t="s">
        <v>391</v>
      </c>
      <c r="D7" s="696">
        <v>2.4476085011358499</v>
      </c>
      <c r="E7" s="697">
        <v>1320</v>
      </c>
      <c r="F7" s="804">
        <v>6471.6232161512789</v>
      </c>
      <c r="G7" s="697">
        <v>1518</v>
      </c>
      <c r="H7" s="697">
        <v>7343.4260744540152</v>
      </c>
      <c r="I7" s="700" t="s">
        <v>393</v>
      </c>
    </row>
    <row r="8" spans="1:9" x14ac:dyDescent="0.3">
      <c r="A8" s="96" t="s">
        <v>28</v>
      </c>
      <c r="B8" s="699" t="s">
        <v>100</v>
      </c>
      <c r="C8" s="696" t="s">
        <v>391</v>
      </c>
      <c r="D8" s="696">
        <v>437.09888599999999</v>
      </c>
      <c r="E8" s="697">
        <v>460000.00000000006</v>
      </c>
      <c r="F8" s="804">
        <v>12628.721272924957</v>
      </c>
      <c r="G8" s="697">
        <v>529000</v>
      </c>
      <c r="H8" s="697">
        <v>13945.367235648782</v>
      </c>
      <c r="I8" s="700" t="s">
        <v>394</v>
      </c>
    </row>
    <row r="9" spans="1:9" x14ac:dyDescent="0.3">
      <c r="A9" s="96" t="s">
        <v>15</v>
      </c>
      <c r="B9" s="699" t="s">
        <v>101</v>
      </c>
      <c r="C9" s="696" t="s">
        <v>395</v>
      </c>
      <c r="D9" s="696">
        <v>1445.979656</v>
      </c>
      <c r="E9" s="697">
        <v>1160000.0000000002</v>
      </c>
      <c r="F9" s="804">
        <v>9626.691456024193</v>
      </c>
      <c r="G9" s="697">
        <v>1423499.9999999998</v>
      </c>
      <c r="H9" s="697">
        <v>11386.897133465034</v>
      </c>
      <c r="I9" s="700" t="s">
        <v>396</v>
      </c>
    </row>
    <row r="10" spans="1:9" ht="39" x14ac:dyDescent="0.3">
      <c r="A10" s="96" t="s">
        <v>18</v>
      </c>
      <c r="B10" s="699" t="s">
        <v>102</v>
      </c>
      <c r="C10" s="696" t="s">
        <v>391</v>
      </c>
      <c r="D10" s="696">
        <v>328.30903499999999</v>
      </c>
      <c r="E10" s="697">
        <v>396497.92999999993</v>
      </c>
      <c r="F10" s="804">
        <v>14492.367412307125</v>
      </c>
      <c r="G10" s="697">
        <v>414183.11499999993</v>
      </c>
      <c r="H10" s="697">
        <v>15605.982157739201</v>
      </c>
      <c r="I10" s="700" t="s">
        <v>397</v>
      </c>
    </row>
    <row r="11" spans="1:9" ht="26" x14ac:dyDescent="0.3">
      <c r="A11" s="96" t="s">
        <v>26</v>
      </c>
      <c r="B11" s="699" t="s">
        <v>398</v>
      </c>
      <c r="C11" s="696" t="s">
        <v>399</v>
      </c>
      <c r="D11" s="696">
        <v>23.102980647857201</v>
      </c>
      <c r="E11" s="697">
        <v>18702</v>
      </c>
      <c r="F11" s="804">
        <v>9714.0712456431593</v>
      </c>
      <c r="G11" s="697">
        <v>21674.799999999996</v>
      </c>
      <c r="H11" s="697">
        <v>11057.861174308968</v>
      </c>
      <c r="I11" s="700" t="s">
        <v>400</v>
      </c>
    </row>
    <row r="12" spans="1:9" x14ac:dyDescent="0.3">
      <c r="A12" s="96" t="s">
        <v>17</v>
      </c>
      <c r="B12" s="699" t="s">
        <v>103</v>
      </c>
      <c r="C12" s="696" t="s">
        <v>391</v>
      </c>
      <c r="D12" s="696">
        <v>0.42327107369702999</v>
      </c>
      <c r="E12" s="697">
        <v>449.99999999999994</v>
      </c>
      <c r="F12" s="804">
        <v>12757.781798869688</v>
      </c>
      <c r="G12" s="697">
        <v>470</v>
      </c>
      <c r="H12" s="697">
        <v>12995.335139255167</v>
      </c>
      <c r="I12" s="700" t="s">
        <v>393</v>
      </c>
    </row>
    <row r="13" spans="1:9" x14ac:dyDescent="0.3">
      <c r="A13" s="96" t="s">
        <v>25</v>
      </c>
      <c r="B13" s="699" t="s">
        <v>113</v>
      </c>
      <c r="C13" s="696" t="s">
        <v>395</v>
      </c>
      <c r="D13" s="696">
        <v>0.42315646387880601</v>
      </c>
      <c r="E13" s="697">
        <v>323.20000000000005</v>
      </c>
      <c r="F13" s="804">
        <v>9165.4041260510967</v>
      </c>
      <c r="G13" s="697">
        <v>375.74133333333333</v>
      </c>
      <c r="H13" s="697">
        <v>10718.596115073904</v>
      </c>
      <c r="I13" s="700" t="s">
        <v>401</v>
      </c>
    </row>
    <row r="14" spans="1:9" ht="26" x14ac:dyDescent="0.3">
      <c r="A14" s="96" t="s">
        <v>21</v>
      </c>
      <c r="B14" s="699" t="s">
        <v>402</v>
      </c>
      <c r="C14" s="696" t="s">
        <v>395</v>
      </c>
      <c r="D14" s="696">
        <v>3.2810392541797002</v>
      </c>
      <c r="E14" s="697">
        <v>3294.5055555555555</v>
      </c>
      <c r="F14" s="804">
        <v>12049.251351170033</v>
      </c>
      <c r="G14" s="697">
        <v>3278.59</v>
      </c>
      <c r="H14" s="697">
        <v>11847.529159172202</v>
      </c>
      <c r="I14" s="700" t="s">
        <v>403</v>
      </c>
    </row>
    <row r="15" spans="1:9" ht="52" x14ac:dyDescent="0.3">
      <c r="A15" s="96" t="s">
        <v>27</v>
      </c>
      <c r="B15" s="699" t="s">
        <v>105</v>
      </c>
      <c r="C15" s="696" t="s">
        <v>391</v>
      </c>
      <c r="D15" s="696">
        <v>11.0611622619102</v>
      </c>
      <c r="E15" s="697">
        <v>12560.699999999999</v>
      </c>
      <c r="F15" s="804">
        <v>13626.813930670072</v>
      </c>
      <c r="G15" s="697">
        <v>14197.892954545452</v>
      </c>
      <c r="H15" s="697">
        <v>15009.784858199</v>
      </c>
      <c r="I15" s="700" t="s">
        <v>404</v>
      </c>
    </row>
    <row r="16" spans="1:9" x14ac:dyDescent="0.3">
      <c r="A16" s="96" t="s">
        <v>29</v>
      </c>
      <c r="B16" s="699" t="s">
        <v>405</v>
      </c>
      <c r="C16" s="696" t="s">
        <v>406</v>
      </c>
      <c r="D16" s="696">
        <v>91.951372038819699</v>
      </c>
      <c r="E16" s="697">
        <v>55900</v>
      </c>
      <c r="F16" s="804">
        <v>7295.1603127444805</v>
      </c>
      <c r="G16" s="697">
        <v>69279.999999999985</v>
      </c>
      <c r="H16" s="697">
        <v>8828.909550203949</v>
      </c>
      <c r="I16" s="700" t="s">
        <v>407</v>
      </c>
    </row>
    <row r="17" spans="1:9" ht="26" hidden="1" x14ac:dyDescent="0.3">
      <c r="A17" s="96" t="s">
        <v>24</v>
      </c>
      <c r="B17" s="699" t="s">
        <v>121</v>
      </c>
      <c r="C17" s="696" t="s">
        <v>395</v>
      </c>
      <c r="D17" s="696">
        <v>9.8788359999999997</v>
      </c>
      <c r="E17" s="697">
        <v>6310</v>
      </c>
      <c r="F17" s="804">
        <v>7664.8706386056001</v>
      </c>
      <c r="G17" s="697">
        <v>8384</v>
      </c>
      <c r="H17" s="697">
        <v>9972.3581472990481</v>
      </c>
      <c r="I17" s="700" t="s">
        <v>408</v>
      </c>
    </row>
    <row r="18" spans="1:9" ht="26" hidden="1" x14ac:dyDescent="0.3">
      <c r="A18" s="96" t="s">
        <v>23</v>
      </c>
      <c r="B18" s="699" t="s">
        <v>409</v>
      </c>
      <c r="C18" s="696" t="s">
        <v>391</v>
      </c>
      <c r="D18" s="696">
        <v>11.46</v>
      </c>
      <c r="E18" s="697">
        <v>1460.77223127705</v>
      </c>
      <c r="F18" s="804">
        <v>1529.6044306565966</v>
      </c>
      <c r="G18" s="697">
        <v>8221.73</v>
      </c>
      <c r="H18" s="697">
        <v>8609.141361256543</v>
      </c>
      <c r="I18" s="700" t="s">
        <v>410</v>
      </c>
    </row>
    <row r="19" spans="1:9" ht="39" hidden="1" x14ac:dyDescent="0.3">
      <c r="A19" s="96" t="s">
        <v>19</v>
      </c>
      <c r="B19" s="699" t="s">
        <v>109</v>
      </c>
      <c r="C19" s="696" t="s">
        <v>411</v>
      </c>
      <c r="D19" s="696">
        <v>0.46946851638315801</v>
      </c>
      <c r="E19" s="697">
        <v>606.96</v>
      </c>
      <c r="F19" s="804">
        <v>15514.394993115015</v>
      </c>
      <c r="G19" s="697">
        <v>636.79999999999995</v>
      </c>
      <c r="H19" s="697">
        <v>16562.900105867291</v>
      </c>
      <c r="I19" s="700" t="s">
        <v>412</v>
      </c>
    </row>
    <row r="20" spans="1:9" x14ac:dyDescent="0.3">
      <c r="A20" s="96" t="s">
        <v>20</v>
      </c>
      <c r="B20" s="699" t="s">
        <v>111</v>
      </c>
      <c r="C20" s="696" t="s">
        <v>391</v>
      </c>
      <c r="D20" s="696">
        <v>2614.35542686907</v>
      </c>
      <c r="E20" s="697">
        <v>2680373</v>
      </c>
      <c r="F20" s="804">
        <v>12303.023402797189</v>
      </c>
      <c r="G20" s="697">
        <v>2899048</v>
      </c>
      <c r="H20" s="697">
        <v>13284.86055977336</v>
      </c>
      <c r="I20" s="700" t="s">
        <v>393</v>
      </c>
    </row>
    <row r="21" spans="1:9" x14ac:dyDescent="0.3">
      <c r="A21" s="96" t="s">
        <v>16</v>
      </c>
      <c r="B21" s="699" t="s">
        <v>110</v>
      </c>
      <c r="C21" s="696" t="s">
        <v>391</v>
      </c>
      <c r="D21" s="696">
        <v>1.73588788714955</v>
      </c>
      <c r="E21" s="697">
        <v>1025</v>
      </c>
      <c r="F21" s="804">
        <v>7085.7110594840688</v>
      </c>
      <c r="G21" s="697">
        <v>1130</v>
      </c>
      <c r="H21" s="697">
        <v>7608.13507512861</v>
      </c>
      <c r="I21" s="700" t="s">
        <v>393</v>
      </c>
    </row>
    <row r="22" spans="1:9" x14ac:dyDescent="0.3">
      <c r="A22" s="96" t="s">
        <v>31</v>
      </c>
      <c r="B22" s="699" t="s">
        <v>116</v>
      </c>
      <c r="C22" s="696" t="s">
        <v>391</v>
      </c>
      <c r="D22" s="696">
        <v>3.6342715294039798</v>
      </c>
      <c r="E22" s="697">
        <v>3010.0000000000005</v>
      </c>
      <c r="F22" s="804">
        <v>9938.7180368230984</v>
      </c>
      <c r="G22" s="697">
        <v>3526</v>
      </c>
      <c r="H22" s="697">
        <v>11691.941682481953</v>
      </c>
      <c r="I22" s="700" t="s">
        <v>393</v>
      </c>
    </row>
    <row r="23" spans="1:9" x14ac:dyDescent="0.3">
      <c r="A23" s="96" t="s">
        <v>14</v>
      </c>
      <c r="B23" s="699" t="s">
        <v>114</v>
      </c>
      <c r="C23" s="696" t="s">
        <v>391</v>
      </c>
      <c r="D23" s="696">
        <v>25.926311753506798</v>
      </c>
      <c r="E23" s="697">
        <v>21107</v>
      </c>
      <c r="F23" s="804">
        <v>9769.3803271396955</v>
      </c>
      <c r="G23" s="697">
        <v>23640</v>
      </c>
      <c r="H23" s="697">
        <v>10746.397372806747</v>
      </c>
      <c r="I23" s="700" t="s">
        <v>393</v>
      </c>
    </row>
    <row r="24" spans="1:9" s="805" customFormat="1" ht="39" x14ac:dyDescent="0.3">
      <c r="A24" s="805" t="s">
        <v>22</v>
      </c>
      <c r="B24" s="701" t="s">
        <v>115</v>
      </c>
      <c r="C24" s="702" t="s">
        <v>391</v>
      </c>
      <c r="D24" s="702">
        <v>13.786</v>
      </c>
      <c r="E24" s="806">
        <v>130</v>
      </c>
      <c r="F24" s="807">
        <v>113.1582765124039</v>
      </c>
      <c r="G24" s="806">
        <v>130</v>
      </c>
      <c r="H24" s="806">
        <v>113.1582765124039</v>
      </c>
      <c r="I24" s="703" t="s">
        <v>413</v>
      </c>
    </row>
    <row r="25" spans="1:9" s="171" customFormat="1" ht="50.25" customHeight="1" x14ac:dyDescent="0.3">
      <c r="B25" s="1120" t="s">
        <v>414</v>
      </c>
      <c r="C25" s="1120"/>
      <c r="D25" s="1120"/>
      <c r="E25" s="1120"/>
      <c r="F25" s="1120"/>
      <c r="G25" s="1120"/>
      <c r="H25" s="1120"/>
      <c r="I25" s="1120"/>
    </row>
  </sheetData>
  <mergeCells count="6">
    <mergeCell ref="B25:I25"/>
    <mergeCell ref="B3:B4"/>
    <mergeCell ref="C3:C4"/>
    <mergeCell ref="E3:F3"/>
    <mergeCell ref="G3:H3"/>
    <mergeCell ref="I3:I4"/>
  </mergeCells>
  <pageMargins left="0.7" right="0.7" top="0.75" bottom="0.75" header="0.3" footer="0.3"/>
  <pageSetup scale="40" orientation="landscape"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A24A6A-44DD-45AD-AC83-293B2570A7C8}">
  <dimension ref="A1:C63"/>
  <sheetViews>
    <sheetView workbookViewId="0">
      <selection activeCell="B13" sqref="A13:XFD13"/>
    </sheetView>
  </sheetViews>
  <sheetFormatPr defaultRowHeight="14.5" x14ac:dyDescent="0.35"/>
  <cols>
    <col min="1" max="1" width="11.81640625" customWidth="1"/>
    <col min="2" max="2" width="17.6328125" customWidth="1"/>
    <col min="3" max="3" width="34.1796875" customWidth="1"/>
  </cols>
  <sheetData>
    <row r="1" spans="1:3" ht="15" x14ac:dyDescent="0.35">
      <c r="A1" s="58" t="s">
        <v>618</v>
      </c>
    </row>
    <row r="2" spans="1:3" ht="15" thickBot="1" x14ac:dyDescent="0.4"/>
    <row r="3" spans="1:3" ht="15" thickBot="1" x14ac:dyDescent="0.4">
      <c r="A3" s="808" t="s">
        <v>548</v>
      </c>
      <c r="B3" s="809" t="s">
        <v>422</v>
      </c>
      <c r="C3" s="809" t="s">
        <v>423</v>
      </c>
    </row>
    <row r="4" spans="1:3" x14ac:dyDescent="0.35">
      <c r="A4" s="1124" t="s">
        <v>97</v>
      </c>
      <c r="B4" s="1127"/>
      <c r="C4" s="814" t="s">
        <v>434</v>
      </c>
    </row>
    <row r="5" spans="1:3" x14ac:dyDescent="0.35">
      <c r="A5" s="1125"/>
      <c r="B5" s="1129"/>
      <c r="C5" s="814" t="s">
        <v>549</v>
      </c>
    </row>
    <row r="6" spans="1:3" ht="15" thickBot="1" x14ac:dyDescent="0.4">
      <c r="A6" s="1126"/>
      <c r="B6" s="1128"/>
      <c r="C6" s="813" t="s">
        <v>550</v>
      </c>
    </row>
    <row r="7" spans="1:3" ht="15" thickBot="1" x14ac:dyDescent="0.4">
      <c r="A7" s="811" t="s">
        <v>98</v>
      </c>
      <c r="B7" s="812"/>
      <c r="C7" s="813" t="s">
        <v>551</v>
      </c>
    </row>
    <row r="8" spans="1:3" x14ac:dyDescent="0.35">
      <c r="A8" s="1124" t="s">
        <v>99</v>
      </c>
      <c r="B8" s="1127"/>
      <c r="C8" s="814" t="s">
        <v>552</v>
      </c>
    </row>
    <row r="9" spans="1:3" x14ac:dyDescent="0.35">
      <c r="A9" s="1125"/>
      <c r="B9" s="1129"/>
      <c r="C9" s="814" t="s">
        <v>553</v>
      </c>
    </row>
    <row r="10" spans="1:3" x14ac:dyDescent="0.35">
      <c r="A10" s="1125"/>
      <c r="B10" s="1129"/>
      <c r="C10" s="814" t="s">
        <v>554</v>
      </c>
    </row>
    <row r="11" spans="1:3" x14ac:dyDescent="0.35">
      <c r="A11" s="1125"/>
      <c r="B11" s="1129"/>
      <c r="C11" s="814" t="s">
        <v>555</v>
      </c>
    </row>
    <row r="12" spans="1:3" ht="15" thickBot="1" x14ac:dyDescent="0.4">
      <c r="A12" s="1126"/>
      <c r="B12" s="1128"/>
      <c r="C12" s="813" t="s">
        <v>556</v>
      </c>
    </row>
    <row r="13" spans="1:3" ht="26" x14ac:dyDescent="0.35">
      <c r="A13" s="1124" t="s">
        <v>100</v>
      </c>
      <c r="B13" s="810" t="s">
        <v>557</v>
      </c>
      <c r="C13" s="814" t="s">
        <v>559</v>
      </c>
    </row>
    <row r="14" spans="1:3" ht="26" x14ac:dyDescent="0.35">
      <c r="A14" s="1125"/>
      <c r="B14" s="810" t="s">
        <v>558</v>
      </c>
      <c r="C14" s="814" t="s">
        <v>560</v>
      </c>
    </row>
    <row r="15" spans="1:3" ht="15" thickBot="1" x14ac:dyDescent="0.4">
      <c r="A15" s="1126"/>
      <c r="B15" s="686"/>
      <c r="C15" s="813" t="s">
        <v>561</v>
      </c>
    </row>
    <row r="16" spans="1:3" x14ac:dyDescent="0.35">
      <c r="A16" s="1124" t="s">
        <v>101</v>
      </c>
      <c r="B16" s="1127"/>
      <c r="C16" s="819" t="s">
        <v>562</v>
      </c>
    </row>
    <row r="17" spans="1:3" x14ac:dyDescent="0.35">
      <c r="A17" s="1125"/>
      <c r="B17" s="1129"/>
      <c r="C17" s="814" t="s">
        <v>563</v>
      </c>
    </row>
    <row r="18" spans="1:3" x14ac:dyDescent="0.35">
      <c r="A18" s="1125"/>
      <c r="B18" s="1129"/>
      <c r="C18" s="814" t="s">
        <v>564</v>
      </c>
    </row>
    <row r="19" spans="1:3" x14ac:dyDescent="0.35">
      <c r="A19" s="1125"/>
      <c r="B19" s="1129"/>
      <c r="C19" s="814" t="s">
        <v>565</v>
      </c>
    </row>
    <row r="20" spans="1:3" ht="15" thickBot="1" x14ac:dyDescent="0.4">
      <c r="A20" s="1126"/>
      <c r="B20" s="1128"/>
      <c r="C20" s="813" t="s">
        <v>566</v>
      </c>
    </row>
    <row r="21" spans="1:3" x14ac:dyDescent="0.35">
      <c r="A21" s="1124" t="s">
        <v>102</v>
      </c>
      <c r="B21" s="1127" t="s">
        <v>567</v>
      </c>
      <c r="C21" s="814" t="s">
        <v>568</v>
      </c>
    </row>
    <row r="22" spans="1:3" x14ac:dyDescent="0.35">
      <c r="A22" s="1125"/>
      <c r="B22" s="1129"/>
      <c r="C22" s="814" t="s">
        <v>569</v>
      </c>
    </row>
    <row r="23" spans="1:3" x14ac:dyDescent="0.35">
      <c r="A23" s="1125"/>
      <c r="B23" s="1129"/>
      <c r="C23" s="814" t="s">
        <v>570</v>
      </c>
    </row>
    <row r="24" spans="1:3" x14ac:dyDescent="0.35">
      <c r="A24" s="1125"/>
      <c r="B24" s="1129"/>
      <c r="C24" s="814" t="s">
        <v>571</v>
      </c>
    </row>
    <row r="25" spans="1:3" x14ac:dyDescent="0.35">
      <c r="A25" s="1125"/>
      <c r="B25" s="1129"/>
      <c r="C25" s="814" t="s">
        <v>572</v>
      </c>
    </row>
    <row r="26" spans="1:3" ht="15" thickBot="1" x14ac:dyDescent="0.4">
      <c r="A26" s="1126"/>
      <c r="B26" s="1128"/>
      <c r="C26" s="813" t="s">
        <v>573</v>
      </c>
    </row>
    <row r="27" spans="1:3" ht="26" x14ac:dyDescent="0.35">
      <c r="A27" s="1124" t="s">
        <v>103</v>
      </c>
      <c r="B27" s="810" t="s">
        <v>574</v>
      </c>
      <c r="C27" s="814" t="s">
        <v>578</v>
      </c>
    </row>
    <row r="28" spans="1:3" ht="26" x14ac:dyDescent="0.35">
      <c r="A28" s="1125"/>
      <c r="B28" s="810" t="s">
        <v>575</v>
      </c>
      <c r="C28" s="814" t="s">
        <v>579</v>
      </c>
    </row>
    <row r="29" spans="1:3" ht="26" x14ac:dyDescent="0.35">
      <c r="A29" s="1125"/>
      <c r="B29" s="810" t="s">
        <v>576</v>
      </c>
      <c r="C29" s="814" t="s">
        <v>575</v>
      </c>
    </row>
    <row r="30" spans="1:3" ht="26" x14ac:dyDescent="0.35">
      <c r="A30" s="1125"/>
      <c r="B30" s="810" t="s">
        <v>577</v>
      </c>
      <c r="C30" s="814" t="s">
        <v>580</v>
      </c>
    </row>
    <row r="31" spans="1:3" ht="15" thickBot="1" x14ac:dyDescent="0.4">
      <c r="A31" s="1126"/>
      <c r="B31" s="686"/>
      <c r="C31" s="813" t="s">
        <v>581</v>
      </c>
    </row>
    <row r="32" spans="1:3" x14ac:dyDescent="0.35">
      <c r="A32" s="1124" t="s">
        <v>104</v>
      </c>
      <c r="B32" s="1127" t="s">
        <v>434</v>
      </c>
      <c r="C32" s="814" t="s">
        <v>582</v>
      </c>
    </row>
    <row r="33" spans="1:3" x14ac:dyDescent="0.35">
      <c r="A33" s="1125"/>
      <c r="B33" s="1129"/>
      <c r="C33" s="814" t="s">
        <v>583</v>
      </c>
    </row>
    <row r="34" spans="1:3" ht="15" thickBot="1" x14ac:dyDescent="0.4">
      <c r="A34" s="1126"/>
      <c r="B34" s="1128"/>
      <c r="C34" s="813" t="s">
        <v>584</v>
      </c>
    </row>
    <row r="35" spans="1:3" x14ac:dyDescent="0.35">
      <c r="A35" s="1124" t="s">
        <v>105</v>
      </c>
      <c r="B35" s="1127" t="s">
        <v>585</v>
      </c>
      <c r="C35" s="814" t="s">
        <v>586</v>
      </c>
    </row>
    <row r="36" spans="1:3" x14ac:dyDescent="0.35">
      <c r="A36" s="1125"/>
      <c r="B36" s="1129"/>
      <c r="C36" s="814" t="s">
        <v>587</v>
      </c>
    </row>
    <row r="37" spans="1:3" x14ac:dyDescent="0.35">
      <c r="A37" s="1125"/>
      <c r="B37" s="1129"/>
      <c r="C37" s="814" t="s">
        <v>588</v>
      </c>
    </row>
    <row r="38" spans="1:3" ht="15" thickBot="1" x14ac:dyDescent="0.4">
      <c r="A38" s="1126"/>
      <c r="B38" s="1128"/>
      <c r="C38" s="820" t="s">
        <v>589</v>
      </c>
    </row>
    <row r="39" spans="1:3" ht="26" x14ac:dyDescent="0.35">
      <c r="A39" s="1124" t="s">
        <v>106</v>
      </c>
      <c r="B39" s="810" t="s">
        <v>590</v>
      </c>
      <c r="C39" s="814" t="s">
        <v>592</v>
      </c>
    </row>
    <row r="40" spans="1:3" x14ac:dyDescent="0.35">
      <c r="A40" s="1125"/>
      <c r="B40" s="810" t="s">
        <v>591</v>
      </c>
      <c r="C40" s="814" t="s">
        <v>593</v>
      </c>
    </row>
    <row r="41" spans="1:3" ht="15" thickBot="1" x14ac:dyDescent="0.4">
      <c r="A41" s="1126"/>
      <c r="B41" s="686"/>
      <c r="C41" s="813" t="s">
        <v>594</v>
      </c>
    </row>
    <row r="42" spans="1:3" x14ac:dyDescent="0.35">
      <c r="A42" s="1124" t="s">
        <v>121</v>
      </c>
      <c r="B42" s="1127"/>
      <c r="C42" s="814" t="s">
        <v>595</v>
      </c>
    </row>
    <row r="43" spans="1:3" x14ac:dyDescent="0.35">
      <c r="A43" s="1125"/>
      <c r="B43" s="1129"/>
      <c r="C43" s="814" t="s">
        <v>596</v>
      </c>
    </row>
    <row r="44" spans="1:3" ht="15" thickBot="1" x14ac:dyDescent="0.4">
      <c r="A44" s="1126"/>
      <c r="B44" s="1128"/>
      <c r="C44" s="813" t="s">
        <v>597</v>
      </c>
    </row>
    <row r="45" spans="1:3" x14ac:dyDescent="0.35">
      <c r="A45" s="1124" t="s">
        <v>122</v>
      </c>
      <c r="B45" s="1127" t="s">
        <v>598</v>
      </c>
      <c r="C45" s="814" t="s">
        <v>599</v>
      </c>
    </row>
    <row r="46" spans="1:3" x14ac:dyDescent="0.35">
      <c r="A46" s="1125"/>
      <c r="B46" s="1129"/>
      <c r="C46" s="814" t="s">
        <v>600</v>
      </c>
    </row>
    <row r="47" spans="1:3" ht="15" thickBot="1" x14ac:dyDescent="0.4">
      <c r="A47" s="1126"/>
      <c r="B47" s="1128"/>
      <c r="C47" s="813" t="s">
        <v>601</v>
      </c>
    </row>
    <row r="48" spans="1:3" x14ac:dyDescent="0.35">
      <c r="A48" s="1124" t="s">
        <v>110</v>
      </c>
      <c r="B48" s="1124"/>
      <c r="C48" s="814" t="s">
        <v>602</v>
      </c>
    </row>
    <row r="49" spans="1:3" ht="15" thickBot="1" x14ac:dyDescent="0.4">
      <c r="A49" s="1126"/>
      <c r="B49" s="1126"/>
      <c r="C49" s="813" t="s">
        <v>603</v>
      </c>
    </row>
    <row r="50" spans="1:3" x14ac:dyDescent="0.35">
      <c r="A50" s="1124" t="s">
        <v>111</v>
      </c>
      <c r="B50" s="1127"/>
      <c r="C50" s="814" t="s">
        <v>445</v>
      </c>
    </row>
    <row r="51" spans="1:3" ht="15" thickBot="1" x14ac:dyDescent="0.4">
      <c r="A51" s="1126"/>
      <c r="B51" s="1128"/>
      <c r="C51" s="813" t="s">
        <v>604</v>
      </c>
    </row>
    <row r="52" spans="1:3" x14ac:dyDescent="0.35">
      <c r="A52" s="1124" t="s">
        <v>482</v>
      </c>
      <c r="B52" s="1127" t="s">
        <v>605</v>
      </c>
      <c r="C52" s="814" t="s">
        <v>434</v>
      </c>
    </row>
    <row r="53" spans="1:3" ht="15" thickBot="1" x14ac:dyDescent="0.4">
      <c r="A53" s="1126"/>
      <c r="B53" s="1128"/>
      <c r="C53" s="813" t="s">
        <v>606</v>
      </c>
    </row>
    <row r="54" spans="1:3" ht="15" thickBot="1" x14ac:dyDescent="0.4">
      <c r="A54" s="811" t="s">
        <v>113</v>
      </c>
      <c r="B54" s="812"/>
      <c r="C54" s="815" t="s">
        <v>607</v>
      </c>
    </row>
    <row r="55" spans="1:3" x14ac:dyDescent="0.35">
      <c r="A55" s="1124" t="s">
        <v>114</v>
      </c>
      <c r="B55" s="1127" t="s">
        <v>608</v>
      </c>
      <c r="C55" s="814" t="s">
        <v>609</v>
      </c>
    </row>
    <row r="56" spans="1:3" ht="15" thickBot="1" x14ac:dyDescent="0.4">
      <c r="A56" s="1126"/>
      <c r="B56" s="1128"/>
      <c r="C56" s="813" t="s">
        <v>608</v>
      </c>
    </row>
    <row r="57" spans="1:3" ht="26" x14ac:dyDescent="0.35">
      <c r="A57" s="1124" t="s">
        <v>115</v>
      </c>
      <c r="B57" s="810" t="s">
        <v>610</v>
      </c>
      <c r="C57" s="814" t="s">
        <v>613</v>
      </c>
    </row>
    <row r="58" spans="1:3" ht="39" x14ac:dyDescent="0.35">
      <c r="A58" s="1125"/>
      <c r="B58" s="810" t="s">
        <v>611</v>
      </c>
      <c r="C58" s="814" t="s">
        <v>574</v>
      </c>
    </row>
    <row r="59" spans="1:3" ht="39" x14ac:dyDescent="0.35">
      <c r="A59" s="1125"/>
      <c r="B59" s="810" t="s">
        <v>612</v>
      </c>
      <c r="C59" s="814" t="s">
        <v>614</v>
      </c>
    </row>
    <row r="60" spans="1:3" ht="15" thickBot="1" x14ac:dyDescent="0.4">
      <c r="A60" s="1126"/>
      <c r="B60" s="613"/>
      <c r="C60" s="813" t="s">
        <v>615</v>
      </c>
    </row>
    <row r="62" spans="1:3" ht="15.5" x14ac:dyDescent="0.35">
      <c r="A62" s="816"/>
    </row>
    <row r="63" spans="1:3" ht="91" x14ac:dyDescent="0.35">
      <c r="A63" s="817" t="s">
        <v>616</v>
      </c>
      <c r="B63" s="818" t="s">
        <v>617</v>
      </c>
    </row>
  </sheetData>
  <mergeCells count="28">
    <mergeCell ref="A16:A20"/>
    <mergeCell ref="B16:B20"/>
    <mergeCell ref="A4:A6"/>
    <mergeCell ref="B4:B6"/>
    <mergeCell ref="A8:A12"/>
    <mergeCell ref="B8:B12"/>
    <mergeCell ref="A13:A15"/>
    <mergeCell ref="A48:A49"/>
    <mergeCell ref="B48:B49"/>
    <mergeCell ref="A21:A26"/>
    <mergeCell ref="B21:B26"/>
    <mergeCell ref="A27:A31"/>
    <mergeCell ref="A32:A34"/>
    <mergeCell ref="B32:B34"/>
    <mergeCell ref="A35:A38"/>
    <mergeCell ref="B35:B38"/>
    <mergeCell ref="A39:A41"/>
    <mergeCell ref="A42:A44"/>
    <mergeCell ref="B42:B44"/>
    <mergeCell ref="A45:A47"/>
    <mergeCell ref="B45:B47"/>
    <mergeCell ref="A57:A60"/>
    <mergeCell ref="A50:A51"/>
    <mergeCell ref="B50:B51"/>
    <mergeCell ref="A52:A53"/>
    <mergeCell ref="B52:B53"/>
    <mergeCell ref="A55:A56"/>
    <mergeCell ref="B55:B56"/>
  </mergeCells>
  <hyperlinks>
    <hyperlink ref="C38" location="_ftn1" display="_ftn1" xr:uid="{D2C0863C-965C-47B0-9B83-E24E573D3437}"/>
    <hyperlink ref="A63" location="_ftnref1" display="_ftnref1" xr:uid="{63037D66-6199-4D16-8D1B-ECE8880754A6}"/>
  </hyperlinks>
  <pageMargins left="0.7" right="0.7" top="0.75" bottom="0.75" header="0.3" footer="0.3"/>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94"/>
  <sheetViews>
    <sheetView topLeftCell="A21" zoomScale="71" zoomScaleNormal="55" workbookViewId="0">
      <selection activeCell="N60" sqref="N60"/>
    </sheetView>
  </sheetViews>
  <sheetFormatPr defaultColWidth="9.1796875" defaultRowHeight="14.5" x14ac:dyDescent="0.35"/>
  <cols>
    <col min="1" max="2" width="13.54296875" customWidth="1"/>
    <col min="3" max="3" width="12.1796875" customWidth="1"/>
    <col min="6" max="6" width="12.54296875" customWidth="1"/>
    <col min="7" max="7" width="12.36328125" customWidth="1"/>
    <col min="8" max="8" width="14.1796875" customWidth="1"/>
    <col min="11" max="11" width="9.1796875" customWidth="1"/>
    <col min="13" max="13" width="13.54296875" customWidth="1"/>
    <col min="14" max="14" width="14.36328125" customWidth="1"/>
    <col min="15" max="15" width="13.81640625" customWidth="1"/>
    <col min="16" max="16" width="13.54296875" customWidth="1"/>
    <col min="17" max="17" width="12.81640625" customWidth="1"/>
    <col min="19" max="19" width="14.08984375" customWidth="1"/>
    <col min="20" max="20" width="10.54296875" customWidth="1"/>
    <col min="21" max="21" width="12.08984375" customWidth="1"/>
  </cols>
  <sheetData>
    <row r="1" spans="1:24" ht="18.5" x14ac:dyDescent="0.45">
      <c r="A1" s="21" t="s">
        <v>145</v>
      </c>
      <c r="B1" s="21"/>
    </row>
    <row r="2" spans="1:24" x14ac:dyDescent="0.35">
      <c r="A2" t="s">
        <v>146</v>
      </c>
    </row>
    <row r="4" spans="1:24" s="33" customFormat="1" ht="15" customHeight="1" x14ac:dyDescent="0.35">
      <c r="A4" s="937"/>
      <c r="B4" s="188"/>
      <c r="C4" s="935" t="s">
        <v>68</v>
      </c>
      <c r="D4" s="935"/>
      <c r="E4" s="935"/>
      <c r="F4" s="935"/>
      <c r="G4" s="935"/>
      <c r="H4" s="935"/>
      <c r="I4" s="935"/>
      <c r="J4" s="935"/>
      <c r="K4" s="935"/>
      <c r="L4" s="935"/>
      <c r="M4" s="936" t="s">
        <v>69</v>
      </c>
      <c r="N4" s="937"/>
      <c r="O4" s="935" t="s">
        <v>70</v>
      </c>
      <c r="P4" s="935"/>
      <c r="Q4" s="935"/>
      <c r="R4" s="935"/>
    </row>
    <row r="5" spans="1:24" s="33" customFormat="1" x14ac:dyDescent="0.35">
      <c r="A5" s="985"/>
      <c r="B5" s="932" t="s">
        <v>68</v>
      </c>
      <c r="C5" s="916" t="s">
        <v>72</v>
      </c>
      <c r="D5" s="916"/>
      <c r="E5" s="916"/>
      <c r="F5" s="916"/>
      <c r="G5" s="916"/>
      <c r="H5" s="940" t="s">
        <v>71</v>
      </c>
      <c r="I5" s="916"/>
      <c r="J5" s="916"/>
      <c r="K5" s="916"/>
      <c r="L5" s="916"/>
      <c r="M5" s="938"/>
      <c r="N5" s="939"/>
      <c r="O5" s="940" t="s">
        <v>74</v>
      </c>
      <c r="P5" s="941"/>
      <c r="Q5" s="942" t="s">
        <v>73</v>
      </c>
      <c r="R5" s="943"/>
    </row>
    <row r="6" spans="1:24" s="33" customFormat="1" ht="52" x14ac:dyDescent="0.35">
      <c r="A6" s="939"/>
      <c r="B6" s="934"/>
      <c r="C6" s="458" t="s">
        <v>75</v>
      </c>
      <c r="D6" s="458" t="s">
        <v>76</v>
      </c>
      <c r="E6" s="458" t="s">
        <v>77</v>
      </c>
      <c r="F6" s="458" t="s">
        <v>78</v>
      </c>
      <c r="G6" s="458" t="s">
        <v>79</v>
      </c>
      <c r="H6" s="35" t="s">
        <v>75</v>
      </c>
      <c r="I6" s="458" t="s">
        <v>76</v>
      </c>
      <c r="J6" s="458" t="s">
        <v>77</v>
      </c>
      <c r="K6" s="458" t="s">
        <v>78</v>
      </c>
      <c r="L6" s="458" t="s">
        <v>79</v>
      </c>
      <c r="M6" s="35" t="s">
        <v>5</v>
      </c>
      <c r="N6" s="36" t="s">
        <v>4</v>
      </c>
      <c r="O6" s="35" t="s">
        <v>80</v>
      </c>
      <c r="P6" s="36" t="s">
        <v>81</v>
      </c>
      <c r="Q6" s="458" t="s">
        <v>80</v>
      </c>
      <c r="R6" s="458" t="s">
        <v>81</v>
      </c>
      <c r="S6" s="33" t="s">
        <v>147</v>
      </c>
      <c r="T6" s="33" t="s">
        <v>148</v>
      </c>
      <c r="X6" s="33" t="s">
        <v>149</v>
      </c>
    </row>
    <row r="7" spans="1:24" s="23" customFormat="1" x14ac:dyDescent="0.35">
      <c r="A7" s="463" t="s">
        <v>11</v>
      </c>
      <c r="B7" s="601" t="e">
        <f>C7+H7</f>
        <v>#REF!</v>
      </c>
      <c r="C7" s="37" t="e">
        <f t="shared" ref="C7:C25" si="0">+SUM(D7:G7)</f>
        <v>#REF!</v>
      </c>
      <c r="D7" s="464" t="e">
        <f>VLOOKUP($A7,#REF!,8,FALSE)</f>
        <v>#REF!</v>
      </c>
      <c r="E7" s="464" t="e">
        <f>VLOOKUP($A7,#REF!,9,FALSE)</f>
        <v>#REF!</v>
      </c>
      <c r="F7" s="464" t="e">
        <f>VLOOKUP($A7,#REF!,10,FALSE)</f>
        <v>#REF!</v>
      </c>
      <c r="G7" s="464" t="e">
        <f>VLOOKUP($A7,#REF!,11,FALSE)</f>
        <v>#REF!</v>
      </c>
      <c r="H7" s="37" t="e">
        <f t="shared" ref="H7:H25" si="1">+SUM(I7:L7)</f>
        <v>#REF!</v>
      </c>
      <c r="I7" s="464" t="e">
        <f>VLOOKUP($A7,#REF!,13,FALSE)</f>
        <v>#REF!</v>
      </c>
      <c r="J7" s="464" t="e">
        <f>VLOOKUP($A7,#REF!,14,FALSE)</f>
        <v>#REF!</v>
      </c>
      <c r="K7" s="464" t="e">
        <f>VLOOKUP($A7,#REF!,15,FALSE)</f>
        <v>#REF!</v>
      </c>
      <c r="L7" s="464" t="e">
        <f>VLOOKUP($A7,#REF!,16,FALSE)</f>
        <v>#REF!</v>
      </c>
      <c r="M7" s="521" t="e">
        <f>VLOOKUP($A7,#REF!,17,FALSE)</f>
        <v>#REF!</v>
      </c>
      <c r="N7" s="520" t="e">
        <f>VLOOKUP($A7,#REF!,18,FALSE)</f>
        <v>#REF!</v>
      </c>
      <c r="O7" s="521" t="e">
        <f>VLOOKUP($A7,#REF!,19,FALSE)</f>
        <v>#REF!</v>
      </c>
      <c r="P7" s="521" t="e">
        <f>VLOOKUP($A7,#REF!,20,FALSE)</f>
        <v>#REF!</v>
      </c>
      <c r="Q7" s="465" t="e">
        <f>+O7*5</f>
        <v>#REF!</v>
      </c>
      <c r="R7" s="465" t="e">
        <f>+P7*5</f>
        <v>#REF!</v>
      </c>
      <c r="S7" s="189" t="e">
        <f t="shared" ref="S7:S25" si="2">+P7+O7+N7+M7+C7+H7</f>
        <v>#REF!</v>
      </c>
      <c r="T7" s="213" t="e">
        <f>VLOOKUP($X7,'Figure 4'!$A$56:$H$76,8,FALSE)</f>
        <v>#REF!</v>
      </c>
      <c r="U7" s="213"/>
      <c r="V7" s="213"/>
      <c r="W7" s="213"/>
      <c r="X7" s="463" t="s">
        <v>11</v>
      </c>
    </row>
    <row r="8" spans="1:24" s="23" customFormat="1" x14ac:dyDescent="0.35">
      <c r="A8" s="23" t="s">
        <v>13</v>
      </c>
      <c r="B8" s="602" t="e">
        <f t="shared" ref="B8:B25" si="3">C8+H8</f>
        <v>#REF!</v>
      </c>
      <c r="C8" s="39" t="e">
        <f t="shared" si="0"/>
        <v>#REF!</v>
      </c>
      <c r="D8" s="518" t="e">
        <f>VLOOKUP(A8,#REF!,8,FALSE)</f>
        <v>#REF!</v>
      </c>
      <c r="E8" s="518" t="e">
        <f>VLOOKUP($A8,#REF!,9,FALSE)</f>
        <v>#REF!</v>
      </c>
      <c r="F8" s="518" t="e">
        <f>VLOOKUP($A8,#REF!,10,FALSE)</f>
        <v>#REF!</v>
      </c>
      <c r="G8" s="518" t="e">
        <f>VLOOKUP($A8,#REF!,11,FALSE)</f>
        <v>#REF!</v>
      </c>
      <c r="H8" s="39" t="e">
        <f t="shared" si="1"/>
        <v>#REF!</v>
      </c>
      <c r="I8" s="518" t="e">
        <f>VLOOKUP($A8,#REF!,13,FALSE)</f>
        <v>#REF!</v>
      </c>
      <c r="J8" s="518" t="e">
        <f>VLOOKUP($A8,#REF!,14,FALSE)</f>
        <v>#REF!</v>
      </c>
      <c r="K8" s="518" t="e">
        <f>VLOOKUP($A8,#REF!,15,FALSE)</f>
        <v>#REF!</v>
      </c>
      <c r="L8" s="518" t="e">
        <f>VLOOKUP($A8,#REF!,16,FALSE)</f>
        <v>#REF!</v>
      </c>
      <c r="M8" s="522" t="e">
        <f>VLOOKUP($A8,#REF!,17,FALSE)</f>
        <v>#REF!</v>
      </c>
      <c r="N8" s="523" t="e">
        <f>VLOOKUP($A8,#REF!,18,FALSE)</f>
        <v>#REF!</v>
      </c>
      <c r="O8" s="522" t="e">
        <f>VLOOKUP($A8,#REF!,19,FALSE)</f>
        <v>#REF!</v>
      </c>
      <c r="P8" s="523" t="e">
        <f>VLOOKUP($A8,#REF!,20,FALSE)</f>
        <v>#REF!</v>
      </c>
      <c r="Q8" s="61" t="e">
        <f t="shared" ref="Q8:Q25" si="4">+O8*5</f>
        <v>#REF!</v>
      </c>
      <c r="R8" s="61" t="e">
        <f t="shared" ref="R8:R25" si="5">+P8*5</f>
        <v>#REF!</v>
      </c>
      <c r="S8" s="189" t="e">
        <f t="shared" si="2"/>
        <v>#REF!</v>
      </c>
      <c r="T8" s="213" t="e">
        <f>VLOOKUP($X8,'Figure 4'!$A$56:$H$76,8,FALSE)</f>
        <v>#REF!</v>
      </c>
      <c r="U8" s="213"/>
      <c r="V8" s="213"/>
      <c r="W8" s="213"/>
      <c r="X8" s="23" t="s">
        <v>13</v>
      </c>
    </row>
    <row r="9" spans="1:24" s="23" customFormat="1" x14ac:dyDescent="0.35">
      <c r="A9" s="23" t="s">
        <v>12</v>
      </c>
      <c r="B9" s="602" t="e">
        <f t="shared" si="3"/>
        <v>#REF!</v>
      </c>
      <c r="C9" s="39" t="e">
        <f t="shared" si="0"/>
        <v>#REF!</v>
      </c>
      <c r="D9" s="518" t="e">
        <f>VLOOKUP(A9,#REF!,8,FALSE)</f>
        <v>#REF!</v>
      </c>
      <c r="E9" s="518" t="e">
        <f>VLOOKUP($A9,#REF!,9,FALSE)</f>
        <v>#REF!</v>
      </c>
      <c r="F9" s="518" t="e">
        <f>VLOOKUP($A9,#REF!,10,FALSE)</f>
        <v>#REF!</v>
      </c>
      <c r="G9" s="518" t="e">
        <f>VLOOKUP($A9,#REF!,11,FALSE)</f>
        <v>#REF!</v>
      </c>
      <c r="H9" s="39" t="e">
        <f t="shared" si="1"/>
        <v>#REF!</v>
      </c>
      <c r="I9" s="518" t="e">
        <f>VLOOKUP($A9,#REF!,13,FALSE)</f>
        <v>#REF!</v>
      </c>
      <c r="J9" s="518" t="e">
        <f>VLOOKUP($A9,#REF!,14,FALSE)</f>
        <v>#REF!</v>
      </c>
      <c r="K9" s="518" t="e">
        <f>VLOOKUP($A9,#REF!,15,FALSE)</f>
        <v>#REF!</v>
      </c>
      <c r="L9" s="518" t="e">
        <f>VLOOKUP($A9,#REF!,16,FALSE)</f>
        <v>#REF!</v>
      </c>
      <c r="M9" s="522" t="e">
        <f>VLOOKUP($A9,#REF!,17,FALSE)</f>
        <v>#REF!</v>
      </c>
      <c r="N9" s="523" t="e">
        <f>VLOOKUP($A9,#REF!,18,FALSE)</f>
        <v>#REF!</v>
      </c>
      <c r="O9" s="522" t="e">
        <f>VLOOKUP($A9,#REF!,19,FALSE)</f>
        <v>#REF!</v>
      </c>
      <c r="P9" s="523" t="e">
        <f>VLOOKUP($A9,#REF!,20,FALSE)</f>
        <v>#REF!</v>
      </c>
      <c r="Q9" s="61" t="e">
        <f t="shared" si="4"/>
        <v>#REF!</v>
      </c>
      <c r="R9" s="61" t="e">
        <f t="shared" si="5"/>
        <v>#REF!</v>
      </c>
      <c r="S9" s="189" t="e">
        <f t="shared" si="2"/>
        <v>#REF!</v>
      </c>
      <c r="T9" s="213" t="e">
        <f>VLOOKUP($X9,'Figure 4'!$A$56:$H$76,8,FALSE)</f>
        <v>#REF!</v>
      </c>
      <c r="U9" s="213"/>
      <c r="V9" s="213"/>
      <c r="W9" s="213"/>
      <c r="X9" s="23" t="s">
        <v>12</v>
      </c>
    </row>
    <row r="10" spans="1:24" s="23" customFormat="1" x14ac:dyDescent="0.35">
      <c r="A10" s="23" t="s">
        <v>28</v>
      </c>
      <c r="B10" s="602" t="e">
        <f t="shared" si="3"/>
        <v>#REF!</v>
      </c>
      <c r="C10" s="39" t="e">
        <f t="shared" si="0"/>
        <v>#REF!</v>
      </c>
      <c r="D10" s="518" t="e">
        <f>VLOOKUP(A10,#REF!,8,FALSE)</f>
        <v>#REF!</v>
      </c>
      <c r="E10" s="518" t="e">
        <f>VLOOKUP($A10,#REF!,9,FALSE)</f>
        <v>#REF!</v>
      </c>
      <c r="F10" s="518" t="e">
        <f>VLOOKUP($A10,#REF!,10,FALSE)</f>
        <v>#REF!</v>
      </c>
      <c r="G10" s="518" t="e">
        <f>VLOOKUP($A10,#REF!,11,FALSE)</f>
        <v>#REF!</v>
      </c>
      <c r="H10" s="39" t="e">
        <f t="shared" si="1"/>
        <v>#REF!</v>
      </c>
      <c r="I10" s="518" t="e">
        <f>VLOOKUP($A10,#REF!,13,FALSE)</f>
        <v>#REF!</v>
      </c>
      <c r="J10" s="518" t="e">
        <f>VLOOKUP($A10,#REF!,14,FALSE)</f>
        <v>#REF!</v>
      </c>
      <c r="K10" s="518" t="e">
        <f>VLOOKUP($A10,#REF!,15,FALSE)</f>
        <v>#REF!</v>
      </c>
      <c r="L10" s="518" t="e">
        <f>VLOOKUP($A10,#REF!,16,FALSE)</f>
        <v>#REF!</v>
      </c>
      <c r="M10" s="522" t="e">
        <f>VLOOKUP($A10,#REF!,17,FALSE)</f>
        <v>#REF!</v>
      </c>
      <c r="N10" s="523" t="e">
        <f>VLOOKUP($A10,#REF!,18,FALSE)</f>
        <v>#REF!</v>
      </c>
      <c r="O10" s="522" t="e">
        <f>VLOOKUP($A10,#REF!,19,FALSE)</f>
        <v>#REF!</v>
      </c>
      <c r="P10" s="523" t="e">
        <f>VLOOKUP($A10,#REF!,20,FALSE)</f>
        <v>#REF!</v>
      </c>
      <c r="Q10" s="61" t="e">
        <f t="shared" si="4"/>
        <v>#REF!</v>
      </c>
      <c r="R10" s="61" t="e">
        <f t="shared" si="5"/>
        <v>#REF!</v>
      </c>
      <c r="S10" s="189" t="e">
        <f t="shared" si="2"/>
        <v>#REF!</v>
      </c>
      <c r="T10" s="213" t="e">
        <f>VLOOKUP($X10,'Figure 4'!$A$56:$H$76,8,FALSE)</f>
        <v>#REF!</v>
      </c>
      <c r="U10" s="213"/>
      <c r="V10" s="213"/>
      <c r="W10" s="213"/>
      <c r="X10" s="23" t="s">
        <v>28</v>
      </c>
    </row>
    <row r="11" spans="1:24" s="23" customFormat="1" x14ac:dyDescent="0.35">
      <c r="A11" s="23" t="s">
        <v>15</v>
      </c>
      <c r="B11" s="602" t="e">
        <f t="shared" si="3"/>
        <v>#REF!</v>
      </c>
      <c r="C11" s="39" t="e">
        <f t="shared" si="0"/>
        <v>#REF!</v>
      </c>
      <c r="D11" s="518" t="e">
        <f>VLOOKUP(A11,#REF!,8,FALSE)</f>
        <v>#REF!</v>
      </c>
      <c r="E11" s="518" t="e">
        <f>VLOOKUP($A11,#REF!,9,FALSE)</f>
        <v>#REF!</v>
      </c>
      <c r="F11" s="518" t="e">
        <f>VLOOKUP($A11,#REF!,10,FALSE)</f>
        <v>#REF!</v>
      </c>
      <c r="G11" s="518" t="e">
        <f>VLOOKUP($A11,#REF!,11,FALSE)</f>
        <v>#REF!</v>
      </c>
      <c r="H11" s="39" t="e">
        <f t="shared" si="1"/>
        <v>#REF!</v>
      </c>
      <c r="I11" s="518" t="e">
        <f>VLOOKUP($A11,#REF!,13,FALSE)</f>
        <v>#REF!</v>
      </c>
      <c r="J11" s="518" t="e">
        <f>VLOOKUP($A11,#REF!,14,FALSE)</f>
        <v>#REF!</v>
      </c>
      <c r="K11" s="518" t="e">
        <f>VLOOKUP($A11,#REF!,15,FALSE)</f>
        <v>#REF!</v>
      </c>
      <c r="L11" s="518" t="e">
        <f>VLOOKUP($A11,#REF!,16,FALSE)</f>
        <v>#REF!</v>
      </c>
      <c r="M11" s="522" t="e">
        <f>VLOOKUP($A11,#REF!,17,FALSE)</f>
        <v>#REF!</v>
      </c>
      <c r="N11" s="523" t="e">
        <f>VLOOKUP($A11,#REF!,18,FALSE)</f>
        <v>#REF!</v>
      </c>
      <c r="O11" s="522" t="e">
        <f>VLOOKUP($A11,#REF!,19,FALSE)</f>
        <v>#REF!</v>
      </c>
      <c r="P11" s="523" t="e">
        <f>VLOOKUP($A11,#REF!,20,FALSE)</f>
        <v>#REF!</v>
      </c>
      <c r="Q11" s="61" t="e">
        <f t="shared" si="4"/>
        <v>#REF!</v>
      </c>
      <c r="R11" s="61" t="e">
        <f t="shared" si="5"/>
        <v>#REF!</v>
      </c>
      <c r="S11" s="189" t="e">
        <f t="shared" si="2"/>
        <v>#REF!</v>
      </c>
      <c r="T11" s="213" t="e">
        <f>VLOOKUP($X11,'Figure 4'!$A$56:$H$76,8,FALSE)</f>
        <v>#REF!</v>
      </c>
      <c r="U11" s="213"/>
      <c r="V11" s="213"/>
      <c r="W11" s="213"/>
      <c r="X11" s="23" t="s">
        <v>15</v>
      </c>
    </row>
    <row r="12" spans="1:24" s="23" customFormat="1" x14ac:dyDescent="0.35">
      <c r="A12" s="23" t="s">
        <v>18</v>
      </c>
      <c r="B12" s="602" t="e">
        <f t="shared" si="3"/>
        <v>#REF!</v>
      </c>
      <c r="C12" s="39" t="e">
        <f t="shared" si="0"/>
        <v>#REF!</v>
      </c>
      <c r="D12" s="518" t="e">
        <f>VLOOKUP(A12,#REF!,8,FALSE)</f>
        <v>#REF!</v>
      </c>
      <c r="E12" s="518" t="e">
        <f>VLOOKUP($A12,#REF!,9,FALSE)</f>
        <v>#REF!</v>
      </c>
      <c r="F12" s="518" t="e">
        <f>VLOOKUP($A12,#REF!,10,FALSE)</f>
        <v>#REF!</v>
      </c>
      <c r="G12" s="518" t="e">
        <f>VLOOKUP($A12,#REF!,11,FALSE)</f>
        <v>#REF!</v>
      </c>
      <c r="H12" s="39" t="e">
        <f t="shared" si="1"/>
        <v>#REF!</v>
      </c>
      <c r="I12" s="518" t="e">
        <f>VLOOKUP($A12,#REF!,13,FALSE)</f>
        <v>#REF!</v>
      </c>
      <c r="J12" s="518" t="e">
        <f>VLOOKUP($A12,#REF!,14,FALSE)</f>
        <v>#REF!</v>
      </c>
      <c r="K12" s="518" t="e">
        <f>VLOOKUP($A12,#REF!,15,FALSE)</f>
        <v>#REF!</v>
      </c>
      <c r="L12" s="518" t="e">
        <f>VLOOKUP($A12,#REF!,16,FALSE)</f>
        <v>#REF!</v>
      </c>
      <c r="M12" s="522" t="e">
        <f>VLOOKUP($A12,#REF!,17,FALSE)</f>
        <v>#REF!</v>
      </c>
      <c r="N12" s="523" t="e">
        <f>VLOOKUP($A12,#REF!,18,FALSE)</f>
        <v>#REF!</v>
      </c>
      <c r="O12" s="522" t="e">
        <f>VLOOKUP($A12,#REF!,19,FALSE)</f>
        <v>#REF!</v>
      </c>
      <c r="P12" s="523" t="e">
        <f>VLOOKUP($A12,#REF!,20,FALSE)</f>
        <v>#REF!</v>
      </c>
      <c r="Q12" s="61" t="e">
        <f t="shared" si="4"/>
        <v>#REF!</v>
      </c>
      <c r="R12" s="61" t="e">
        <f t="shared" si="5"/>
        <v>#REF!</v>
      </c>
      <c r="S12" s="189" t="e">
        <f t="shared" si="2"/>
        <v>#REF!</v>
      </c>
      <c r="T12" s="213" t="e">
        <f>VLOOKUP($X12,'Figure 4'!$A$56:$H$76,8,FALSE)</f>
        <v>#REF!</v>
      </c>
      <c r="U12" s="213"/>
      <c r="V12" s="213"/>
      <c r="W12" s="213"/>
      <c r="X12" s="23" t="s">
        <v>18</v>
      </c>
    </row>
    <row r="13" spans="1:24" s="23" customFormat="1" x14ac:dyDescent="0.35">
      <c r="A13" s="23" t="s">
        <v>17</v>
      </c>
      <c r="B13" s="602" t="e">
        <f t="shared" si="3"/>
        <v>#REF!</v>
      </c>
      <c r="C13" s="39" t="e">
        <f t="shared" si="0"/>
        <v>#REF!</v>
      </c>
      <c r="D13" s="518" t="e">
        <f>VLOOKUP(A13,#REF!,8,FALSE)</f>
        <v>#REF!</v>
      </c>
      <c r="E13" s="518" t="e">
        <f>VLOOKUP($A13,#REF!,9,FALSE)</f>
        <v>#REF!</v>
      </c>
      <c r="F13" s="518" t="e">
        <f>VLOOKUP($A13,#REF!,10,FALSE)</f>
        <v>#REF!</v>
      </c>
      <c r="G13" s="518" t="e">
        <f>VLOOKUP($A13,#REF!,11,FALSE)</f>
        <v>#REF!</v>
      </c>
      <c r="H13" s="39" t="e">
        <f t="shared" si="1"/>
        <v>#REF!</v>
      </c>
      <c r="I13" s="518" t="e">
        <f>VLOOKUP($A13,#REF!,13,FALSE)</f>
        <v>#REF!</v>
      </c>
      <c r="J13" s="518" t="e">
        <f>VLOOKUP($A13,#REF!,14,FALSE)</f>
        <v>#REF!</v>
      </c>
      <c r="K13" s="518" t="e">
        <f>VLOOKUP($A13,#REF!,15,FALSE)</f>
        <v>#REF!</v>
      </c>
      <c r="L13" s="518" t="e">
        <f>VLOOKUP($A13,#REF!,16,FALSE)</f>
        <v>#REF!</v>
      </c>
      <c r="M13" s="522" t="e">
        <f>VLOOKUP($A13,#REF!,17,FALSE)</f>
        <v>#REF!</v>
      </c>
      <c r="N13" s="523" t="e">
        <f>VLOOKUP($A13,#REF!,18,FALSE)</f>
        <v>#REF!</v>
      </c>
      <c r="O13" s="522" t="e">
        <f>VLOOKUP($A13,#REF!,19,FALSE)</f>
        <v>#REF!</v>
      </c>
      <c r="P13" s="523" t="e">
        <f>VLOOKUP($A13,#REF!,20,FALSE)</f>
        <v>#REF!</v>
      </c>
      <c r="Q13" s="61" t="e">
        <f t="shared" si="4"/>
        <v>#REF!</v>
      </c>
      <c r="R13" s="61" t="e">
        <f t="shared" si="5"/>
        <v>#REF!</v>
      </c>
      <c r="S13" s="189" t="e">
        <f t="shared" si="2"/>
        <v>#REF!</v>
      </c>
      <c r="T13" s="213" t="e">
        <f>VLOOKUP($X13,'Figure 4'!$A$56:$H$76,8,FALSE)</f>
        <v>#REF!</v>
      </c>
      <c r="U13" s="213"/>
      <c r="V13" s="213"/>
      <c r="W13" s="213"/>
      <c r="X13" s="23" t="s">
        <v>17</v>
      </c>
    </row>
    <row r="14" spans="1:24" s="23" customFormat="1" x14ac:dyDescent="0.35">
      <c r="A14" s="23" t="s">
        <v>21</v>
      </c>
      <c r="B14" s="602" t="e">
        <f t="shared" si="3"/>
        <v>#REF!</v>
      </c>
      <c r="C14" s="39" t="e">
        <f t="shared" si="0"/>
        <v>#REF!</v>
      </c>
      <c r="D14" s="518" t="e">
        <f>VLOOKUP(A14,#REF!,8,FALSE)</f>
        <v>#REF!</v>
      </c>
      <c r="E14" s="518" t="e">
        <f>VLOOKUP($A14,#REF!,9,FALSE)</f>
        <v>#REF!</v>
      </c>
      <c r="F14" s="518" t="e">
        <f>VLOOKUP($A14,#REF!,10,FALSE)</f>
        <v>#REF!</v>
      </c>
      <c r="G14" s="518" t="e">
        <f>VLOOKUP($A14,#REF!,11,FALSE)</f>
        <v>#REF!</v>
      </c>
      <c r="H14" s="39" t="e">
        <f t="shared" si="1"/>
        <v>#REF!</v>
      </c>
      <c r="I14" s="518" t="e">
        <f>VLOOKUP($A14,#REF!,13,FALSE)</f>
        <v>#REF!</v>
      </c>
      <c r="J14" s="518" t="e">
        <f>VLOOKUP($A14,#REF!,14,FALSE)</f>
        <v>#REF!</v>
      </c>
      <c r="K14" s="518" t="e">
        <f>VLOOKUP($A14,#REF!,15,FALSE)</f>
        <v>#REF!</v>
      </c>
      <c r="L14" s="518" t="e">
        <f>VLOOKUP($A14,#REF!,16,FALSE)</f>
        <v>#REF!</v>
      </c>
      <c r="M14" s="522" t="e">
        <f>VLOOKUP($A14,#REF!,17,FALSE)</f>
        <v>#REF!</v>
      </c>
      <c r="N14" s="523" t="e">
        <f>VLOOKUP($A14,#REF!,18,FALSE)</f>
        <v>#REF!</v>
      </c>
      <c r="O14" s="522" t="e">
        <f>VLOOKUP($A14,#REF!,19,FALSE)</f>
        <v>#REF!</v>
      </c>
      <c r="P14" s="523" t="e">
        <f>VLOOKUP($A14,#REF!,20,FALSE)</f>
        <v>#REF!</v>
      </c>
      <c r="Q14" s="61" t="e">
        <f t="shared" si="4"/>
        <v>#REF!</v>
      </c>
      <c r="R14" s="61" t="e">
        <f t="shared" si="5"/>
        <v>#REF!</v>
      </c>
      <c r="S14" s="189" t="e">
        <f t="shared" si="2"/>
        <v>#REF!</v>
      </c>
      <c r="T14" s="213" t="e">
        <f>VLOOKUP($X14,'Figure 4'!$A$56:$H$76,8,FALSE)</f>
        <v>#REF!</v>
      </c>
      <c r="U14" s="213"/>
      <c r="V14" s="213"/>
      <c r="W14" s="213"/>
      <c r="X14" s="23" t="s">
        <v>21</v>
      </c>
    </row>
    <row r="15" spans="1:24" s="23" customFormat="1" x14ac:dyDescent="0.35">
      <c r="A15" s="23" t="s">
        <v>27</v>
      </c>
      <c r="B15" s="602" t="e">
        <f t="shared" si="3"/>
        <v>#REF!</v>
      </c>
      <c r="C15" s="39" t="e">
        <f t="shared" si="0"/>
        <v>#REF!</v>
      </c>
      <c r="D15" s="518" t="e">
        <f>VLOOKUP(A15,#REF!,8,FALSE)</f>
        <v>#REF!</v>
      </c>
      <c r="E15" s="518" t="e">
        <f>VLOOKUP($A15,#REF!,9,FALSE)</f>
        <v>#REF!</v>
      </c>
      <c r="F15" s="518" t="e">
        <f>VLOOKUP($A15,#REF!,10,FALSE)</f>
        <v>#REF!</v>
      </c>
      <c r="G15" s="518" t="e">
        <f>VLOOKUP($A15,#REF!,11,FALSE)</f>
        <v>#REF!</v>
      </c>
      <c r="H15" s="39" t="e">
        <f t="shared" si="1"/>
        <v>#REF!</v>
      </c>
      <c r="I15" s="518" t="e">
        <f>VLOOKUP($A15,#REF!,13,FALSE)</f>
        <v>#REF!</v>
      </c>
      <c r="J15" s="518" t="e">
        <f>VLOOKUP($A15,#REF!,14,FALSE)</f>
        <v>#REF!</v>
      </c>
      <c r="K15" s="518" t="e">
        <f>VLOOKUP($A15,#REF!,15,FALSE)</f>
        <v>#REF!</v>
      </c>
      <c r="L15" s="518" t="e">
        <f>VLOOKUP($A15,#REF!,16,FALSE)</f>
        <v>#REF!</v>
      </c>
      <c r="M15" s="522" t="e">
        <f>VLOOKUP($A15,#REF!,17,FALSE)</f>
        <v>#REF!</v>
      </c>
      <c r="N15" s="523" t="e">
        <f>VLOOKUP($A15,#REF!,18,FALSE)</f>
        <v>#REF!</v>
      </c>
      <c r="O15" s="522" t="e">
        <f>VLOOKUP($A15,#REF!,19,FALSE)</f>
        <v>#REF!</v>
      </c>
      <c r="P15" s="523" t="e">
        <f>VLOOKUP($A15,#REF!,20,FALSE)</f>
        <v>#REF!</v>
      </c>
      <c r="Q15" s="61" t="e">
        <f t="shared" si="4"/>
        <v>#REF!</v>
      </c>
      <c r="R15" s="61" t="e">
        <f t="shared" si="5"/>
        <v>#REF!</v>
      </c>
      <c r="S15" s="189" t="e">
        <f t="shared" si="2"/>
        <v>#REF!</v>
      </c>
      <c r="T15" s="213" t="e">
        <f>VLOOKUP($X15,'Figure 4'!$A$56:$H$76,8,FALSE)</f>
        <v>#REF!</v>
      </c>
      <c r="U15" s="213"/>
      <c r="V15" s="213"/>
      <c r="W15" s="213"/>
      <c r="X15" s="23" t="s">
        <v>27</v>
      </c>
    </row>
    <row r="16" spans="1:24" s="23" customFormat="1" x14ac:dyDescent="0.35">
      <c r="A16" s="23" t="s">
        <v>24</v>
      </c>
      <c r="B16" s="602" t="e">
        <f>C16+H16</f>
        <v>#REF!</v>
      </c>
      <c r="C16" s="39" t="e">
        <f t="shared" si="0"/>
        <v>#REF!</v>
      </c>
      <c r="D16" s="518" t="e">
        <f>VLOOKUP(A16,#REF!,8,FALSE)</f>
        <v>#REF!</v>
      </c>
      <c r="E16" s="518" t="e">
        <f>VLOOKUP($A16,#REF!,9,FALSE)</f>
        <v>#REF!</v>
      </c>
      <c r="F16" s="518" t="e">
        <f>VLOOKUP($A16,#REF!,10,FALSE)</f>
        <v>#REF!</v>
      </c>
      <c r="G16" s="518" t="e">
        <f>VLOOKUP($A16,#REF!,11,FALSE)</f>
        <v>#REF!</v>
      </c>
      <c r="H16" s="39" t="e">
        <f>+SUM(I16:L16)</f>
        <v>#REF!</v>
      </c>
      <c r="I16" s="518" t="e">
        <f>VLOOKUP($A16,#REF!,13,FALSE)</f>
        <v>#REF!</v>
      </c>
      <c r="J16" s="518" t="e">
        <f>VLOOKUP($A16,#REF!,14,FALSE)</f>
        <v>#REF!</v>
      </c>
      <c r="K16" s="518" t="e">
        <f>VLOOKUP($A16,#REF!,15,FALSE)</f>
        <v>#REF!</v>
      </c>
      <c r="L16" s="518" t="e">
        <f>VLOOKUP($A16,#REF!,16,FALSE)</f>
        <v>#REF!</v>
      </c>
      <c r="M16" s="522" t="e">
        <f>VLOOKUP($A16,#REF!,17,FALSE)</f>
        <v>#REF!</v>
      </c>
      <c r="N16" s="523" t="e">
        <f>VLOOKUP($A16,#REF!,18,FALSE)</f>
        <v>#REF!</v>
      </c>
      <c r="O16" s="522" t="e">
        <f>VLOOKUP($A16,#REF!,19,FALSE)</f>
        <v>#REF!</v>
      </c>
      <c r="P16" s="523" t="e">
        <f>VLOOKUP($A16,#REF!,20,FALSE)</f>
        <v>#REF!</v>
      </c>
      <c r="Q16" s="61" t="e">
        <f t="shared" si="4"/>
        <v>#REF!</v>
      </c>
      <c r="R16" s="61" t="e">
        <f t="shared" si="5"/>
        <v>#REF!</v>
      </c>
      <c r="S16" s="189" t="e">
        <f t="shared" si="2"/>
        <v>#REF!</v>
      </c>
      <c r="T16" s="213" t="e">
        <f>VLOOKUP($X16,'Figure 4'!$A$56:$H$76,8,FALSE)</f>
        <v>#REF!</v>
      </c>
      <c r="U16" s="213"/>
      <c r="V16" s="213"/>
      <c r="W16" s="213"/>
      <c r="X16" s="23" t="s">
        <v>24</v>
      </c>
    </row>
    <row r="17" spans="1:28" s="23" customFormat="1" x14ac:dyDescent="0.35">
      <c r="A17" s="23" t="s">
        <v>29</v>
      </c>
      <c r="B17" s="602" t="e">
        <f t="shared" si="3"/>
        <v>#REF!</v>
      </c>
      <c r="C17" s="39" t="e">
        <f t="shared" si="0"/>
        <v>#REF!</v>
      </c>
      <c r="D17" s="518" t="e">
        <f>VLOOKUP(A17,#REF!,8,FALSE)</f>
        <v>#REF!</v>
      </c>
      <c r="E17" s="518" t="e">
        <f>VLOOKUP($A17,#REF!,9,FALSE)</f>
        <v>#REF!</v>
      </c>
      <c r="F17" s="518" t="e">
        <f>VLOOKUP($A17,#REF!,10,FALSE)</f>
        <v>#REF!</v>
      </c>
      <c r="G17" s="518" t="e">
        <f>VLOOKUP($A17,#REF!,11,FALSE)</f>
        <v>#REF!</v>
      </c>
      <c r="H17" s="39" t="e">
        <f t="shared" si="1"/>
        <v>#REF!</v>
      </c>
      <c r="I17" s="518" t="e">
        <f>VLOOKUP($A17,#REF!,13,FALSE)</f>
        <v>#REF!</v>
      </c>
      <c r="J17" s="518" t="e">
        <f>VLOOKUP($A17,#REF!,14,FALSE)</f>
        <v>#REF!</v>
      </c>
      <c r="K17" s="518" t="e">
        <f>VLOOKUP($A17,#REF!,15,FALSE)</f>
        <v>#REF!</v>
      </c>
      <c r="L17" s="518" t="e">
        <f>VLOOKUP($A17,#REF!,16,FALSE)</f>
        <v>#REF!</v>
      </c>
      <c r="M17" s="522" t="e">
        <f>VLOOKUP($A17,#REF!,17,FALSE)</f>
        <v>#REF!</v>
      </c>
      <c r="N17" s="523" t="e">
        <f>VLOOKUP($A17,#REF!,18,FALSE)</f>
        <v>#REF!</v>
      </c>
      <c r="O17" s="522" t="e">
        <f>VLOOKUP($A17,#REF!,19,FALSE)</f>
        <v>#REF!</v>
      </c>
      <c r="P17" s="523" t="e">
        <f>VLOOKUP($A17,#REF!,20,FALSE)</f>
        <v>#REF!</v>
      </c>
      <c r="Q17" s="61" t="e">
        <f t="shared" si="4"/>
        <v>#REF!</v>
      </c>
      <c r="R17" s="61" t="e">
        <f t="shared" si="5"/>
        <v>#REF!</v>
      </c>
      <c r="S17" s="189" t="e">
        <f t="shared" si="2"/>
        <v>#REF!</v>
      </c>
      <c r="T17" s="213" t="e">
        <f>VLOOKUP($X17,'Figure 4'!$A$56:$H$76,8,FALSE)</f>
        <v>#REF!</v>
      </c>
      <c r="U17" s="213"/>
      <c r="V17" s="213"/>
      <c r="W17" s="213"/>
      <c r="X17" s="23" t="s">
        <v>29</v>
      </c>
    </row>
    <row r="18" spans="1:28" s="23" customFormat="1" x14ac:dyDescent="0.35">
      <c r="A18" s="23" t="s">
        <v>19</v>
      </c>
      <c r="B18" s="602" t="e">
        <f t="shared" si="3"/>
        <v>#REF!</v>
      </c>
      <c r="C18" s="39" t="e">
        <f t="shared" si="0"/>
        <v>#REF!</v>
      </c>
      <c r="D18" s="518" t="e">
        <f>VLOOKUP(A18,#REF!,8,FALSE)</f>
        <v>#REF!</v>
      </c>
      <c r="E18" s="518" t="e">
        <f>VLOOKUP($A18,#REF!,9,FALSE)</f>
        <v>#REF!</v>
      </c>
      <c r="F18" s="518" t="e">
        <f>VLOOKUP($A18,#REF!,10,FALSE)</f>
        <v>#REF!</v>
      </c>
      <c r="G18" s="518" t="e">
        <f>VLOOKUP($A18,#REF!,11,FALSE)</f>
        <v>#REF!</v>
      </c>
      <c r="H18" s="39" t="e">
        <f t="shared" si="1"/>
        <v>#REF!</v>
      </c>
      <c r="I18" s="518" t="e">
        <f>VLOOKUP($A18,#REF!,13,FALSE)</f>
        <v>#REF!</v>
      </c>
      <c r="J18" s="518" t="e">
        <f>VLOOKUP($A18,#REF!,14,FALSE)</f>
        <v>#REF!</v>
      </c>
      <c r="K18" s="518" t="e">
        <f>VLOOKUP($A18,#REF!,15,FALSE)</f>
        <v>#REF!</v>
      </c>
      <c r="L18" s="518" t="e">
        <f>VLOOKUP($A18,#REF!,16,FALSE)</f>
        <v>#REF!</v>
      </c>
      <c r="M18" s="522" t="e">
        <f>VLOOKUP($A18,#REF!,17,FALSE)</f>
        <v>#REF!</v>
      </c>
      <c r="N18" s="523" t="e">
        <f>VLOOKUP($A18,#REF!,18,FALSE)</f>
        <v>#REF!</v>
      </c>
      <c r="O18" s="522" t="e">
        <f>VLOOKUP($A18,#REF!,19,FALSE)</f>
        <v>#REF!</v>
      </c>
      <c r="P18" s="523" t="e">
        <f>VLOOKUP($A18,#REF!,20,FALSE)</f>
        <v>#REF!</v>
      </c>
      <c r="Q18" s="61" t="e">
        <f t="shared" si="4"/>
        <v>#REF!</v>
      </c>
      <c r="R18" s="61" t="e">
        <f t="shared" si="5"/>
        <v>#REF!</v>
      </c>
      <c r="S18" s="189" t="e">
        <f t="shared" si="2"/>
        <v>#REF!</v>
      </c>
      <c r="T18" s="213" t="e">
        <f>VLOOKUP($X18,'Figure 4'!$A$56:$H$76,8,FALSE)</f>
        <v>#REF!</v>
      </c>
      <c r="U18" s="213"/>
      <c r="V18" s="213"/>
      <c r="W18" s="213"/>
      <c r="X18" s="23" t="s">
        <v>19</v>
      </c>
    </row>
    <row r="19" spans="1:28" s="23" customFormat="1" x14ac:dyDescent="0.35">
      <c r="A19" s="23" t="s">
        <v>16</v>
      </c>
      <c r="B19" s="602" t="e">
        <f t="shared" si="3"/>
        <v>#REF!</v>
      </c>
      <c r="C19" s="39" t="e">
        <f t="shared" si="0"/>
        <v>#REF!</v>
      </c>
      <c r="D19" s="518" t="e">
        <f>VLOOKUP(A19,#REF!,8,FALSE)</f>
        <v>#REF!</v>
      </c>
      <c r="E19" s="518" t="e">
        <f>VLOOKUP($A19,#REF!,9,FALSE)</f>
        <v>#REF!</v>
      </c>
      <c r="F19" s="518" t="e">
        <f>VLOOKUP($A19,#REF!,10,FALSE)</f>
        <v>#REF!</v>
      </c>
      <c r="G19" s="518" t="e">
        <f>VLOOKUP($A19,#REF!,11,FALSE)</f>
        <v>#REF!</v>
      </c>
      <c r="H19" s="39" t="e">
        <f t="shared" si="1"/>
        <v>#REF!</v>
      </c>
      <c r="I19" s="518" t="e">
        <f>VLOOKUP($A19,#REF!,13,FALSE)</f>
        <v>#REF!</v>
      </c>
      <c r="J19" s="518" t="e">
        <f>VLOOKUP($A19,#REF!,14,FALSE)</f>
        <v>#REF!</v>
      </c>
      <c r="K19" s="518" t="e">
        <f>VLOOKUP($A19,#REF!,15,FALSE)</f>
        <v>#REF!</v>
      </c>
      <c r="L19" s="518" t="e">
        <f>VLOOKUP($A19,#REF!,16,FALSE)</f>
        <v>#REF!</v>
      </c>
      <c r="M19" s="522" t="e">
        <f>VLOOKUP($A19,#REF!,17,FALSE)</f>
        <v>#REF!</v>
      </c>
      <c r="N19" s="523" t="e">
        <f>VLOOKUP($A19,#REF!,18,FALSE)</f>
        <v>#REF!</v>
      </c>
      <c r="O19" s="522" t="e">
        <f>VLOOKUP($A19,#REF!,19,FALSE)</f>
        <v>#REF!</v>
      </c>
      <c r="P19" s="523" t="e">
        <f>VLOOKUP($A19,#REF!,20,FALSE)</f>
        <v>#REF!</v>
      </c>
      <c r="Q19" s="61" t="e">
        <f t="shared" si="4"/>
        <v>#REF!</v>
      </c>
      <c r="R19" s="61" t="e">
        <f t="shared" si="5"/>
        <v>#REF!</v>
      </c>
      <c r="S19" s="189" t="e">
        <f t="shared" si="2"/>
        <v>#REF!</v>
      </c>
      <c r="T19" s="213" t="e">
        <f>VLOOKUP($X19,'Figure 4'!$A$56:$H$76,8,FALSE)</f>
        <v>#REF!</v>
      </c>
      <c r="U19" s="213"/>
      <c r="V19" s="213"/>
      <c r="W19" s="213"/>
      <c r="X19" s="23" t="s">
        <v>16</v>
      </c>
    </row>
    <row r="20" spans="1:28" s="23" customFormat="1" x14ac:dyDescent="0.35">
      <c r="A20" s="23" t="s">
        <v>20</v>
      </c>
      <c r="B20" s="602" t="e">
        <f t="shared" si="3"/>
        <v>#REF!</v>
      </c>
      <c r="C20" s="39" t="e">
        <f t="shared" si="0"/>
        <v>#REF!</v>
      </c>
      <c r="D20" s="518" t="e">
        <f>VLOOKUP(A20,#REF!,8,FALSE)</f>
        <v>#REF!</v>
      </c>
      <c r="E20" s="518" t="e">
        <f>VLOOKUP($A20,#REF!,9,FALSE)</f>
        <v>#REF!</v>
      </c>
      <c r="F20" s="518" t="e">
        <f>VLOOKUP($A20,#REF!,10,FALSE)</f>
        <v>#REF!</v>
      </c>
      <c r="G20" s="518" t="e">
        <f>VLOOKUP($A20,#REF!,11,FALSE)</f>
        <v>#REF!</v>
      </c>
      <c r="H20" s="39" t="e">
        <f t="shared" si="1"/>
        <v>#REF!</v>
      </c>
      <c r="I20" s="518" t="e">
        <f>VLOOKUP($A20,#REF!,13,FALSE)</f>
        <v>#REF!</v>
      </c>
      <c r="J20" s="518" t="e">
        <f>VLOOKUP($A20,#REF!,14,FALSE)</f>
        <v>#REF!</v>
      </c>
      <c r="K20" s="518" t="e">
        <f>VLOOKUP($A20,#REF!,15,FALSE)</f>
        <v>#REF!</v>
      </c>
      <c r="L20" s="518" t="e">
        <f>VLOOKUP($A20,#REF!,16,FALSE)</f>
        <v>#REF!</v>
      </c>
      <c r="M20" s="522" t="e">
        <f>VLOOKUP($A20,#REF!,17,FALSE)</f>
        <v>#REF!</v>
      </c>
      <c r="N20" s="523" t="e">
        <f>VLOOKUP($A20,#REF!,18,FALSE)</f>
        <v>#REF!</v>
      </c>
      <c r="O20" s="522" t="e">
        <f>VLOOKUP($A20,#REF!,19,FALSE)</f>
        <v>#REF!</v>
      </c>
      <c r="P20" s="523" t="e">
        <f>VLOOKUP($A20,#REF!,20,FALSE)</f>
        <v>#REF!</v>
      </c>
      <c r="Q20" s="61" t="e">
        <f t="shared" si="4"/>
        <v>#REF!</v>
      </c>
      <c r="R20" s="61" t="e">
        <f t="shared" si="5"/>
        <v>#REF!</v>
      </c>
      <c r="S20" s="189" t="e">
        <f t="shared" si="2"/>
        <v>#REF!</v>
      </c>
      <c r="T20" s="213" t="e">
        <f>VLOOKUP($X20,'Figure 4'!$A$56:$H$76,8,FALSE)</f>
        <v>#REF!</v>
      </c>
      <c r="U20" s="213"/>
      <c r="V20" s="213"/>
      <c r="W20" s="213"/>
      <c r="X20" s="23" t="s">
        <v>20</v>
      </c>
    </row>
    <row r="21" spans="1:28" s="23" customFormat="1" x14ac:dyDescent="0.35">
      <c r="A21" s="23" t="s">
        <v>26</v>
      </c>
      <c r="B21" s="602" t="e">
        <f t="shared" si="3"/>
        <v>#REF!</v>
      </c>
      <c r="C21" s="39" t="e">
        <f t="shared" si="0"/>
        <v>#REF!</v>
      </c>
      <c r="D21" s="518" t="e">
        <f>VLOOKUP(A21,#REF!,8,FALSE)</f>
        <v>#REF!</v>
      </c>
      <c r="E21" s="518" t="e">
        <f>VLOOKUP($A21,#REF!,9,FALSE)</f>
        <v>#REF!</v>
      </c>
      <c r="F21" s="518" t="e">
        <f>VLOOKUP($A21,#REF!,10,FALSE)</f>
        <v>#REF!</v>
      </c>
      <c r="G21" s="518" t="e">
        <f>VLOOKUP($A21,#REF!,11,FALSE)</f>
        <v>#REF!</v>
      </c>
      <c r="H21" s="39" t="e">
        <f t="shared" si="1"/>
        <v>#REF!</v>
      </c>
      <c r="I21" s="518" t="e">
        <f>VLOOKUP($A21,#REF!,13,FALSE)</f>
        <v>#REF!</v>
      </c>
      <c r="J21" s="518" t="e">
        <f>VLOOKUP($A21,#REF!,14,FALSE)</f>
        <v>#REF!</v>
      </c>
      <c r="K21" s="518" t="e">
        <f>VLOOKUP($A21,#REF!,15,FALSE)</f>
        <v>#REF!</v>
      </c>
      <c r="L21" s="518" t="e">
        <f>VLOOKUP($A21,#REF!,16,FALSE)</f>
        <v>#REF!</v>
      </c>
      <c r="M21" s="522" t="e">
        <f>VLOOKUP($A21,#REF!,17,FALSE)</f>
        <v>#REF!</v>
      </c>
      <c r="N21" s="523" t="e">
        <f>VLOOKUP($A21,#REF!,18,FALSE)</f>
        <v>#REF!</v>
      </c>
      <c r="O21" s="522" t="e">
        <f>VLOOKUP($A21,#REF!,19,FALSE)</f>
        <v>#REF!</v>
      </c>
      <c r="P21" s="523" t="e">
        <f>VLOOKUP($A21,#REF!,20,FALSE)</f>
        <v>#REF!</v>
      </c>
      <c r="Q21" s="61" t="e">
        <f t="shared" si="4"/>
        <v>#REF!</v>
      </c>
      <c r="R21" s="61" t="e">
        <f t="shared" si="5"/>
        <v>#REF!</v>
      </c>
      <c r="S21" s="189" t="e">
        <f t="shared" si="2"/>
        <v>#REF!</v>
      </c>
      <c r="T21" s="213" t="e">
        <f>VLOOKUP($X21,'Figure 4'!$A$56:$H$76,8,FALSE)</f>
        <v>#REF!</v>
      </c>
      <c r="U21" s="213"/>
      <c r="V21" s="213"/>
      <c r="W21" s="213"/>
      <c r="X21" s="23" t="s">
        <v>26</v>
      </c>
    </row>
    <row r="22" spans="1:28" s="23" customFormat="1" x14ac:dyDescent="0.35">
      <c r="A22" s="23" t="s">
        <v>25</v>
      </c>
      <c r="B22" s="602" t="e">
        <f>C22+H22</f>
        <v>#REF!</v>
      </c>
      <c r="C22" s="39" t="e">
        <f t="shared" si="0"/>
        <v>#REF!</v>
      </c>
      <c r="D22" s="518" t="e">
        <f>VLOOKUP(A22,#REF!,8,FALSE)</f>
        <v>#REF!</v>
      </c>
      <c r="E22" s="518" t="e">
        <f>VLOOKUP($A22,#REF!,9,FALSE)</f>
        <v>#REF!</v>
      </c>
      <c r="F22" s="518" t="e">
        <f>VLOOKUP($A22,#REF!,10,FALSE)</f>
        <v>#REF!</v>
      </c>
      <c r="G22" s="518" t="e">
        <f>VLOOKUP($A22,#REF!,11,FALSE)</f>
        <v>#REF!</v>
      </c>
      <c r="H22" s="39" t="e">
        <f>+SUM(I22:L22)</f>
        <v>#REF!</v>
      </c>
      <c r="I22" s="518" t="e">
        <f>VLOOKUP($A22,#REF!,13,FALSE)</f>
        <v>#REF!</v>
      </c>
      <c r="J22" s="518" t="e">
        <f>VLOOKUP($A22,#REF!,14,FALSE)</f>
        <v>#REF!</v>
      </c>
      <c r="K22" s="518" t="e">
        <f>VLOOKUP($A22,#REF!,15,FALSE)</f>
        <v>#REF!</v>
      </c>
      <c r="L22" s="518" t="e">
        <f>VLOOKUP($A22,#REF!,16,FALSE)</f>
        <v>#REF!</v>
      </c>
      <c r="M22" s="522" t="e">
        <f>VLOOKUP($A22,#REF!,17,FALSE)</f>
        <v>#REF!</v>
      </c>
      <c r="N22" s="523" t="e">
        <f>VLOOKUP($A22,#REF!,18,FALSE)</f>
        <v>#REF!</v>
      </c>
      <c r="O22" s="522" t="e">
        <f>VLOOKUP($A22,#REF!,19,FALSE)</f>
        <v>#REF!</v>
      </c>
      <c r="P22" s="523" t="e">
        <f>VLOOKUP($A22,#REF!,20,FALSE)</f>
        <v>#REF!</v>
      </c>
      <c r="Q22" s="61" t="e">
        <f t="shared" si="4"/>
        <v>#REF!</v>
      </c>
      <c r="R22" s="61" t="e">
        <f t="shared" si="5"/>
        <v>#REF!</v>
      </c>
      <c r="S22" s="189" t="e">
        <f t="shared" si="2"/>
        <v>#REF!</v>
      </c>
      <c r="T22" s="213" t="e">
        <f>VLOOKUP($X22,'Figure 4'!$A$56:$H$76,8,FALSE)</f>
        <v>#REF!</v>
      </c>
      <c r="U22" s="213"/>
      <c r="V22" s="213"/>
      <c r="W22" s="213"/>
      <c r="X22" s="23" t="s">
        <v>25</v>
      </c>
    </row>
    <row r="23" spans="1:28" s="23" customFormat="1" x14ac:dyDescent="0.35">
      <c r="A23" s="23" t="s">
        <v>31</v>
      </c>
      <c r="B23" s="602" t="e">
        <f>C23+H23</f>
        <v>#REF!</v>
      </c>
      <c r="C23" s="39" t="e">
        <f>+SUM(D23:G23)</f>
        <v>#REF!</v>
      </c>
      <c r="D23" s="518" t="e">
        <f>VLOOKUP(A23,#REF!,8,FALSE)</f>
        <v>#REF!</v>
      </c>
      <c r="E23" s="518" t="e">
        <f>VLOOKUP($A23,#REF!,9,FALSE)</f>
        <v>#REF!</v>
      </c>
      <c r="F23" s="518" t="e">
        <f>VLOOKUP($A23,#REF!,10,FALSE)</f>
        <v>#REF!</v>
      </c>
      <c r="G23" s="518" t="e">
        <f>VLOOKUP($A23,#REF!,11,FALSE)</f>
        <v>#REF!</v>
      </c>
      <c r="H23" s="39" t="e">
        <f>+SUM(I23:L23)</f>
        <v>#REF!</v>
      </c>
      <c r="I23" s="518" t="e">
        <f>VLOOKUP($A23,#REF!,13,FALSE)</f>
        <v>#REF!</v>
      </c>
      <c r="J23" s="518" t="e">
        <f>VLOOKUP($A23,#REF!,14,FALSE)</f>
        <v>#REF!</v>
      </c>
      <c r="K23" s="518" t="e">
        <f>VLOOKUP($A23,#REF!,15,FALSE)</f>
        <v>#REF!</v>
      </c>
      <c r="L23" s="518" t="e">
        <f>VLOOKUP($A23,#REF!,16,FALSE)</f>
        <v>#REF!</v>
      </c>
      <c r="M23" s="522" t="e">
        <f>VLOOKUP($A23,#REF!,17,FALSE)</f>
        <v>#REF!</v>
      </c>
      <c r="N23" s="523" t="e">
        <f>VLOOKUP($A23,#REF!,18,FALSE)</f>
        <v>#REF!</v>
      </c>
      <c r="O23" s="522" t="e">
        <f>VLOOKUP($A23,#REF!,19,FALSE)</f>
        <v>#REF!</v>
      </c>
      <c r="P23" s="523" t="e">
        <f>VLOOKUP($A23,#REF!,20,FALSE)</f>
        <v>#REF!</v>
      </c>
      <c r="Q23" s="61" t="e">
        <f>+O23*5</f>
        <v>#REF!</v>
      </c>
      <c r="R23" s="61" t="e">
        <f>+P23*5</f>
        <v>#REF!</v>
      </c>
      <c r="S23" s="189" t="e">
        <f>+P23+O23+N23+M23+C23+H23</f>
        <v>#REF!</v>
      </c>
      <c r="T23" s="213" t="e">
        <f>VLOOKUP($X23,'Figure 4'!$A$56:$H$76,8,FALSE)</f>
        <v>#REF!</v>
      </c>
      <c r="U23" s="213"/>
      <c r="V23" s="213"/>
      <c r="W23" s="213"/>
      <c r="X23" s="23" t="s">
        <v>31</v>
      </c>
    </row>
    <row r="24" spans="1:28" s="23" customFormat="1" x14ac:dyDescent="0.35">
      <c r="A24" s="23" t="s">
        <v>14</v>
      </c>
      <c r="B24" s="602" t="e">
        <f t="shared" si="3"/>
        <v>#REF!</v>
      </c>
      <c r="C24" s="39" t="e">
        <f t="shared" si="0"/>
        <v>#REF!</v>
      </c>
      <c r="D24" s="518" t="e">
        <f>VLOOKUP(A24,#REF!,8,FALSE)</f>
        <v>#REF!</v>
      </c>
      <c r="E24" s="518" t="e">
        <f>VLOOKUP($A24,#REF!,9,FALSE)</f>
        <v>#REF!</v>
      </c>
      <c r="F24" s="518" t="e">
        <f>VLOOKUP($A24,#REF!,10,FALSE)</f>
        <v>#REF!</v>
      </c>
      <c r="G24" s="518" t="e">
        <f>VLOOKUP($A24,#REF!,11,FALSE)</f>
        <v>#REF!</v>
      </c>
      <c r="H24" s="39" t="e">
        <f t="shared" si="1"/>
        <v>#REF!</v>
      </c>
      <c r="I24" s="518" t="e">
        <f>VLOOKUP($A24,#REF!,13,FALSE)</f>
        <v>#REF!</v>
      </c>
      <c r="J24" s="518" t="e">
        <f>VLOOKUP($A24,#REF!,14,FALSE)</f>
        <v>#REF!</v>
      </c>
      <c r="K24" s="518" t="e">
        <f>VLOOKUP($A24,#REF!,15,FALSE)</f>
        <v>#REF!</v>
      </c>
      <c r="L24" s="518" t="e">
        <f>VLOOKUP($A24,#REF!,16,FALSE)</f>
        <v>#REF!</v>
      </c>
      <c r="M24" s="522" t="e">
        <f>VLOOKUP($A24,#REF!,17,FALSE)</f>
        <v>#REF!</v>
      </c>
      <c r="N24" s="523" t="e">
        <f>VLOOKUP($A24,#REF!,18,FALSE)</f>
        <v>#REF!</v>
      </c>
      <c r="O24" s="522" t="e">
        <f>VLOOKUP($A24,#REF!,19,FALSE)</f>
        <v>#REF!</v>
      </c>
      <c r="P24" s="523" t="e">
        <f>VLOOKUP($A24,#REF!,20,FALSE)</f>
        <v>#REF!</v>
      </c>
      <c r="Q24" s="61" t="e">
        <f t="shared" si="4"/>
        <v>#REF!</v>
      </c>
      <c r="R24" s="61" t="e">
        <f t="shared" si="5"/>
        <v>#REF!</v>
      </c>
      <c r="S24" s="189" t="e">
        <f t="shared" si="2"/>
        <v>#REF!</v>
      </c>
      <c r="T24" s="213" t="e">
        <f>VLOOKUP($X24,'Figure 4'!$A$56:$H$76,8,FALSE)</f>
        <v>#REF!</v>
      </c>
      <c r="U24" s="213"/>
      <c r="V24" s="213"/>
      <c r="W24" s="213"/>
      <c r="X24" s="23" t="s">
        <v>14</v>
      </c>
    </row>
    <row r="25" spans="1:28" s="23" customFormat="1" x14ac:dyDescent="0.35">
      <c r="A25" s="466" t="s">
        <v>22</v>
      </c>
      <c r="B25" s="603" t="e">
        <f t="shared" si="3"/>
        <v>#REF!</v>
      </c>
      <c r="C25" s="41" t="e">
        <f t="shared" si="0"/>
        <v>#REF!</v>
      </c>
      <c r="D25" s="519" t="e">
        <f>VLOOKUP(A25,#REF!,8,FALSE)</f>
        <v>#REF!</v>
      </c>
      <c r="E25" s="519" t="e">
        <f>VLOOKUP($A25,#REF!,9,FALSE)</f>
        <v>#REF!</v>
      </c>
      <c r="F25" s="519" t="e">
        <f>VLOOKUP($A25,#REF!,10,FALSE)</f>
        <v>#REF!</v>
      </c>
      <c r="G25" s="519" t="e">
        <f>VLOOKUP($A25,#REF!,11,FALSE)</f>
        <v>#REF!</v>
      </c>
      <c r="H25" s="524" t="e">
        <f t="shared" si="1"/>
        <v>#REF!</v>
      </c>
      <c r="I25" s="519" t="e">
        <f>VLOOKUP($A25,#REF!,13,FALSE)</f>
        <v>#REF!</v>
      </c>
      <c r="J25" s="519" t="e">
        <f>VLOOKUP($A25,#REF!,14,FALSE)</f>
        <v>#REF!</v>
      </c>
      <c r="K25" s="519" t="e">
        <f>VLOOKUP($A25,#REF!,15,FALSE)</f>
        <v>#REF!</v>
      </c>
      <c r="L25" s="519" t="e">
        <f>VLOOKUP($A25,#REF!,16,FALSE)</f>
        <v>#REF!</v>
      </c>
      <c r="M25" s="524" t="e">
        <f>VLOOKUP($A25,#REF!,17,FALSE)</f>
        <v>#REF!</v>
      </c>
      <c r="N25" s="525" t="e">
        <f>VLOOKUP($A25,#REF!,18,FALSE)</f>
        <v>#REF!</v>
      </c>
      <c r="O25" s="524" t="e">
        <f>VLOOKUP($A25,#REF!,19,FALSE)</f>
        <v>#REF!</v>
      </c>
      <c r="P25" s="525" t="e">
        <f>VLOOKUP($A25,#REF!,20,FALSE)</f>
        <v>#REF!</v>
      </c>
      <c r="Q25" s="467" t="e">
        <f t="shared" si="4"/>
        <v>#REF!</v>
      </c>
      <c r="R25" s="467" t="e">
        <f t="shared" si="5"/>
        <v>#REF!</v>
      </c>
      <c r="S25" s="189" t="e">
        <f t="shared" si="2"/>
        <v>#REF!</v>
      </c>
      <c r="T25" s="213"/>
      <c r="U25" s="213"/>
      <c r="V25" s="213"/>
      <c r="W25" s="213"/>
      <c r="X25" s="466" t="s">
        <v>22</v>
      </c>
    </row>
    <row r="26" spans="1:28" s="23" customFormat="1" x14ac:dyDescent="0.35">
      <c r="A26" s="23" t="s">
        <v>125</v>
      </c>
      <c r="B26" s="189" t="e">
        <f t="shared" ref="B26:T26" si="6">AVERAGE(B18:B25,B7:B17)</f>
        <v>#REF!</v>
      </c>
      <c r="C26" s="189" t="e">
        <f t="shared" si="6"/>
        <v>#REF!</v>
      </c>
      <c r="D26" s="189" t="e">
        <f t="shared" si="6"/>
        <v>#REF!</v>
      </c>
      <c r="E26" s="189" t="e">
        <f t="shared" si="6"/>
        <v>#REF!</v>
      </c>
      <c r="F26" s="189" t="e">
        <f t="shared" si="6"/>
        <v>#REF!</v>
      </c>
      <c r="G26" s="189" t="e">
        <f t="shared" si="6"/>
        <v>#REF!</v>
      </c>
      <c r="H26" s="189" t="e">
        <f t="shared" si="6"/>
        <v>#REF!</v>
      </c>
      <c r="I26" s="189" t="e">
        <f t="shared" si="6"/>
        <v>#REF!</v>
      </c>
      <c r="J26" s="189" t="e">
        <f t="shared" si="6"/>
        <v>#REF!</v>
      </c>
      <c r="K26" s="189" t="e">
        <f t="shared" si="6"/>
        <v>#REF!</v>
      </c>
      <c r="L26" s="189" t="e">
        <f t="shared" si="6"/>
        <v>#REF!</v>
      </c>
      <c r="M26" s="189" t="e">
        <f t="shared" si="6"/>
        <v>#REF!</v>
      </c>
      <c r="N26" s="189" t="e">
        <f t="shared" si="6"/>
        <v>#REF!</v>
      </c>
      <c r="O26" s="189" t="e">
        <f t="shared" si="6"/>
        <v>#REF!</v>
      </c>
      <c r="P26" s="189" t="e">
        <f t="shared" si="6"/>
        <v>#REF!</v>
      </c>
      <c r="Q26" s="189" t="e">
        <f t="shared" si="6"/>
        <v>#REF!</v>
      </c>
      <c r="R26" s="189" t="e">
        <f t="shared" si="6"/>
        <v>#REF!</v>
      </c>
      <c r="S26" s="189" t="e">
        <f t="shared" si="6"/>
        <v>#REF!</v>
      </c>
      <c r="T26" s="189" t="e">
        <f t="shared" si="6"/>
        <v>#REF!</v>
      </c>
      <c r="U26" s="189"/>
      <c r="V26" s="189"/>
    </row>
    <row r="27" spans="1:28" s="23" customFormat="1" ht="29" x14ac:dyDescent="0.35">
      <c r="A27" s="577" t="s">
        <v>472</v>
      </c>
      <c r="B27" s="189" t="e">
        <f t="shared" ref="B27:T27" si="7">AVERAGE(B7:B17,B24:B25,B18:B22)</f>
        <v>#REF!</v>
      </c>
      <c r="C27" s="189" t="e">
        <f t="shared" si="7"/>
        <v>#REF!</v>
      </c>
      <c r="D27" s="189" t="e">
        <f t="shared" si="7"/>
        <v>#REF!</v>
      </c>
      <c r="E27" s="189" t="e">
        <f t="shared" si="7"/>
        <v>#REF!</v>
      </c>
      <c r="F27" s="189" t="e">
        <f t="shared" si="7"/>
        <v>#REF!</v>
      </c>
      <c r="G27" s="189" t="e">
        <f t="shared" si="7"/>
        <v>#REF!</v>
      </c>
      <c r="H27" s="189" t="e">
        <f t="shared" si="7"/>
        <v>#REF!</v>
      </c>
      <c r="I27" s="189" t="e">
        <f t="shared" si="7"/>
        <v>#REF!</v>
      </c>
      <c r="J27" s="189" t="e">
        <f t="shared" si="7"/>
        <v>#REF!</v>
      </c>
      <c r="K27" s="189" t="e">
        <f t="shared" si="7"/>
        <v>#REF!</v>
      </c>
      <c r="L27" s="189" t="e">
        <f t="shared" si="7"/>
        <v>#REF!</v>
      </c>
      <c r="M27" s="189" t="e">
        <f t="shared" si="7"/>
        <v>#REF!</v>
      </c>
      <c r="N27" s="189" t="e">
        <f t="shared" si="7"/>
        <v>#REF!</v>
      </c>
      <c r="O27" s="189" t="e">
        <f t="shared" si="7"/>
        <v>#REF!</v>
      </c>
      <c r="P27" s="189" t="e">
        <f t="shared" si="7"/>
        <v>#REF!</v>
      </c>
      <c r="Q27" s="189" t="e">
        <f t="shared" si="7"/>
        <v>#REF!</v>
      </c>
      <c r="R27" s="189" t="e">
        <f t="shared" si="7"/>
        <v>#REF!</v>
      </c>
      <c r="S27" s="189" t="e">
        <f t="shared" si="7"/>
        <v>#REF!</v>
      </c>
      <c r="T27" s="189" t="e">
        <f t="shared" si="7"/>
        <v>#REF!</v>
      </c>
      <c r="U27" s="189"/>
      <c r="V27" s="189"/>
    </row>
    <row r="28" spans="1:28" x14ac:dyDescent="0.35">
      <c r="H28" s="7" t="e">
        <f>+H26+C26</f>
        <v>#REF!</v>
      </c>
    </row>
    <row r="29" spans="1:28" ht="18.5" x14ac:dyDescent="0.45">
      <c r="A29" s="21" t="s">
        <v>145</v>
      </c>
      <c r="B29" s="21"/>
    </row>
    <row r="30" spans="1:28" ht="15" customHeight="1" x14ac:dyDescent="0.35">
      <c r="L30" s="56"/>
      <c r="N30" s="932" t="s">
        <v>68</v>
      </c>
      <c r="O30" s="940" t="s">
        <v>69</v>
      </c>
      <c r="P30" s="941"/>
      <c r="Q30" s="940" t="s">
        <v>70</v>
      </c>
      <c r="R30" s="941"/>
      <c r="S30" s="27"/>
    </row>
    <row r="31" spans="1:28" ht="39" x14ac:dyDescent="0.35">
      <c r="L31" s="56" t="s">
        <v>150</v>
      </c>
      <c r="M31" t="s">
        <v>151</v>
      </c>
      <c r="N31" s="934"/>
      <c r="O31" s="35" t="s">
        <v>82</v>
      </c>
      <c r="P31" s="36" t="s">
        <v>83</v>
      </c>
      <c r="Q31" s="35" t="s">
        <v>84</v>
      </c>
      <c r="R31" s="36" t="s">
        <v>85</v>
      </c>
      <c r="S31" s="458" t="s">
        <v>86</v>
      </c>
      <c r="T31" s="458" t="s">
        <v>486</v>
      </c>
      <c r="U31" s="25" t="s">
        <v>494</v>
      </c>
      <c r="V31" s="25" t="s">
        <v>485</v>
      </c>
      <c r="W31" s="25" t="s">
        <v>500</v>
      </c>
      <c r="Z31" s="25"/>
      <c r="AA31" s="25"/>
    </row>
    <row r="32" spans="1:28" x14ac:dyDescent="0.35">
      <c r="L32" s="944" t="s">
        <v>11</v>
      </c>
      <c r="M32" s="22">
        <v>2013</v>
      </c>
      <c r="N32" s="651">
        <v>0.44456438356164374</v>
      </c>
      <c r="O32" s="651">
        <v>8.2191780821917804E-2</v>
      </c>
      <c r="P32" s="651">
        <v>3.8339358089604557E-2</v>
      </c>
      <c r="Q32" s="651">
        <v>8.2155767334866903E-2</v>
      </c>
      <c r="R32" s="651">
        <v>3.2862306933946768E-2</v>
      </c>
      <c r="S32" s="652">
        <f t="shared" ref="S32:S65" si="8">SUM(N32:R32)</f>
        <v>0.68011359674197969</v>
      </c>
      <c r="T32" s="30"/>
      <c r="U32" s="30"/>
      <c r="V32" s="30"/>
      <c r="Y32" s="9"/>
      <c r="AB32" s="30"/>
    </row>
    <row r="33" spans="11:28" x14ac:dyDescent="0.35">
      <c r="L33" s="978"/>
      <c r="M33" s="646">
        <v>2023</v>
      </c>
      <c r="N33" s="653" t="e">
        <f>VLOOKUP($L32,$A$6:$P$25,2,FALSE)</f>
        <v>#REF!</v>
      </c>
      <c r="O33" s="653" t="e">
        <f>VLOOKUP($L32,$A$6:$P$25,13,FALSE)</f>
        <v>#REF!</v>
      </c>
      <c r="P33" s="653" t="e">
        <f>VLOOKUP($L32,$A$6:$P$25,14,FALSE)</f>
        <v>#REF!</v>
      </c>
      <c r="Q33" s="653" t="e">
        <f>VLOOKUP($L32,$A$6:$P$25,15,FALSE)</f>
        <v>#REF!</v>
      </c>
      <c r="R33" s="653" t="e">
        <f>VLOOKUP($L32,$A$6:$P$25,16,FALSE)</f>
        <v>#REF!</v>
      </c>
      <c r="S33" s="652" t="e">
        <f t="shared" si="8"/>
        <v>#REF!</v>
      </c>
      <c r="T33" s="30">
        <v>0.68958575966699531</v>
      </c>
      <c r="U33" s="30" t="e">
        <f>S33-S32</f>
        <v>#REF!</v>
      </c>
      <c r="V33" s="30" t="e">
        <f>T33-S33</f>
        <v>#REF!</v>
      </c>
      <c r="W33" s="2" t="e">
        <f>SUM(U33:V33)</f>
        <v>#REF!</v>
      </c>
      <c r="X33" s="2"/>
      <c r="Y33" s="9"/>
      <c r="AB33" s="30"/>
    </row>
    <row r="34" spans="11:28" x14ac:dyDescent="0.35">
      <c r="L34" s="977" t="s">
        <v>12</v>
      </c>
      <c r="M34" s="22">
        <v>2013</v>
      </c>
      <c r="N34" s="654">
        <v>0.46750684931506853</v>
      </c>
      <c r="O34" s="654">
        <v>8.2191780821917804E-2</v>
      </c>
      <c r="P34" s="654">
        <v>0.1095890410958904</v>
      </c>
      <c r="Q34" s="654">
        <v>3.1561643835616437E-2</v>
      </c>
      <c r="R34" s="654">
        <v>2.3013698630136987E-2</v>
      </c>
      <c r="S34" s="652">
        <f t="shared" si="8"/>
        <v>0.71386301369863026</v>
      </c>
      <c r="T34" s="30"/>
      <c r="U34" s="30"/>
      <c r="V34" s="30"/>
      <c r="Y34" s="9"/>
    </row>
    <row r="35" spans="11:28" x14ac:dyDescent="0.35">
      <c r="L35" s="978"/>
      <c r="M35" s="646">
        <v>2023</v>
      </c>
      <c r="N35" s="655" t="e">
        <f>VLOOKUP($L34,$A$6:$P$25,2,FALSE)</f>
        <v>#REF!</v>
      </c>
      <c r="O35" s="655" t="e">
        <f>VLOOKUP($L34,$A$6:$P$25,13,FALSE)</f>
        <v>#REF!</v>
      </c>
      <c r="P35" s="655" t="e">
        <f>VLOOKUP($L34,$A$6:$P$25,14,FALSE)</f>
        <v>#REF!</v>
      </c>
      <c r="Q35" s="655" t="e">
        <f>VLOOKUP($L34,$A$6:$P$25,15,FALSE)</f>
        <v>#REF!</v>
      </c>
      <c r="R35" s="655" t="e">
        <f>VLOOKUP($L34,$A$6:$P$25,16,FALSE)</f>
        <v>#REF!</v>
      </c>
      <c r="S35" s="652" t="e">
        <f t="shared" si="8"/>
        <v>#REF!</v>
      </c>
      <c r="T35" s="30">
        <v>0.71321831525906454</v>
      </c>
      <c r="U35" s="30" t="e">
        <f>S35-S34</f>
        <v>#REF!</v>
      </c>
      <c r="V35" s="30" t="e">
        <f t="shared" ref="V35:V65" si="9">T35-S35</f>
        <v>#REF!</v>
      </c>
      <c r="W35" s="2" t="e">
        <f>SUM(U35:V35)</f>
        <v>#REF!</v>
      </c>
      <c r="X35" s="2"/>
      <c r="Y35" s="9"/>
    </row>
    <row r="36" spans="11:28" x14ac:dyDescent="0.35">
      <c r="K36" s="63"/>
      <c r="L36" s="1132" t="s">
        <v>16</v>
      </c>
      <c r="M36" s="656">
        <v>2013</v>
      </c>
      <c r="N36" s="657">
        <v>0.33066049950706544</v>
      </c>
      <c r="O36" s="657">
        <v>0.16431153466973383</v>
      </c>
      <c r="P36" s="657">
        <v>8.2155767334866917E-2</v>
      </c>
      <c r="Q36" s="657">
        <v>0.12323365100230035</v>
      </c>
      <c r="R36" s="657">
        <v>0</v>
      </c>
      <c r="S36" s="658">
        <f t="shared" si="8"/>
        <v>0.70036145251396653</v>
      </c>
      <c r="T36" s="30"/>
      <c r="U36" s="30"/>
      <c r="V36" s="30"/>
      <c r="Y36" s="9"/>
    </row>
    <row r="37" spans="11:28" x14ac:dyDescent="0.35">
      <c r="K37" s="63"/>
      <c r="L37" s="1133"/>
      <c r="M37" s="648">
        <v>2023</v>
      </c>
      <c r="N37" s="659" t="e">
        <f>VLOOKUP($L36,$A$6:$P$25,2,FALSE)</f>
        <v>#REF!</v>
      </c>
      <c r="O37" s="659" t="e">
        <f>VLOOKUP($L36,$A$6:$P$25,13,FALSE)</f>
        <v>#REF!</v>
      </c>
      <c r="P37" s="659" t="e">
        <f>VLOOKUP($L36,$A$6:$P$25,14,FALSE)</f>
        <v>#REF!</v>
      </c>
      <c r="Q37" s="659" t="e">
        <f>VLOOKUP($L36,$A$6:$P$25,15,FALSE)</f>
        <v>#REF!</v>
      </c>
      <c r="R37" s="659" t="e">
        <f>VLOOKUP($L36,$A$6:$P$25,16,FALSE)</f>
        <v>#REF!</v>
      </c>
      <c r="S37" s="658" t="e">
        <f t="shared" si="8"/>
        <v>#REF!</v>
      </c>
      <c r="T37" s="30">
        <v>0.71736145251396632</v>
      </c>
      <c r="U37" s="30" t="e">
        <f>S37-S36</f>
        <v>#REF!</v>
      </c>
      <c r="V37" s="30" t="e">
        <f t="shared" si="9"/>
        <v>#REF!</v>
      </c>
      <c r="W37" s="2" t="e">
        <f>SUM(U37:V37)</f>
        <v>#REF!</v>
      </c>
      <c r="X37" s="2" t="s">
        <v>495</v>
      </c>
      <c r="Y37" s="9"/>
    </row>
    <row r="38" spans="11:28" x14ac:dyDescent="0.35">
      <c r="K38" s="63"/>
      <c r="L38" s="1132" t="s">
        <v>14</v>
      </c>
      <c r="M38" s="656">
        <v>2013</v>
      </c>
      <c r="N38" s="670">
        <v>0.40479900088802745</v>
      </c>
      <c r="O38" s="670">
        <v>8.2155767334866917E-2</v>
      </c>
      <c r="P38" s="670">
        <v>5.7509037134406839E-2</v>
      </c>
      <c r="Q38" s="670">
        <v>9.8039215686274522E-2</v>
      </c>
      <c r="R38" s="670">
        <v>0</v>
      </c>
      <c r="S38" s="670">
        <v>0.64250302104357571</v>
      </c>
      <c r="T38" s="30"/>
      <c r="U38" s="30"/>
      <c r="V38" s="30"/>
      <c r="W38" s="502"/>
      <c r="X38" s="2"/>
      <c r="Y38" s="9"/>
    </row>
    <row r="39" spans="11:28" x14ac:dyDescent="0.35">
      <c r="K39" s="63"/>
      <c r="L39" s="1133"/>
      <c r="M39" s="648">
        <v>2023</v>
      </c>
      <c r="N39" s="660" t="e">
        <f>VLOOKUP($L38,$A$6:$P$25,2,FALSE)</f>
        <v>#REF!</v>
      </c>
      <c r="O39" s="660" t="e">
        <f>VLOOKUP($L38,$A$6:$P$25,13,FALSE)</f>
        <v>#REF!</v>
      </c>
      <c r="P39" s="660" t="e">
        <f>VLOOKUP($L38,$A$6:$P$25,14,FALSE)</f>
        <v>#REF!</v>
      </c>
      <c r="Q39" s="660" t="e">
        <f>VLOOKUP($L38,$A$6:$P$25,15,FALSE)</f>
        <v>#REF!</v>
      </c>
      <c r="R39" s="660" t="e">
        <f>VLOOKUP($L38,$A$6:$P$25,16,FALSE)</f>
        <v>#REF!</v>
      </c>
      <c r="S39" s="652" t="e">
        <f>SUM(N39:R39)</f>
        <v>#REF!</v>
      </c>
      <c r="T39" s="30">
        <v>0.64251661105980917</v>
      </c>
      <c r="U39" s="30" t="e">
        <f>S39-S38</f>
        <v>#REF!</v>
      </c>
      <c r="V39" s="30" t="e">
        <f>T39-S39</f>
        <v>#REF!</v>
      </c>
      <c r="W39" s="2" t="e">
        <f>SUM(U39:V39)</f>
        <v>#REF!</v>
      </c>
      <c r="X39" s="2"/>
      <c r="Y39" s="9"/>
    </row>
    <row r="40" spans="11:28" x14ac:dyDescent="0.35">
      <c r="K40" s="63"/>
      <c r="L40" s="1130" t="s">
        <v>17</v>
      </c>
      <c r="M40" s="22">
        <v>2013</v>
      </c>
      <c r="N40" s="666">
        <v>0.33751666473800002</v>
      </c>
      <c r="O40" s="666">
        <v>0.16666665999999999</v>
      </c>
      <c r="P40" s="666">
        <v>4.1666666666666664E-2</v>
      </c>
      <c r="Q40" s="666">
        <v>8.3333333333333343E-2</v>
      </c>
      <c r="R40" s="666">
        <v>0</v>
      </c>
      <c r="S40" s="652">
        <f>SUM(N40:R40)</f>
        <v>0.62918332473799998</v>
      </c>
      <c r="T40" s="30"/>
      <c r="U40" s="30"/>
      <c r="V40" s="30"/>
      <c r="Y40" s="9"/>
    </row>
    <row r="41" spans="11:28" x14ac:dyDescent="0.35">
      <c r="K41" s="63"/>
      <c r="L41" s="1131"/>
      <c r="M41" s="646">
        <v>2023</v>
      </c>
      <c r="N41" s="655" t="e">
        <f>VLOOKUP($L40,$A$6:$P$25,2,FALSE)</f>
        <v>#REF!</v>
      </c>
      <c r="O41" s="655" t="e">
        <f>VLOOKUP($L40,$A$6:$P$25,13,FALSE)</f>
        <v>#REF!</v>
      </c>
      <c r="P41" s="655" t="e">
        <f>VLOOKUP($L40,$A$6:$P$25,14,FALSE)</f>
        <v>#REF!</v>
      </c>
      <c r="Q41" s="655" t="e">
        <f>VLOOKUP($L40,$A$6:$P$25,15,FALSE)</f>
        <v>#REF!</v>
      </c>
      <c r="R41" s="655" t="e">
        <f>VLOOKUP($L40,$A$6:$P$25,16,FALSE)</f>
        <v>#REF!</v>
      </c>
      <c r="S41" s="652" t="e">
        <f>SUM(N41:R41)</f>
        <v>#REF!</v>
      </c>
      <c r="T41" s="30">
        <v>0.62918332473799998</v>
      </c>
      <c r="U41" s="30" t="e">
        <f>S41-S40</f>
        <v>#REF!</v>
      </c>
      <c r="V41" s="30" t="e">
        <f t="shared" si="9"/>
        <v>#REF!</v>
      </c>
      <c r="W41" s="2" t="e">
        <f>SUM(U41:V41)</f>
        <v>#REF!</v>
      </c>
      <c r="X41" s="7"/>
      <c r="Y41" s="9"/>
    </row>
    <row r="42" spans="11:28" x14ac:dyDescent="0.35">
      <c r="L42" s="977" t="s">
        <v>13</v>
      </c>
      <c r="M42" s="22">
        <v>2013</v>
      </c>
      <c r="N42" s="654">
        <v>0.2742</v>
      </c>
      <c r="O42" s="654">
        <v>0.16438356164383561</v>
      </c>
      <c r="P42" s="654">
        <v>5.4794520547945202E-2</v>
      </c>
      <c r="Q42" s="654">
        <v>8.2191780821917804E-2</v>
      </c>
      <c r="R42" s="654">
        <v>4.9315068493150691E-2</v>
      </c>
      <c r="S42" s="652">
        <f t="shared" si="8"/>
        <v>0.62488493150684932</v>
      </c>
      <c r="T42" s="30"/>
      <c r="U42" s="30"/>
      <c r="V42" s="30"/>
      <c r="Y42" s="9"/>
    </row>
    <row r="43" spans="11:28" x14ac:dyDescent="0.35">
      <c r="L43" s="978"/>
      <c r="M43" s="646">
        <v>2023</v>
      </c>
      <c r="N43" s="653" t="e">
        <f>VLOOKUP($L42,$A$6:$P$25,2,FALSE)</f>
        <v>#REF!</v>
      </c>
      <c r="O43" s="653" t="e">
        <f>VLOOKUP($L42,$A$6:$P$25,13,FALSE)</f>
        <v>#REF!</v>
      </c>
      <c r="P43" s="653" t="e">
        <f>VLOOKUP($L42,$A$6:$P$25,14,FALSE)</f>
        <v>#REF!</v>
      </c>
      <c r="Q43" s="653" t="e">
        <f>VLOOKUP($L42,$A$6:$P$25,15,FALSE)</f>
        <v>#REF!</v>
      </c>
      <c r="R43" s="653" t="e">
        <f>VLOOKUP($L42,$A$6:$P$25,16,FALSE)</f>
        <v>#REF!</v>
      </c>
      <c r="S43" s="652" t="e">
        <f t="shared" si="8"/>
        <v>#REF!</v>
      </c>
      <c r="T43" s="30">
        <v>0.62473127396209893</v>
      </c>
      <c r="U43" s="30" t="e">
        <f>S43-S42</f>
        <v>#REF!</v>
      </c>
      <c r="V43" s="30" t="e">
        <f t="shared" si="9"/>
        <v>#REF!</v>
      </c>
      <c r="W43" s="2" t="e">
        <f>SUM(U43:V43)</f>
        <v>#REF!</v>
      </c>
      <c r="X43" s="2"/>
      <c r="Y43" s="9"/>
    </row>
    <row r="44" spans="11:28" x14ac:dyDescent="0.35">
      <c r="L44" s="982" t="s">
        <v>18</v>
      </c>
      <c r="M44" s="656">
        <v>2013</v>
      </c>
      <c r="N44" s="661">
        <v>0.38574657534246581</v>
      </c>
      <c r="O44" s="661">
        <v>8.2191780821917804E-2</v>
      </c>
      <c r="P44" s="661">
        <v>3.8356164383561646E-2</v>
      </c>
      <c r="Q44" s="661">
        <v>5.8082191780821926E-2</v>
      </c>
      <c r="R44" s="661">
        <v>1.643835616438356E-2</v>
      </c>
      <c r="S44" s="652">
        <f t="shared" si="8"/>
        <v>0.58081506849315079</v>
      </c>
      <c r="T44" s="30"/>
      <c r="U44" s="30"/>
      <c r="V44" s="30"/>
      <c r="Y44" s="9"/>
    </row>
    <row r="45" spans="11:28" x14ac:dyDescent="0.35">
      <c r="L45" s="984"/>
      <c r="M45" s="648">
        <v>2023</v>
      </c>
      <c r="N45" s="662" t="e">
        <f>VLOOKUP($L44,$A$6:$P$25,2,FALSE)</f>
        <v>#REF!</v>
      </c>
      <c r="O45" s="662" t="e">
        <f>VLOOKUP($L44,$A$6:$P$25,13,FALSE)</f>
        <v>#REF!</v>
      </c>
      <c r="P45" s="662" t="e">
        <f>VLOOKUP($L44,$A$6:$P$25,14,FALSE)</f>
        <v>#REF!</v>
      </c>
      <c r="Q45" s="662" t="e">
        <f>VLOOKUP($L44,$A$6:$P$25,15,FALSE)</f>
        <v>#REF!</v>
      </c>
      <c r="R45" s="662" t="e">
        <f>VLOOKUP($L44,$A$6:$P$25,16,FALSE)</f>
        <v>#REF!</v>
      </c>
      <c r="S45" s="663" t="e">
        <f t="shared" si="8"/>
        <v>#REF!</v>
      </c>
      <c r="T45" s="30">
        <v>0.61031573009091922</v>
      </c>
      <c r="U45" s="30" t="e">
        <f>S45-S44</f>
        <v>#REF!</v>
      </c>
      <c r="V45" s="30" t="e">
        <f t="shared" si="9"/>
        <v>#REF!</v>
      </c>
      <c r="W45" s="2" t="e">
        <f>SUM(U45:V45)</f>
        <v>#REF!</v>
      </c>
      <c r="X45" s="2" t="s">
        <v>496</v>
      </c>
      <c r="Y45" s="9"/>
    </row>
    <row r="46" spans="11:28" x14ac:dyDescent="0.35">
      <c r="L46" s="982" t="s">
        <v>15</v>
      </c>
      <c r="M46" s="647">
        <v>2013</v>
      </c>
      <c r="N46" s="664">
        <v>0.3467386301369863</v>
      </c>
      <c r="O46" s="664">
        <v>8.2191780821917804E-2</v>
      </c>
      <c r="P46" s="664">
        <v>4.1095890410958902E-2</v>
      </c>
      <c r="Q46" s="664">
        <v>6.0273972602739735E-2</v>
      </c>
      <c r="R46" s="664">
        <v>4.10958904109589E-3</v>
      </c>
      <c r="S46" s="652">
        <f t="shared" si="8"/>
        <v>0.53440986301369864</v>
      </c>
      <c r="T46" s="30"/>
      <c r="U46" s="30"/>
      <c r="V46" s="30"/>
      <c r="Y46" s="9"/>
    </row>
    <row r="47" spans="11:28" x14ac:dyDescent="0.35">
      <c r="L47" s="984"/>
      <c r="M47" s="648">
        <v>2023</v>
      </c>
      <c r="N47" s="662" t="e">
        <f>VLOOKUP($L46,$A$6:$P$25,2,FALSE)</f>
        <v>#REF!</v>
      </c>
      <c r="O47" s="662" t="e">
        <f>VLOOKUP($L46,$A$6:$P$25,13,FALSE)</f>
        <v>#REF!</v>
      </c>
      <c r="P47" s="662" t="e">
        <f>VLOOKUP($L46,$A$6:$P$25,14,FALSE)</f>
        <v>#REF!</v>
      </c>
      <c r="Q47" s="662" t="e">
        <f>VLOOKUP($L46,$A$6:$P$25,15,FALSE)</f>
        <v>#REF!</v>
      </c>
      <c r="R47" s="662" t="e">
        <f>VLOOKUP($L46,$A$6:$P$25,16,FALSE)</f>
        <v>#REF!</v>
      </c>
      <c r="S47" s="652" t="e">
        <f t="shared" si="8"/>
        <v>#REF!</v>
      </c>
      <c r="T47" s="30">
        <v>0.53812794391499619</v>
      </c>
      <c r="U47" s="30" t="e">
        <f>S47-S46</f>
        <v>#REF!</v>
      </c>
      <c r="V47" s="30" t="e">
        <f>T47-S47</f>
        <v>#REF!</v>
      </c>
      <c r="W47" s="2" t="e">
        <f>SUM(U47:V47)</f>
        <v>#REF!</v>
      </c>
      <c r="X47" s="2" t="s">
        <v>497</v>
      </c>
      <c r="Y47" s="9"/>
    </row>
    <row r="48" spans="11:28" x14ac:dyDescent="0.35">
      <c r="L48" s="1130" t="s">
        <v>19</v>
      </c>
      <c r="M48" s="665">
        <v>2013</v>
      </c>
      <c r="N48" s="666">
        <v>0.28976913900755835</v>
      </c>
      <c r="O48" s="666">
        <v>8.2155767334866917E-2</v>
      </c>
      <c r="P48" s="666">
        <v>8.2155767334866917E-2</v>
      </c>
      <c r="Q48" s="666">
        <v>6.5176908752327747E-2</v>
      </c>
      <c r="R48" s="666">
        <v>0</v>
      </c>
      <c r="S48" s="667">
        <f t="shared" si="8"/>
        <v>0.51925758242961995</v>
      </c>
      <c r="T48" s="30"/>
      <c r="U48" s="30"/>
      <c r="V48" s="30"/>
      <c r="Y48" s="9"/>
    </row>
    <row r="49" spans="12:25" x14ac:dyDescent="0.35">
      <c r="L49" s="1131"/>
      <c r="M49" s="650">
        <v>2023</v>
      </c>
      <c r="N49" s="668" t="e">
        <f>VLOOKUP($L48,$A$6:$P$25,2,FALSE)</f>
        <v>#REF!</v>
      </c>
      <c r="O49" s="668" t="e">
        <f>VLOOKUP($L48,$A$6:$P$25,13,FALSE)</f>
        <v>#REF!</v>
      </c>
      <c r="P49" s="668" t="e">
        <f>VLOOKUP($L48,$A$6:$P$25,14,FALSE)</f>
        <v>#REF!</v>
      </c>
      <c r="Q49" s="668" t="e">
        <f>VLOOKUP($L48,$A$6:$P$25,15,FALSE)</f>
        <v>#REF!</v>
      </c>
      <c r="R49" s="668" t="e">
        <f>VLOOKUP($L48,$A$6:$P$25,16,FALSE)</f>
        <v>#REF!</v>
      </c>
      <c r="S49" s="667" t="e">
        <f t="shared" si="8"/>
        <v>#REF!</v>
      </c>
      <c r="T49" s="30">
        <v>0.52925758242961995</v>
      </c>
      <c r="U49" s="30" t="e">
        <f>S49-S48</f>
        <v>#REF!</v>
      </c>
      <c r="V49" s="30" t="e">
        <f t="shared" si="9"/>
        <v>#REF!</v>
      </c>
      <c r="W49" s="2" t="e">
        <f>SUM(U49:V49)</f>
        <v>#REF!</v>
      </c>
      <c r="X49" s="2"/>
      <c r="Y49" s="9"/>
    </row>
    <row r="50" spans="12:25" x14ac:dyDescent="0.35">
      <c r="L50" s="977" t="s">
        <v>125</v>
      </c>
      <c r="M50" s="665">
        <v>2013</v>
      </c>
      <c r="N50" s="578">
        <f>AVERAGE(N32,N34,N36,N38,N42,N44,N46,N48,N70,N68,N66,N52,N64,N62,N60,N56,N58,N54,N40)</f>
        <v>0.28217008007986755</v>
      </c>
      <c r="O50" s="578">
        <f>AVERAGE(O32,O34,O36,O38,O42,O44,O46,O48,O70,O68,O66,O52,O64,O62,O60,O56,O58,O54,O40)</f>
        <v>8.7228288353769015E-2</v>
      </c>
      <c r="P50" s="578">
        <f>AVERAGE(P32,P34,P36,P38,P42,P44,P46,P48,P70,P68,P66,P52,P64,P62,P60,P56,P58,P54,P40)</f>
        <v>5.1814119519338939E-2</v>
      </c>
      <c r="Q50" s="578">
        <f>AVERAGE(Q32,Q34,Q36,Q38,Q42,Q44,Q46,Q48,Q70,Q68,Q66,Q52,Q64,Q62,Q60,Q56,Q58,Q54,Q40)</f>
        <v>7.2996574532952066E-2</v>
      </c>
      <c r="R50" s="578">
        <f>AVERAGE(R32,R34,R36,R38,R42,R44,R46,R48,R70,R68,R66,R52,R64,R62,R60,R56,R58,R54,R40)</f>
        <v>1.212445376583004E-2</v>
      </c>
      <c r="S50" s="578">
        <f>SUM(N50:R50)</f>
        <v>0.5063335162517576</v>
      </c>
      <c r="T50" s="30"/>
      <c r="U50" s="30"/>
      <c r="V50" s="30"/>
      <c r="Y50" s="9"/>
    </row>
    <row r="51" spans="12:25" x14ac:dyDescent="0.35">
      <c r="L51" s="978"/>
      <c r="M51" s="646">
        <v>2023</v>
      </c>
      <c r="N51" s="669" t="e">
        <f>VLOOKUP($L50,$A$6:$P$26,2,FALSE)</f>
        <v>#REF!</v>
      </c>
      <c r="O51" s="669" t="e">
        <f>VLOOKUP($L50,$A$6:$P$26,13,FALSE)</f>
        <v>#REF!</v>
      </c>
      <c r="P51" s="669" t="e">
        <f>VLOOKUP($L50,$A$6:$P$26,14,FALSE)</f>
        <v>#REF!</v>
      </c>
      <c r="Q51" s="669" t="e">
        <f>VLOOKUP($L50,$A$6:$P$26,15,FALSE)</f>
        <v>#REF!</v>
      </c>
      <c r="R51" s="669" t="e">
        <f>VLOOKUP($L50,$A$6:$P$26,16,FALSE)</f>
        <v>#REF!</v>
      </c>
      <c r="S51" s="578" t="e">
        <f t="shared" si="8"/>
        <v>#REF!</v>
      </c>
      <c r="T51" s="30">
        <v>0.51940099374158211</v>
      </c>
      <c r="U51" s="30" t="e">
        <f>S51-S50</f>
        <v>#REF!</v>
      </c>
      <c r="V51" s="30" t="e">
        <f t="shared" si="9"/>
        <v>#REF!</v>
      </c>
      <c r="W51" s="2" t="e">
        <f>SUM(U51:V51)</f>
        <v>#REF!</v>
      </c>
      <c r="X51" s="7"/>
      <c r="Y51" s="9"/>
    </row>
    <row r="52" spans="12:25" x14ac:dyDescent="0.35">
      <c r="L52" s="1130" t="s">
        <v>27</v>
      </c>
      <c r="M52" s="665">
        <v>2013</v>
      </c>
      <c r="N52" s="666">
        <v>0.14700000000000002</v>
      </c>
      <c r="O52" s="666">
        <v>0.16431153466973381</v>
      </c>
      <c r="P52" s="666">
        <v>5.4770511556577951E-2</v>
      </c>
      <c r="Q52" s="666">
        <v>8.2155767334866917E-2</v>
      </c>
      <c r="R52" s="666">
        <v>3.2862306933946761E-2</v>
      </c>
      <c r="S52" s="667">
        <f>SUM(N52:R52)</f>
        <v>0.48110012049512546</v>
      </c>
      <c r="T52" s="30"/>
      <c r="U52" s="30"/>
      <c r="V52" s="30"/>
      <c r="Y52" s="9"/>
    </row>
    <row r="53" spans="12:25" x14ac:dyDescent="0.35">
      <c r="L53" s="1131"/>
      <c r="M53" s="650">
        <v>2023</v>
      </c>
      <c r="N53" s="668" t="e">
        <f>VLOOKUP($L52,$A$6:$P$25,2,FALSE)</f>
        <v>#REF!</v>
      </c>
      <c r="O53" s="668" t="e">
        <f>VLOOKUP($L52,$A$6:$P$25,13,FALSE)</f>
        <v>#REF!</v>
      </c>
      <c r="P53" s="668" t="e">
        <f>VLOOKUP($L52,$A$6:$P$25,14,FALSE)</f>
        <v>#REF!</v>
      </c>
      <c r="Q53" s="668" t="e">
        <f>VLOOKUP($L52,$A$6:$P$25,15,FALSE)</f>
        <v>#REF!</v>
      </c>
      <c r="R53" s="668" t="e">
        <f>VLOOKUP($L52,$A$6:$P$25,16,FALSE)</f>
        <v>#REF!</v>
      </c>
      <c r="S53" s="667" t="e">
        <f>SUM(N53:R53)</f>
        <v>#REF!</v>
      </c>
      <c r="T53" s="30"/>
      <c r="U53" s="682"/>
      <c r="V53" s="30"/>
      <c r="W53" s="2">
        <f>SUM(U53:V53)</f>
        <v>0</v>
      </c>
      <c r="X53" s="7"/>
      <c r="Y53" s="9"/>
    </row>
    <row r="54" spans="12:25" x14ac:dyDescent="0.35">
      <c r="L54" s="977" t="s">
        <v>21</v>
      </c>
      <c r="M54" s="22">
        <v>2013</v>
      </c>
      <c r="N54" s="654">
        <v>0.17500000000000002</v>
      </c>
      <c r="O54" s="654">
        <v>0.16438356164383561</v>
      </c>
      <c r="P54" s="654">
        <v>4.1095890410958902E-2</v>
      </c>
      <c r="Q54" s="654">
        <v>8.2191780821917818E-2</v>
      </c>
      <c r="R54" s="654">
        <v>0</v>
      </c>
      <c r="S54" s="652">
        <f t="shared" si="8"/>
        <v>0.46267123287671236</v>
      </c>
      <c r="T54" s="30"/>
      <c r="U54" s="30"/>
      <c r="V54" s="30"/>
      <c r="Y54" s="9"/>
    </row>
    <row r="55" spans="12:25" x14ac:dyDescent="0.35">
      <c r="L55" s="978"/>
      <c r="M55" s="646">
        <v>2023</v>
      </c>
      <c r="N55" s="655" t="e">
        <f>VLOOKUP($L54,$A$6:$P$25,2,FALSE)</f>
        <v>#REF!</v>
      </c>
      <c r="O55" s="655" t="e">
        <f>VLOOKUP($L54,$A$6:$P$25,13,FALSE)</f>
        <v>#REF!</v>
      </c>
      <c r="P55" s="655" t="e">
        <f>VLOOKUP($L54,$A$6:$P$25,14,FALSE)</f>
        <v>#REF!</v>
      </c>
      <c r="Q55" s="655" t="e">
        <f>VLOOKUP($L54,$A$6:$P$25,15,FALSE)</f>
        <v>#REF!</v>
      </c>
      <c r="R55" s="655" t="e">
        <f>VLOOKUP($L54,$A$6:$P$25,16,FALSE)</f>
        <v>#REF!</v>
      </c>
      <c r="S55" s="652" t="e">
        <f t="shared" si="8"/>
        <v>#REF!</v>
      </c>
      <c r="T55" s="30">
        <v>0.46254518567203423</v>
      </c>
      <c r="U55" s="30" t="e">
        <f>S55-S54</f>
        <v>#REF!</v>
      </c>
      <c r="V55" s="30" t="e">
        <f t="shared" si="9"/>
        <v>#REF!</v>
      </c>
      <c r="W55" s="2" t="e">
        <f>SUM(U55:V55)</f>
        <v>#REF!</v>
      </c>
      <c r="X55" s="2"/>
      <c r="Y55" s="9"/>
    </row>
    <row r="56" spans="12:25" x14ac:dyDescent="0.35">
      <c r="L56" s="1132" t="s">
        <v>20</v>
      </c>
      <c r="M56" s="681">
        <v>2013</v>
      </c>
      <c r="N56" s="657">
        <v>0.28136049950706538</v>
      </c>
      <c r="O56" s="657">
        <v>8.2155767334866917E-2</v>
      </c>
      <c r="P56" s="657">
        <v>3.2862306933946768E-2</v>
      </c>
      <c r="Q56" s="657">
        <v>4.1077883667433458E-2</v>
      </c>
      <c r="R56" s="657">
        <v>2.4646730200460074E-2</v>
      </c>
      <c r="S56" s="652">
        <f>SUM(N56:R56)</f>
        <v>0.46210318764377262</v>
      </c>
      <c r="T56" s="30"/>
      <c r="U56" s="30"/>
      <c r="V56" s="30"/>
      <c r="W56" s="502"/>
      <c r="Y56" s="11"/>
    </row>
    <row r="57" spans="12:25" x14ac:dyDescent="0.35">
      <c r="L57" s="1133"/>
      <c r="M57" s="648">
        <v>2023</v>
      </c>
      <c r="N57" s="662" t="e">
        <f>VLOOKUP($L56,$A$6:$P$25,2,FALSE)</f>
        <v>#REF!</v>
      </c>
      <c r="O57" s="662" t="e">
        <f>VLOOKUP($L56,$A$6:$P$25,13,FALSE)</f>
        <v>#REF!</v>
      </c>
      <c r="P57" s="662" t="e">
        <f>VLOOKUP($L56,$A$6:$P$25,14,FALSE)</f>
        <v>#REF!</v>
      </c>
      <c r="Q57" s="662" t="e">
        <f>VLOOKUP($L56,$A$6:$P$25,15,FALSE)</f>
        <v>#REF!</v>
      </c>
      <c r="R57" s="662" t="e">
        <f>VLOOKUP($L56,$A$6:$P$25,16,FALSE)</f>
        <v>#REF!</v>
      </c>
      <c r="S57" s="652" t="e">
        <f>SUM(N57:R57)</f>
        <v>#REF!</v>
      </c>
      <c r="T57" s="30">
        <v>0.4544464782561069</v>
      </c>
      <c r="U57" s="30" t="e">
        <f>S59-S58</f>
        <v>#REF!</v>
      </c>
      <c r="V57" s="30" t="e">
        <f>T57-S59</f>
        <v>#REF!</v>
      </c>
      <c r="W57" s="2" t="e">
        <f>SUM(U57:V57)</f>
        <v>#REF!</v>
      </c>
      <c r="X57" s="2"/>
      <c r="Y57" s="11"/>
    </row>
    <row r="58" spans="12:25" x14ac:dyDescent="0.35">
      <c r="L58" s="977" t="s">
        <v>26</v>
      </c>
      <c r="M58" s="649">
        <v>2013</v>
      </c>
      <c r="N58" s="666">
        <v>0.24467541899441342</v>
      </c>
      <c r="O58" s="666">
        <v>8.2155767334866917E-2</v>
      </c>
      <c r="P58" s="666">
        <v>4.9293460400920142E-2</v>
      </c>
      <c r="Q58" s="666">
        <v>6.2986088290064635E-2</v>
      </c>
      <c r="R58" s="666">
        <v>1.5335743235841826E-2</v>
      </c>
      <c r="S58" s="652">
        <f>SUM(N58:R58)</f>
        <v>0.4544464782561069</v>
      </c>
      <c r="T58" s="30"/>
      <c r="U58" s="30"/>
      <c r="V58" s="30"/>
      <c r="Y58" s="11"/>
    </row>
    <row r="59" spans="12:25" x14ac:dyDescent="0.35">
      <c r="L59" s="978"/>
      <c r="M59" s="646">
        <v>2023</v>
      </c>
      <c r="N59" s="655" t="e">
        <f>VLOOKUP($L58,$A$6:$P$25,2,FALSE)</f>
        <v>#REF!</v>
      </c>
      <c r="O59" s="655" t="e">
        <f>VLOOKUP($L58,$A$6:$P$25,13,FALSE)</f>
        <v>#REF!</v>
      </c>
      <c r="P59" s="655" t="e">
        <f>VLOOKUP($L58,$A$6:$P$25,14,FALSE)</f>
        <v>#REF!</v>
      </c>
      <c r="Q59" s="655" t="e">
        <f>VLOOKUP($L58,$A$6:$P$25,15,FALSE)</f>
        <v>#REF!</v>
      </c>
      <c r="R59" s="655" t="e">
        <f>VLOOKUP($L58,$A$6:$P$25,16,FALSE)</f>
        <v>#REF!</v>
      </c>
      <c r="S59" s="652" t="e">
        <f>SUM(N59:R59)</f>
        <v>#REF!</v>
      </c>
      <c r="T59" s="30">
        <v>0.46210318764377262</v>
      </c>
      <c r="U59" s="30" t="e">
        <f>S57-S56</f>
        <v>#REF!</v>
      </c>
      <c r="V59" s="30" t="e">
        <f>T59-S57</f>
        <v>#REF!</v>
      </c>
      <c r="W59" s="2" t="e">
        <f>SUM(U59:V59)</f>
        <v>#REF!</v>
      </c>
      <c r="X59" s="7"/>
      <c r="Y59" s="11"/>
    </row>
    <row r="60" spans="12:25" x14ac:dyDescent="0.35">
      <c r="L60" s="1130" t="s">
        <v>24</v>
      </c>
      <c r="M60" s="665">
        <v>2013</v>
      </c>
      <c r="N60" s="666">
        <v>0.22755808969748248</v>
      </c>
      <c r="O60" s="666">
        <v>4.1666666666666664E-2</v>
      </c>
      <c r="P60" s="666">
        <v>3.888888888888889E-2</v>
      </c>
      <c r="Q60" s="666">
        <v>0.10406397195749809</v>
      </c>
      <c r="R60" s="666">
        <v>0</v>
      </c>
      <c r="S60" s="652">
        <f t="shared" si="8"/>
        <v>0.41217761721053614</v>
      </c>
      <c r="T60" s="30"/>
      <c r="U60" s="30"/>
      <c r="V60" s="30"/>
      <c r="Y60" s="11"/>
    </row>
    <row r="61" spans="12:25" x14ac:dyDescent="0.35">
      <c r="L61" s="1131"/>
      <c r="M61" s="650">
        <v>2023</v>
      </c>
      <c r="N61" s="668" t="e">
        <f>VLOOKUP($L60,$A$6:$P$25,2,FALSE)</f>
        <v>#REF!</v>
      </c>
      <c r="O61" s="668" t="e">
        <f>VLOOKUP($L60,$A$6:$P$25,13,FALSE)</f>
        <v>#REF!</v>
      </c>
      <c r="P61" s="668" t="e">
        <f>VLOOKUP($L60,$A$6:$P$25,14,FALSE)</f>
        <v>#REF!</v>
      </c>
      <c r="Q61" s="668" t="e">
        <f>VLOOKUP($L60,$A$6:$P$25,15,FALSE)</f>
        <v>#REF!</v>
      </c>
      <c r="R61" s="668" t="e">
        <f>VLOOKUP($L60,$A$6:$P$25,16,FALSE)</f>
        <v>#REF!</v>
      </c>
      <c r="S61" s="652" t="e">
        <f t="shared" si="8"/>
        <v>#REF!</v>
      </c>
      <c r="T61" s="30">
        <v>0.45633048085324879</v>
      </c>
      <c r="U61" s="30" t="e">
        <f>S61-S60</f>
        <v>#REF!</v>
      </c>
      <c r="V61" s="30" t="e">
        <f t="shared" si="9"/>
        <v>#REF!</v>
      </c>
      <c r="W61" s="2" t="e">
        <f>SUM(U61:V61)</f>
        <v>#REF!</v>
      </c>
      <c r="X61" s="7"/>
      <c r="Y61" s="11"/>
    </row>
    <row r="62" spans="12:25" x14ac:dyDescent="0.35">
      <c r="L62" s="977" t="s">
        <v>25</v>
      </c>
      <c r="M62" s="22">
        <v>2013</v>
      </c>
      <c r="N62" s="666">
        <v>0.24500000000000002</v>
      </c>
      <c r="O62" s="666">
        <v>5.2031985978749036E-2</v>
      </c>
      <c r="P62" s="666">
        <v>5.2031985978749036E-2</v>
      </c>
      <c r="Q62" s="666">
        <v>8.2191780821917818E-2</v>
      </c>
      <c r="R62" s="666">
        <v>0</v>
      </c>
      <c r="S62" s="652">
        <f>SUM(N62:R62)</f>
        <v>0.43125575277941591</v>
      </c>
      <c r="T62" s="30"/>
      <c r="U62" s="30"/>
      <c r="V62" s="30"/>
      <c r="Y62" s="11"/>
    </row>
    <row r="63" spans="12:25" x14ac:dyDescent="0.35">
      <c r="L63" s="978"/>
      <c r="M63" s="646">
        <v>2023</v>
      </c>
      <c r="N63" s="655" t="e">
        <f>VLOOKUP($L62,$A$6:$P$25,2,FALSE)</f>
        <v>#REF!</v>
      </c>
      <c r="O63" s="655" t="e">
        <f>VLOOKUP($L62,$A$6:$P$25,13,FALSE)</f>
        <v>#REF!</v>
      </c>
      <c r="P63" s="655" t="e">
        <f>VLOOKUP($L62,$A$6:$P$25,14,FALSE)</f>
        <v>#REF!</v>
      </c>
      <c r="Q63" s="655" t="e">
        <f>VLOOKUP($L62,$A$6:$P$25,15,FALSE)</f>
        <v>#REF!</v>
      </c>
      <c r="R63" s="655" t="e">
        <f>VLOOKUP($L62,$A$6:$P$25,16,FALSE)</f>
        <v>#REF!</v>
      </c>
      <c r="S63" s="652" t="e">
        <f>SUM(N63:R63)</f>
        <v>#REF!</v>
      </c>
      <c r="T63" s="30">
        <v>0.46121973929236493</v>
      </c>
      <c r="U63" s="30" t="e">
        <f>S63-S62</f>
        <v>#REF!</v>
      </c>
      <c r="V63" s="30" t="e">
        <f t="shared" si="9"/>
        <v>#REF!</v>
      </c>
      <c r="W63" s="2" t="e">
        <f>SUM(U63:V63)</f>
        <v>#REF!</v>
      </c>
      <c r="X63" s="2"/>
      <c r="Y63" s="11"/>
    </row>
    <row r="64" spans="12:25" x14ac:dyDescent="0.35">
      <c r="L64" s="977" t="s">
        <v>22</v>
      </c>
      <c r="M64" s="22">
        <v>2013</v>
      </c>
      <c r="N64" s="654">
        <v>0.21752500000000002</v>
      </c>
      <c r="O64" s="654">
        <v>8.2191780821917804E-2</v>
      </c>
      <c r="P64" s="654">
        <v>5.2054794520547946E-2</v>
      </c>
      <c r="Q64" s="654">
        <v>8.2191780821917804E-2</v>
      </c>
      <c r="R64" s="654">
        <v>0</v>
      </c>
      <c r="S64" s="652">
        <f t="shared" si="8"/>
        <v>0.43396335616438358</v>
      </c>
      <c r="T64" s="30"/>
      <c r="U64" s="30"/>
      <c r="V64" s="30"/>
      <c r="Y64" s="11"/>
    </row>
    <row r="65" spans="12:25" x14ac:dyDescent="0.35">
      <c r="L65" s="978"/>
      <c r="M65" s="646">
        <v>2023</v>
      </c>
      <c r="N65" s="655" t="e">
        <f>VLOOKUP($L64,$A$6:$P$25,2,FALSE)</f>
        <v>#REF!</v>
      </c>
      <c r="O65" s="655" t="e">
        <f>VLOOKUP($L64,$A$6:$P$25,13,FALSE)</f>
        <v>#REF!</v>
      </c>
      <c r="P65" s="655" t="e">
        <f>VLOOKUP($L64,$A$6:$P$25,14,FALSE)</f>
        <v>#REF!</v>
      </c>
      <c r="Q65" s="655" t="e">
        <f>VLOOKUP($L64,$A$6:$P$25,15,FALSE)</f>
        <v>#REF!</v>
      </c>
      <c r="R65" s="655" t="e">
        <f>VLOOKUP($L64,$A$6:$P$25,16,FALSE)</f>
        <v>#REF!</v>
      </c>
      <c r="S65" s="652" t="e">
        <f t="shared" si="8"/>
        <v>#REF!</v>
      </c>
      <c r="T65" s="30">
        <v>0.52384352064848283</v>
      </c>
      <c r="U65" s="30" t="e">
        <f>S65-S64</f>
        <v>#REF!</v>
      </c>
      <c r="V65" s="30" t="e">
        <f t="shared" si="9"/>
        <v>#REF!</v>
      </c>
      <c r="W65" s="2" t="e">
        <f>SUM(U65:V65)</f>
        <v>#REF!</v>
      </c>
      <c r="X65" s="2"/>
      <c r="Y65" s="11"/>
    </row>
    <row r="66" spans="12:25" x14ac:dyDescent="0.35">
      <c r="L66" s="977" t="s">
        <v>28</v>
      </c>
      <c r="M66" s="22">
        <v>2013</v>
      </c>
      <c r="N66" s="661">
        <v>0.2369</v>
      </c>
      <c r="O66" s="661">
        <v>0</v>
      </c>
      <c r="P66" s="661">
        <v>4.1095890410958902E-2</v>
      </c>
      <c r="Q66" s="661">
        <v>8.2191780821917804E-2</v>
      </c>
      <c r="R66" s="661">
        <v>1.643835616438356E-2</v>
      </c>
      <c r="S66" s="652">
        <f t="shared" ref="S66:S71" si="10">SUM(N66:R66)</f>
        <v>0.37662602739726025</v>
      </c>
      <c r="T66" s="679"/>
      <c r="U66" s="30"/>
      <c r="V66" s="30"/>
      <c r="Y66" s="11"/>
    </row>
    <row r="67" spans="12:25" x14ac:dyDescent="0.35">
      <c r="L67" s="978"/>
      <c r="M67" s="646">
        <v>2023</v>
      </c>
      <c r="N67" s="662" t="e">
        <f>VLOOKUP($L66,$A$6:$P$25,2,FALSE)</f>
        <v>#REF!</v>
      </c>
      <c r="O67" s="662" t="e">
        <f>VLOOKUP($L66,$A$6:$P$25,13,FALSE)</f>
        <v>#REF!</v>
      </c>
      <c r="P67" s="662" t="e">
        <f>VLOOKUP($L66,$A$6:$P$25,14,FALSE)</f>
        <v>#REF!</v>
      </c>
      <c r="Q67" s="662" t="e">
        <f>VLOOKUP($L66,$A$6:$P$25,15,FALSE)</f>
        <v>#REF!</v>
      </c>
      <c r="R67" s="662" t="e">
        <f>VLOOKUP($L66,$A$6:$P$25,16,FALSE)</f>
        <v>#REF!</v>
      </c>
      <c r="S67" s="663" t="e">
        <f t="shared" si="10"/>
        <v>#REF!</v>
      </c>
      <c r="T67" s="679">
        <v>0.46393578944721842</v>
      </c>
      <c r="U67" s="30" t="e">
        <f>S53-S52</f>
        <v>#REF!</v>
      </c>
      <c r="V67" s="30" t="e">
        <f>T67-S53</f>
        <v>#REF!</v>
      </c>
      <c r="W67" s="2" t="e">
        <f>SUM(U67:V67)</f>
        <v>#REF!</v>
      </c>
      <c r="X67" s="7"/>
      <c r="Y67" s="11"/>
    </row>
    <row r="68" spans="12:25" x14ac:dyDescent="0.35">
      <c r="L68" s="977" t="s">
        <v>29</v>
      </c>
      <c r="M68" s="656">
        <v>2013</v>
      </c>
      <c r="N68" s="661">
        <v>0.18618750000000001</v>
      </c>
      <c r="O68" s="661">
        <v>0</v>
      </c>
      <c r="P68" s="661">
        <v>3.8356164383561646E-2</v>
      </c>
      <c r="Q68" s="661">
        <v>3.8356164383561646E-2</v>
      </c>
      <c r="R68" s="661">
        <v>1.5342465753424659E-2</v>
      </c>
      <c r="S68" s="652">
        <f t="shared" si="10"/>
        <v>0.27824229452054799</v>
      </c>
      <c r="T68" s="30"/>
      <c r="U68" s="30"/>
      <c r="V68" s="30"/>
      <c r="W68" s="502"/>
      <c r="Y68" s="11"/>
    </row>
    <row r="69" spans="12:25" x14ac:dyDescent="0.35">
      <c r="L69" s="978"/>
      <c r="M69" s="648">
        <v>2023</v>
      </c>
      <c r="N69" s="662" t="e">
        <f>VLOOKUP($L68,$A$6:$P$25,2,FALSE)</f>
        <v>#REF!</v>
      </c>
      <c r="O69" s="662" t="e">
        <f>VLOOKUP($L68,$A$6:$P$25,13,FALSE)</f>
        <v>#REF!</v>
      </c>
      <c r="P69" s="662" t="e">
        <f>VLOOKUP($L68,$A$6:$P$25,14,FALSE)</f>
        <v>#REF!</v>
      </c>
      <c r="Q69" s="662" t="e">
        <f>VLOOKUP($L68,$A$6:$P$25,15,FALSE)</f>
        <v>#REF!</v>
      </c>
      <c r="R69" s="662" t="e">
        <f>VLOOKUP($L68,$A$6:$P$25,16,FALSE)</f>
        <v>#REF!</v>
      </c>
      <c r="S69" s="663" t="e">
        <f t="shared" si="10"/>
        <v>#REF!</v>
      </c>
      <c r="T69" s="30">
        <v>0.39146480446927379</v>
      </c>
      <c r="U69" s="30" t="e">
        <f>S67-S66</f>
        <v>#REF!</v>
      </c>
      <c r="V69" s="30" t="e">
        <f>T69-S67</f>
        <v>#REF!</v>
      </c>
      <c r="W69" s="2" t="e">
        <f>SUM(U69:V69)</f>
        <v>#REF!</v>
      </c>
      <c r="X69" s="2" t="s">
        <v>498</v>
      </c>
      <c r="Y69" s="11"/>
    </row>
    <row r="70" spans="12:25" x14ac:dyDescent="0.35">
      <c r="L70" s="977" t="s">
        <v>31</v>
      </c>
      <c r="M70" s="656">
        <v>2013</v>
      </c>
      <c r="N70" s="661">
        <v>0.11852327082170667</v>
      </c>
      <c r="O70" s="661">
        <v>0</v>
      </c>
      <c r="P70" s="661">
        <v>3.8356164383561646E-2</v>
      </c>
      <c r="Q70" s="661">
        <v>4.5479452054794527E-2</v>
      </c>
      <c r="R70" s="661">
        <v>0</v>
      </c>
      <c r="S70" s="652">
        <f t="shared" si="10"/>
        <v>0.20235888726006285</v>
      </c>
      <c r="T70" s="30"/>
      <c r="U70" s="30"/>
      <c r="V70" s="30"/>
      <c r="Y70" s="9"/>
    </row>
    <row r="71" spans="12:25" x14ac:dyDescent="0.35">
      <c r="L71" s="978"/>
      <c r="M71" s="648">
        <v>2023</v>
      </c>
      <c r="N71" s="662" t="e">
        <f>VLOOKUP($L70,$A$6:$P$25,2,FALSE)</f>
        <v>#REF!</v>
      </c>
      <c r="O71" s="662" t="e">
        <f>VLOOKUP($L70,$A$6:$P$25,13,FALSE)</f>
        <v>#REF!</v>
      </c>
      <c r="P71" s="662" t="e">
        <f>VLOOKUP($L70,$A$6:$P$25,14,FALSE)</f>
        <v>#REF!</v>
      </c>
      <c r="Q71" s="662" t="e">
        <f>VLOOKUP($L70,$A$6:$P$25,15,FALSE)</f>
        <v>#REF!</v>
      </c>
      <c r="R71" s="662" t="e">
        <f>VLOOKUP($L70,$A$6:$P$25,16,FALSE)</f>
        <v>#REF!</v>
      </c>
      <c r="S71" s="663" t="e">
        <f t="shared" si="10"/>
        <v>#REF!</v>
      </c>
      <c r="T71" s="30">
        <v>0.28701445941505094</v>
      </c>
      <c r="U71" s="30" t="e">
        <f>S69-S68</f>
        <v>#REF!</v>
      </c>
      <c r="V71" s="30" t="e">
        <f>T71-S69</f>
        <v>#REF!</v>
      </c>
      <c r="W71" s="2" t="e">
        <f>SUM(U71:V71)</f>
        <v>#REF!</v>
      </c>
      <c r="X71" s="7" t="s">
        <v>499</v>
      </c>
      <c r="Y71" s="9"/>
    </row>
    <row r="72" spans="12:25" x14ac:dyDescent="0.35">
      <c r="T72" s="30"/>
      <c r="U72" s="30"/>
      <c r="V72" s="30"/>
      <c r="Y72" s="9"/>
    </row>
    <row r="73" spans="12:25" x14ac:dyDescent="0.35">
      <c r="T73" s="30">
        <v>0.21141724175703799</v>
      </c>
      <c r="U73" s="30" t="e">
        <f>S71-S70</f>
        <v>#REF!</v>
      </c>
      <c r="V73" s="30" t="e">
        <f>T73-S71</f>
        <v>#REF!</v>
      </c>
      <c r="W73" s="2" t="e">
        <f>SUM(U73:V73)</f>
        <v>#REF!</v>
      </c>
      <c r="X73" s="7"/>
      <c r="Y73" s="9"/>
    </row>
    <row r="76" spans="12:25" x14ac:dyDescent="0.35">
      <c r="L76" s="949"/>
      <c r="M76" s="540"/>
      <c r="N76" s="9"/>
      <c r="O76" s="9"/>
      <c r="P76" s="9"/>
      <c r="Q76" s="9"/>
      <c r="R76" s="9"/>
      <c r="S76" s="30"/>
    </row>
    <row r="77" spans="12:25" x14ac:dyDescent="0.35">
      <c r="L77" s="949"/>
      <c r="M77" s="540"/>
      <c r="N77" s="9"/>
      <c r="O77" s="9"/>
      <c r="P77" s="9"/>
      <c r="Q77" s="9"/>
      <c r="R77" s="9"/>
      <c r="S77" s="30"/>
      <c r="U77" s="683"/>
      <c r="W77" s="2"/>
    </row>
    <row r="78" spans="12:25" x14ac:dyDescent="0.35">
      <c r="L78" s="944"/>
      <c r="N78" s="7"/>
      <c r="O78" s="7"/>
      <c r="P78" s="7"/>
      <c r="Q78" s="7"/>
      <c r="R78" s="7"/>
      <c r="S78" s="7"/>
    </row>
    <row r="79" spans="12:25" x14ac:dyDescent="0.35">
      <c r="L79" s="944"/>
      <c r="N79" s="7"/>
      <c r="O79" s="7"/>
      <c r="P79" s="7"/>
      <c r="Q79" s="7"/>
      <c r="R79" s="7"/>
      <c r="S79" s="7"/>
    </row>
    <row r="81" spans="12:19" x14ac:dyDescent="0.35">
      <c r="N81" s="7"/>
      <c r="O81" s="7"/>
      <c r="P81" s="7"/>
      <c r="Q81" s="7"/>
      <c r="R81" s="7"/>
      <c r="S81" s="7"/>
    </row>
    <row r="83" spans="12:19" x14ac:dyDescent="0.35">
      <c r="N83" s="7"/>
    </row>
    <row r="84" spans="12:19" x14ac:dyDescent="0.35">
      <c r="N84" s="7"/>
    </row>
    <row r="86" spans="12:19" x14ac:dyDescent="0.35">
      <c r="L86" s="944"/>
      <c r="N86" s="9"/>
      <c r="O86" s="9"/>
      <c r="P86" s="9"/>
      <c r="Q86" s="9"/>
      <c r="R86" s="9"/>
      <c r="S86" s="9"/>
    </row>
    <row r="87" spans="12:19" x14ac:dyDescent="0.35">
      <c r="L87" s="944"/>
      <c r="N87" s="9"/>
      <c r="O87" s="9"/>
      <c r="P87" s="9"/>
      <c r="Q87" s="9"/>
      <c r="R87" s="9"/>
      <c r="S87" s="9"/>
    </row>
    <row r="88" spans="12:19" x14ac:dyDescent="0.35">
      <c r="L88" s="944"/>
    </row>
    <row r="89" spans="12:19" x14ac:dyDescent="0.35">
      <c r="L89" s="944"/>
      <c r="N89" s="9"/>
      <c r="O89" s="9"/>
      <c r="P89" s="9"/>
      <c r="Q89" s="9"/>
      <c r="R89" s="9"/>
      <c r="S89" s="9"/>
    </row>
    <row r="90" spans="12:19" x14ac:dyDescent="0.35">
      <c r="L90" s="944"/>
      <c r="N90" s="9"/>
      <c r="O90" s="9"/>
      <c r="P90" s="9"/>
      <c r="Q90" s="9"/>
      <c r="R90" s="9"/>
      <c r="S90" s="9"/>
    </row>
    <row r="91" spans="12:19" x14ac:dyDescent="0.35">
      <c r="L91" s="944"/>
    </row>
    <row r="92" spans="12:19" x14ac:dyDescent="0.35">
      <c r="L92" s="944"/>
      <c r="N92" s="9"/>
      <c r="O92" s="9"/>
      <c r="P92" s="9"/>
      <c r="Q92" s="9"/>
      <c r="R92" s="9"/>
      <c r="S92" s="9"/>
    </row>
    <row r="93" spans="12:19" x14ac:dyDescent="0.35">
      <c r="L93" s="944"/>
      <c r="N93" s="9"/>
      <c r="O93" s="9"/>
      <c r="P93" s="9"/>
      <c r="Q93" s="9"/>
      <c r="R93" s="9"/>
      <c r="S93" s="9"/>
    </row>
    <row r="94" spans="12:19" x14ac:dyDescent="0.35">
      <c r="L94" s="944"/>
    </row>
  </sheetData>
  <autoFilter ref="L30:X73" xr:uid="{00000000-0001-0000-0500-000000000000}">
    <filterColumn colId="3" showButton="0"/>
    <filterColumn colId="5" showButton="0"/>
  </autoFilter>
  <sortState xmlns:xlrd2="http://schemas.microsoft.com/office/spreadsheetml/2017/richdata2" ref="N32:S53">
    <sortCondition descending="1" ref="S32:S53"/>
  </sortState>
  <mergeCells count="37">
    <mergeCell ref="L92:L94"/>
    <mergeCell ref="L86:L88"/>
    <mergeCell ref="L89:L91"/>
    <mergeCell ref="L78:L79"/>
    <mergeCell ref="L76:L77"/>
    <mergeCell ref="O4:R4"/>
    <mergeCell ref="Q5:R5"/>
    <mergeCell ref="L32:L33"/>
    <mergeCell ref="O30:P30"/>
    <mergeCell ref="L42:L43"/>
    <mergeCell ref="L40:L41"/>
    <mergeCell ref="Q30:R30"/>
    <mergeCell ref="O5:P5"/>
    <mergeCell ref="N30:N31"/>
    <mergeCell ref="M4:N5"/>
    <mergeCell ref="B5:B6"/>
    <mergeCell ref="L34:L35"/>
    <mergeCell ref="L36:L37"/>
    <mergeCell ref="L38:L39"/>
    <mergeCell ref="A4:A6"/>
    <mergeCell ref="C4:L4"/>
    <mergeCell ref="C5:G5"/>
    <mergeCell ref="H5:L5"/>
    <mergeCell ref="L60:L61"/>
    <mergeCell ref="L70:L71"/>
    <mergeCell ref="L62:L63"/>
    <mergeCell ref="L64:L65"/>
    <mergeCell ref="L66:L67"/>
    <mergeCell ref="L68:L69"/>
    <mergeCell ref="L54:L55"/>
    <mergeCell ref="L58:L59"/>
    <mergeCell ref="L44:L45"/>
    <mergeCell ref="L52:L53"/>
    <mergeCell ref="L46:L47"/>
    <mergeCell ref="L48:L49"/>
    <mergeCell ref="L50:L51"/>
    <mergeCell ref="L56:L57"/>
  </mergeCells>
  <conditionalFormatting sqref="U69:U73 U32:U37 U40 U61:U63 U50:U53 U44:U48">
    <cfRule type="colorScale" priority="4">
      <colorScale>
        <cfvo type="min"/>
        <cfvo type="percentile" val="50"/>
        <cfvo type="max"/>
        <color rgb="FFF8696B"/>
        <color rgb="FFFCFCFF"/>
        <color rgb="FF5A8AC6"/>
      </colorScale>
    </cfRule>
  </conditionalFormatting>
  <conditionalFormatting sqref="U69:U1048576 U1:U37 U40 U61:U63 U50:U53 U44:U48">
    <cfRule type="colorScale" priority="2">
      <colorScale>
        <cfvo type="min"/>
        <cfvo type="percentile" val="50"/>
        <cfvo type="max"/>
        <color rgb="FFF8696B"/>
        <color rgb="FFFCFCFF"/>
        <color rgb="FF5A8AC6"/>
      </colorScale>
    </cfRule>
  </conditionalFormatting>
  <conditionalFormatting sqref="V33:V73">
    <cfRule type="colorScale" priority="3">
      <colorScale>
        <cfvo type="min"/>
        <cfvo type="percentile" val="50"/>
        <cfvo type="max"/>
        <color rgb="FFF8696B"/>
        <color rgb="FFFCFCFF"/>
        <color rgb="FF5A8AC6"/>
      </colorScale>
    </cfRule>
  </conditionalFormatting>
  <conditionalFormatting sqref="W73">
    <cfRule type="colorScale" priority="1">
      <colorScale>
        <cfvo type="min"/>
        <cfvo type="percentile" val="50"/>
        <cfvo type="max"/>
        <color rgb="FFF8696B"/>
        <color rgb="FFFCFCFF"/>
        <color rgb="FF5A8AC6"/>
      </colorScale>
    </cfRule>
  </conditionalFormatting>
  <conditionalFormatting sqref="W32:X71">
    <cfRule type="colorScale" priority="5">
      <colorScale>
        <cfvo type="min"/>
        <cfvo type="percentile" val="50"/>
        <cfvo type="max"/>
        <color rgb="FFF8696B"/>
        <color rgb="FFFCFCFF"/>
        <color rgb="FF5A8AC6"/>
      </colorScale>
    </cfRule>
  </conditionalFormatting>
  <pageMargins left="0.7" right="0.7" top="0.75" bottom="0.75" header="0.3" footer="0.3"/>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U70"/>
  <sheetViews>
    <sheetView workbookViewId="0"/>
  </sheetViews>
  <sheetFormatPr defaultColWidth="9.1796875" defaultRowHeight="14.5" x14ac:dyDescent="0.35"/>
  <cols>
    <col min="1" max="1" width="13.54296875" customWidth="1"/>
    <col min="2" max="2" width="11.1796875" customWidth="1"/>
  </cols>
  <sheetData>
    <row r="1" spans="1:21" ht="18.5" x14ac:dyDescent="0.45">
      <c r="A1" s="21" t="s">
        <v>60</v>
      </c>
    </row>
    <row r="2" spans="1:21" x14ac:dyDescent="0.35">
      <c r="A2" t="s">
        <v>61</v>
      </c>
    </row>
    <row r="3" spans="1:21" x14ac:dyDescent="0.35">
      <c r="B3" s="22" t="s">
        <v>11</v>
      </c>
      <c r="C3" t="s">
        <v>13</v>
      </c>
      <c r="D3" t="s">
        <v>12</v>
      </c>
      <c r="E3" t="s">
        <v>28</v>
      </c>
      <c r="F3" t="s">
        <v>15</v>
      </c>
      <c r="G3" t="s">
        <v>18</v>
      </c>
      <c r="H3" t="s">
        <v>17</v>
      </c>
      <c r="I3" t="s">
        <v>21</v>
      </c>
      <c r="J3" t="s">
        <v>27</v>
      </c>
      <c r="K3" t="s">
        <v>24</v>
      </c>
      <c r="L3" t="s">
        <v>29</v>
      </c>
      <c r="M3" t="s">
        <v>23</v>
      </c>
      <c r="N3" t="s">
        <v>19</v>
      </c>
      <c r="O3" t="s">
        <v>16</v>
      </c>
      <c r="P3" t="s">
        <v>20</v>
      </c>
      <c r="Q3" t="s">
        <v>26</v>
      </c>
      <c r="R3" t="s">
        <v>25</v>
      </c>
      <c r="S3" t="s">
        <v>62</v>
      </c>
      <c r="T3" t="s">
        <v>14</v>
      </c>
      <c r="U3" t="s">
        <v>22</v>
      </c>
    </row>
    <row r="4" spans="1:21" x14ac:dyDescent="0.35">
      <c r="A4" t="s">
        <v>39</v>
      </c>
      <c r="B4" s="9">
        <v>0.2002054794520548</v>
      </c>
      <c r="C4" s="9">
        <v>0.12709999999999999</v>
      </c>
      <c r="D4" s="9">
        <v>8.6575342465753435E-2</v>
      </c>
      <c r="E4" s="9">
        <v>0.1908</v>
      </c>
      <c r="F4" s="9">
        <v>0.08</v>
      </c>
      <c r="G4" s="9">
        <v>9.9236986301369873E-2</v>
      </c>
      <c r="H4" s="9">
        <v>0.11014212328767123</v>
      </c>
      <c r="I4" s="9">
        <v>4.8300000000000003E-2</v>
      </c>
      <c r="J4" s="9">
        <v>0.05</v>
      </c>
      <c r="K4" s="9">
        <v>2.4726027397260271E-2</v>
      </c>
      <c r="L4" s="9">
        <v>6.6937499999999997E-2</v>
      </c>
      <c r="M4" s="9">
        <v>6.25E-2</v>
      </c>
      <c r="N4" s="9">
        <v>0.12294520547945205</v>
      </c>
      <c r="O4" s="9">
        <v>0.13</v>
      </c>
      <c r="P4" s="9">
        <v>9.7397260273972594E-2</v>
      </c>
      <c r="Q4" s="9">
        <v>6.4498630136986312E-2</v>
      </c>
      <c r="R4" s="9">
        <v>9.2500000000000013E-2</v>
      </c>
      <c r="S4" s="9">
        <v>5.5899914000132306E-2</v>
      </c>
      <c r="T4" s="9">
        <v>0.19624999999999998</v>
      </c>
      <c r="U4" s="9">
        <v>6.0000000000000012E-2</v>
      </c>
    </row>
    <row r="5" spans="1:21" x14ac:dyDescent="0.35">
      <c r="A5" t="s">
        <v>40</v>
      </c>
      <c r="B5" s="9">
        <v>0.11904109589041097</v>
      </c>
      <c r="C5" s="9">
        <v>0.12709999999999999</v>
      </c>
      <c r="D5" s="9">
        <v>8.6575342465753435E-2</v>
      </c>
      <c r="E5" s="9">
        <v>0.1</v>
      </c>
      <c r="F5" s="9">
        <v>0.04</v>
      </c>
      <c r="G5" s="9">
        <v>2.8894520547945206E-2</v>
      </c>
      <c r="H5" s="9">
        <v>7.7390867579908665E-2</v>
      </c>
      <c r="I5" s="9">
        <v>1.8300000000000004E-2</v>
      </c>
      <c r="J5" s="9">
        <v>0.01</v>
      </c>
      <c r="K5" s="9">
        <v>1.821917808219178E-2</v>
      </c>
      <c r="L5" s="9">
        <v>2.5000000000000001E-2</v>
      </c>
      <c r="M5" s="9">
        <v>0.04</v>
      </c>
      <c r="N5" s="9">
        <v>9.8458904109589032E-2</v>
      </c>
      <c r="O5" s="9">
        <v>0.13</v>
      </c>
      <c r="P5" s="9">
        <v>9.7397260273972594E-2</v>
      </c>
      <c r="Q5" s="9">
        <v>3.1058904109589041E-2</v>
      </c>
      <c r="R5" s="9">
        <v>6.25E-2</v>
      </c>
      <c r="S5" s="9">
        <v>3.9399939384708642E-2</v>
      </c>
      <c r="T5" s="9">
        <v>0.15</v>
      </c>
      <c r="U5" s="9">
        <v>4.0000000000000008E-2</v>
      </c>
    </row>
    <row r="6" spans="1:21" x14ac:dyDescent="0.35">
      <c r="A6" t="s">
        <v>41</v>
      </c>
      <c r="B6" s="9">
        <v>8.1164383561643835E-2</v>
      </c>
      <c r="C6" s="9"/>
      <c r="D6" s="9"/>
      <c r="E6" s="9">
        <v>7.0000000000000007E-2</v>
      </c>
      <c r="F6" s="9">
        <v>0.04</v>
      </c>
      <c r="G6" s="9">
        <v>5.9520547945205483E-2</v>
      </c>
      <c r="H6" s="9"/>
      <c r="I6" s="9">
        <v>2.0000000000000004E-2</v>
      </c>
      <c r="J6" s="9">
        <v>2.5000000000000001E-2</v>
      </c>
      <c r="K6" s="9">
        <v>6.5068493150684933E-3</v>
      </c>
      <c r="L6" s="9"/>
      <c r="M6" s="9">
        <v>2.2499999999999996E-2</v>
      </c>
      <c r="N6" s="9">
        <v>1.0958904109589041E-2</v>
      </c>
      <c r="O6" s="9"/>
      <c r="P6" s="9"/>
      <c r="Q6" s="9">
        <v>3.2898630136986302E-2</v>
      </c>
      <c r="R6" s="9">
        <v>3.0000000000000002E-2</v>
      </c>
      <c r="S6" s="9">
        <v>1.6499974615423667E-2</v>
      </c>
      <c r="T6" s="9">
        <v>4.4999999999999991E-2</v>
      </c>
      <c r="U6" s="9"/>
    </row>
    <row r="7" spans="1:21" x14ac:dyDescent="0.35">
      <c r="A7" t="s">
        <v>42</v>
      </c>
      <c r="B7" s="9"/>
      <c r="C7" s="9"/>
      <c r="D7" s="9"/>
      <c r="E7" s="9">
        <v>6.0000000000000001E-3</v>
      </c>
      <c r="F7" s="9"/>
      <c r="G7" s="9"/>
      <c r="H7" s="9">
        <v>2.3310502283105022E-2</v>
      </c>
      <c r="I7" s="9">
        <v>1.0000000000000002E-2</v>
      </c>
      <c r="J7" s="9"/>
      <c r="K7" s="9"/>
      <c r="L7" s="9"/>
      <c r="M7" s="9"/>
      <c r="N7" s="9"/>
      <c r="O7" s="9"/>
      <c r="P7" s="9"/>
      <c r="Q7" s="9"/>
      <c r="R7" s="9"/>
      <c r="S7" s="9"/>
      <c r="T7" s="9"/>
      <c r="U7" s="9">
        <v>5.000000000000001E-3</v>
      </c>
    </row>
    <row r="8" spans="1:21" x14ac:dyDescent="0.35">
      <c r="A8" t="s">
        <v>63</v>
      </c>
      <c r="B8" s="9"/>
      <c r="C8" s="9"/>
      <c r="D8" s="9"/>
      <c r="E8" s="9">
        <v>1.4800000000000001E-2</v>
      </c>
      <c r="F8" s="9"/>
      <c r="G8" s="9">
        <v>1.0821917808219179E-2</v>
      </c>
      <c r="H8" s="9">
        <v>9.4407534246575345E-3</v>
      </c>
      <c r="I8" s="9">
        <v>0</v>
      </c>
      <c r="J8" s="9">
        <v>1.4999999999999999E-2</v>
      </c>
      <c r="K8" s="9"/>
      <c r="L8" s="9">
        <v>4.1937500000000003E-2</v>
      </c>
      <c r="M8" s="9">
        <v>0</v>
      </c>
      <c r="N8" s="9">
        <v>1.3527397260273973E-2</v>
      </c>
      <c r="O8" s="9"/>
      <c r="P8" s="9"/>
      <c r="Q8" s="9">
        <v>5.4109589041095895E-4</v>
      </c>
      <c r="R8" s="9"/>
      <c r="S8" s="9"/>
      <c r="T8" s="9">
        <v>1.25E-3</v>
      </c>
      <c r="U8" s="9">
        <v>1.5000000000000003E-2</v>
      </c>
    </row>
    <row r="9" spans="1:21" x14ac:dyDescent="0.35">
      <c r="A9" t="s">
        <v>43</v>
      </c>
      <c r="B9" s="9">
        <v>0</v>
      </c>
      <c r="C9" s="9">
        <v>0</v>
      </c>
      <c r="D9" s="9">
        <v>0</v>
      </c>
      <c r="E9" s="9">
        <v>1.4800000000000001E-2</v>
      </c>
      <c r="F9" s="9">
        <v>0</v>
      </c>
      <c r="G9" s="9">
        <v>1.0821917808219179E-2</v>
      </c>
      <c r="H9" s="9">
        <v>9.4407534246575345E-3</v>
      </c>
      <c r="I9" s="9">
        <v>0</v>
      </c>
      <c r="J9" s="9">
        <v>1.4999999999999999E-2</v>
      </c>
      <c r="K9" s="9">
        <v>0</v>
      </c>
      <c r="L9" s="9">
        <v>4.1937500000000003E-2</v>
      </c>
      <c r="M9" s="9">
        <v>0</v>
      </c>
      <c r="N9" s="9">
        <v>1.3527397260273973E-2</v>
      </c>
      <c r="O9" s="9">
        <v>0</v>
      </c>
      <c r="P9" s="9">
        <v>0</v>
      </c>
      <c r="Q9" s="9">
        <v>0</v>
      </c>
      <c r="R9" s="9">
        <v>0</v>
      </c>
      <c r="S9" s="9">
        <v>0</v>
      </c>
      <c r="T9" s="9">
        <v>1.25E-3</v>
      </c>
      <c r="U9" s="9">
        <v>1.0000000000000002E-2</v>
      </c>
    </row>
    <row r="10" spans="1:21" x14ac:dyDescent="0.35">
      <c r="A10" t="s">
        <v>64</v>
      </c>
      <c r="B10" s="9"/>
      <c r="C10" s="9"/>
      <c r="D10" s="9"/>
      <c r="E10" s="9"/>
      <c r="F10" s="9"/>
      <c r="G10" s="9"/>
      <c r="H10" s="9"/>
      <c r="I10" s="9"/>
      <c r="J10" s="9"/>
      <c r="K10" s="9"/>
      <c r="L10" s="9"/>
      <c r="M10" s="9"/>
      <c r="N10" s="9"/>
      <c r="O10" s="9"/>
      <c r="P10" s="9"/>
      <c r="Q10" s="9">
        <v>5.4109589041095895E-4</v>
      </c>
      <c r="R10" s="9"/>
      <c r="S10" s="9"/>
      <c r="T10" s="9"/>
      <c r="U10" s="9">
        <v>5.000000000000001E-3</v>
      </c>
    </row>
    <row r="11" spans="1:21" x14ac:dyDescent="0.35">
      <c r="A11" t="s">
        <v>44</v>
      </c>
      <c r="B11" s="9">
        <v>0.2813698630136986</v>
      </c>
      <c r="C11" s="9">
        <v>0.1171</v>
      </c>
      <c r="D11" s="9">
        <v>0.37010958904109587</v>
      </c>
      <c r="E11" s="9">
        <v>4.6100000000000002E-2</v>
      </c>
      <c r="F11" s="9">
        <v>0.262972602739726</v>
      </c>
      <c r="G11" s="9">
        <v>0.28650958904109586</v>
      </c>
      <c r="H11" s="9">
        <v>0.12904566210045662</v>
      </c>
      <c r="I11" s="9">
        <v>0.12670000000000003</v>
      </c>
      <c r="J11" s="9">
        <v>2.5000000000000001E-2</v>
      </c>
      <c r="K11" s="9">
        <v>0.3771342465753425</v>
      </c>
      <c r="L11" s="9">
        <v>0.11924999999999999</v>
      </c>
      <c r="M11" s="9">
        <v>0.18164383561643832</v>
      </c>
      <c r="N11" s="9">
        <v>0.16060410958904112</v>
      </c>
      <c r="O11" s="9">
        <v>0.17963333333333334</v>
      </c>
      <c r="P11" s="9">
        <v>0.16232876712328767</v>
      </c>
      <c r="Q11" s="9">
        <v>0.17737123287671233</v>
      </c>
      <c r="R11" s="9">
        <v>0.1525</v>
      </c>
      <c r="S11" s="9">
        <v>7.8799878769417284E-2</v>
      </c>
      <c r="T11" s="9">
        <v>0.19525000000000001</v>
      </c>
      <c r="U11" s="9">
        <v>0.157525</v>
      </c>
    </row>
    <row r="12" spans="1:21" x14ac:dyDescent="0.35">
      <c r="A12" t="s">
        <v>40</v>
      </c>
      <c r="B12" s="9">
        <v>0.11005890410958903</v>
      </c>
      <c r="C12" s="9">
        <v>0</v>
      </c>
      <c r="D12" s="9">
        <v>0.21643835616438359</v>
      </c>
      <c r="E12" s="9"/>
      <c r="F12" s="9">
        <v>0.12986301369863013</v>
      </c>
      <c r="G12" s="9">
        <v>6.9476712328767121E-2</v>
      </c>
      <c r="H12" s="9">
        <v>3.6131278538812782E-2</v>
      </c>
      <c r="I12" s="9">
        <v>3.670000000000001E-2</v>
      </c>
      <c r="J12" s="9">
        <v>0</v>
      </c>
      <c r="K12" s="9">
        <v>7.1835616438356162E-2</v>
      </c>
      <c r="L12" s="9">
        <v>2.5000000000000001E-2</v>
      </c>
      <c r="M12" s="9">
        <v>7.0000000000000007E-2</v>
      </c>
      <c r="N12" s="9">
        <v>5.1335616438356171E-2</v>
      </c>
      <c r="O12" s="9"/>
      <c r="P12" s="9">
        <v>0.1515068493150685</v>
      </c>
      <c r="Q12" s="9">
        <v>7.6835616438356152E-2</v>
      </c>
      <c r="R12" s="9">
        <v>6.7500000000000004E-2</v>
      </c>
      <c r="S12" s="9">
        <v>7.8799878769417284E-2</v>
      </c>
      <c r="T12" s="9">
        <v>7.4999999999999997E-2</v>
      </c>
      <c r="U12" s="9">
        <v>9.0000000000000011E-2</v>
      </c>
    </row>
    <row r="13" spans="1:21" x14ac:dyDescent="0.35">
      <c r="A13" t="s">
        <v>41</v>
      </c>
      <c r="B13" s="9">
        <v>0.11363013698630135</v>
      </c>
      <c r="C13" s="9">
        <v>0.1</v>
      </c>
      <c r="D13" s="9"/>
      <c r="E13" s="9"/>
      <c r="F13" s="9">
        <v>0</v>
      </c>
      <c r="G13" s="9">
        <v>0.1001027397260274</v>
      </c>
      <c r="H13" s="9">
        <v>6.6551484018264842E-2</v>
      </c>
      <c r="I13" s="9">
        <v>4.0000000000000008E-2</v>
      </c>
      <c r="J13" s="9">
        <v>0</v>
      </c>
      <c r="K13" s="9">
        <v>0.2222191780821918</v>
      </c>
      <c r="L13" s="9"/>
      <c r="M13" s="9">
        <v>0.06</v>
      </c>
      <c r="N13" s="9">
        <v>8.8835616438356177E-2</v>
      </c>
      <c r="O13" s="9">
        <v>0.09</v>
      </c>
      <c r="P13" s="9"/>
      <c r="Q13" s="9">
        <v>7.6727397260273972E-2</v>
      </c>
      <c r="R13" s="9">
        <v>7.4999999999999997E-2</v>
      </c>
      <c r="S13" s="9"/>
      <c r="T13" s="9">
        <v>0.05</v>
      </c>
      <c r="U13" s="9"/>
    </row>
    <row r="14" spans="1:21" x14ac:dyDescent="0.35">
      <c r="A14" t="s">
        <v>42</v>
      </c>
      <c r="B14" s="9">
        <v>9.6315068493150677E-3</v>
      </c>
      <c r="C14" s="9">
        <v>1.7099999999999997E-2</v>
      </c>
      <c r="D14" s="9">
        <v>1.0821917808219179E-2</v>
      </c>
      <c r="E14" s="9">
        <v>3.3500000000000002E-2</v>
      </c>
      <c r="F14" s="9">
        <v>8.9821917808219187E-2</v>
      </c>
      <c r="G14" s="9">
        <v>3.5765753424657529E-2</v>
      </c>
      <c r="H14" s="9">
        <v>1.7155251141552509E-2</v>
      </c>
      <c r="I14" s="9">
        <v>3.0000000000000002E-2</v>
      </c>
      <c r="J14" s="9">
        <v>0</v>
      </c>
      <c r="K14" s="9">
        <v>2.0613698630136984E-2</v>
      </c>
      <c r="L14" s="9"/>
      <c r="M14" s="9">
        <v>1.4999999999999999E-2</v>
      </c>
      <c r="N14" s="9">
        <v>4.1999999999999997E-3</v>
      </c>
      <c r="O14" s="9">
        <v>6.3E-3</v>
      </c>
      <c r="P14" s="9"/>
      <c r="Q14" s="9">
        <v>1.2986301369863014E-2</v>
      </c>
      <c r="R14" s="9"/>
      <c r="S14" s="9"/>
      <c r="T14" s="9">
        <v>6.9000000000000006E-2</v>
      </c>
      <c r="U14" s="9">
        <v>2.7525000000000004E-2</v>
      </c>
    </row>
    <row r="15" spans="1:21" x14ac:dyDescent="0.35">
      <c r="A15" t="s">
        <v>63</v>
      </c>
      <c r="B15" s="9">
        <v>4.8049315068493151E-2</v>
      </c>
      <c r="C15" s="9"/>
      <c r="D15" s="9">
        <v>0.14284931506849316</v>
      </c>
      <c r="E15" s="9">
        <v>1.26E-2</v>
      </c>
      <c r="F15" s="9">
        <v>4.3287671232876711E-2</v>
      </c>
      <c r="G15" s="9">
        <v>8.1164383561643835E-2</v>
      </c>
      <c r="H15" s="9">
        <v>9.2076484018264858E-3</v>
      </c>
      <c r="I15" s="9">
        <v>2.0000000000000004E-2</v>
      </c>
      <c r="J15" s="9">
        <v>2.5000000000000001E-2</v>
      </c>
      <c r="K15" s="9">
        <v>6.246575342465753E-2</v>
      </c>
      <c r="L15" s="9">
        <v>9.425E-2</v>
      </c>
      <c r="M15" s="9">
        <v>3.6643835616438351E-2</v>
      </c>
      <c r="N15" s="9">
        <v>1.6232876712328766E-2</v>
      </c>
      <c r="O15" s="9">
        <v>8.3333333333333329E-2</v>
      </c>
      <c r="P15" s="9">
        <v>1.0821917808219178E-2</v>
      </c>
      <c r="Q15" s="9">
        <v>1.0821917808219179E-2</v>
      </c>
      <c r="R15" s="9">
        <v>0.01</v>
      </c>
      <c r="S15" s="9"/>
      <c r="T15" s="9">
        <v>1.25E-3</v>
      </c>
      <c r="U15" s="9">
        <v>4.0000000000000008E-2</v>
      </c>
    </row>
    <row r="16" spans="1:21" x14ac:dyDescent="0.35">
      <c r="A16" t="s">
        <v>43</v>
      </c>
      <c r="B16" s="9">
        <v>4.8049315068493151E-2</v>
      </c>
      <c r="C16" s="9">
        <v>0</v>
      </c>
      <c r="D16" s="9">
        <v>0.13202739726027399</v>
      </c>
      <c r="E16" s="9">
        <v>1.26E-2</v>
      </c>
      <c r="F16" s="9">
        <v>4.3287671232876711E-2</v>
      </c>
      <c r="G16" s="9">
        <v>6.4931506849315063E-2</v>
      </c>
      <c r="H16" s="9">
        <v>9.2076484018264858E-3</v>
      </c>
      <c r="I16" s="9">
        <v>1.0000000000000002E-2</v>
      </c>
      <c r="J16" s="9">
        <v>1.5000000000000001E-2</v>
      </c>
      <c r="K16" s="9">
        <v>6.246575342465753E-2</v>
      </c>
      <c r="L16" s="9">
        <v>6.4250000000000002E-2</v>
      </c>
      <c r="M16" s="9">
        <v>1.4999999999999996E-2</v>
      </c>
      <c r="N16" s="9">
        <v>1.6232876712328766E-2</v>
      </c>
      <c r="O16" s="9">
        <v>8.3333333333333329E-2</v>
      </c>
      <c r="P16" s="9">
        <v>0</v>
      </c>
      <c r="Q16" s="9">
        <v>0</v>
      </c>
      <c r="R16" s="9">
        <v>0</v>
      </c>
      <c r="S16" s="9">
        <v>0</v>
      </c>
      <c r="T16" s="9">
        <v>1.25E-3</v>
      </c>
      <c r="U16" s="9">
        <v>2.0000000000000004E-2</v>
      </c>
    </row>
    <row r="17" spans="1:21" x14ac:dyDescent="0.35">
      <c r="A17" t="s">
        <v>65</v>
      </c>
      <c r="B17" s="9"/>
      <c r="C17" s="9"/>
      <c r="D17" s="9">
        <v>1.0821917808219179E-2</v>
      </c>
      <c r="E17" s="9"/>
      <c r="F17" s="9">
        <v>0</v>
      </c>
      <c r="G17" s="9">
        <v>1.6232876712328766E-2</v>
      </c>
      <c r="H17" s="9"/>
      <c r="I17" s="9">
        <v>1.0000000000000002E-2</v>
      </c>
      <c r="J17" s="9">
        <v>0.01</v>
      </c>
      <c r="K17" s="9"/>
      <c r="L17" s="9">
        <v>0.03</v>
      </c>
      <c r="M17" s="9">
        <v>2.1643835616438355E-2</v>
      </c>
      <c r="N17" s="9"/>
      <c r="O17" s="9"/>
      <c r="P17" s="9">
        <v>1.0821917808219178E-2</v>
      </c>
      <c r="Q17" s="9">
        <v>1.0821917808219179E-2</v>
      </c>
      <c r="R17" s="9">
        <v>0.01</v>
      </c>
      <c r="S17" s="9"/>
      <c r="T17" s="9"/>
      <c r="U17" s="9">
        <v>2.0000000000000004E-2</v>
      </c>
    </row>
    <row r="18" spans="1:21" x14ac:dyDescent="0.35">
      <c r="A18" t="s">
        <v>5</v>
      </c>
      <c r="B18" s="9">
        <v>8.2191780821917804E-2</v>
      </c>
      <c r="C18" s="9">
        <v>0.16438356164383561</v>
      </c>
      <c r="D18" s="9">
        <v>8.2191780821917818E-2</v>
      </c>
      <c r="E18" s="9">
        <v>0</v>
      </c>
      <c r="F18" s="9">
        <v>8.2191780821917804E-2</v>
      </c>
      <c r="G18" s="9">
        <v>8.2191780821917804E-2</v>
      </c>
      <c r="H18" s="9">
        <v>0.16552511415525112</v>
      </c>
      <c r="I18" s="9">
        <v>0.16438356164383561</v>
      </c>
      <c r="J18" s="9">
        <v>0.16438356164383561</v>
      </c>
      <c r="K18" s="9">
        <v>4.1095890410958902E-2</v>
      </c>
      <c r="L18" s="9">
        <v>0</v>
      </c>
      <c r="M18" s="9">
        <v>8.2191780821917818E-2</v>
      </c>
      <c r="N18" s="9">
        <v>8.2191780821917804E-2</v>
      </c>
      <c r="O18" s="9">
        <v>0.16438356164383561</v>
      </c>
      <c r="P18" s="9">
        <v>8.2191780821917804E-2</v>
      </c>
      <c r="Q18" s="9">
        <v>8.2191780821917804E-2</v>
      </c>
      <c r="R18" s="9">
        <v>4.1095890410958902E-2</v>
      </c>
      <c r="S18" s="9">
        <v>0</v>
      </c>
      <c r="T18" s="9">
        <v>8.2191780821917804E-2</v>
      </c>
      <c r="U18" s="9">
        <v>8.2191780821917804E-2</v>
      </c>
    </row>
    <row r="19" spans="1:21" x14ac:dyDescent="0.35">
      <c r="A19" t="s">
        <v>4</v>
      </c>
      <c r="B19" s="9">
        <v>3.8356164383561639E-2</v>
      </c>
      <c r="C19" s="9">
        <v>5.4794520547945209E-2</v>
      </c>
      <c r="D19" s="9">
        <v>0.10958904109589043</v>
      </c>
      <c r="E19" s="9">
        <v>4.1095890410958909E-2</v>
      </c>
      <c r="F19" s="9">
        <v>4.1095890410958902E-2</v>
      </c>
      <c r="G19" s="9">
        <v>3.8356164383561646E-2</v>
      </c>
      <c r="H19" s="9">
        <v>4.1095890410958909E-2</v>
      </c>
      <c r="I19" s="9">
        <v>4.1095890410958902E-2</v>
      </c>
      <c r="J19" s="9">
        <v>5.4794520547945202E-2</v>
      </c>
      <c r="K19" s="9">
        <v>3.8356164383561639E-2</v>
      </c>
      <c r="L19" s="9">
        <v>3.8356164383561646E-2</v>
      </c>
      <c r="M19" s="9">
        <v>8.2191780821917818E-2</v>
      </c>
      <c r="N19" s="9">
        <v>8.2191780821917804E-2</v>
      </c>
      <c r="O19" s="9">
        <v>8.2191780821917804E-2</v>
      </c>
      <c r="P19" s="9">
        <v>3.2876712328767127E-2</v>
      </c>
      <c r="Q19" s="9">
        <v>4.9315068493150684E-2</v>
      </c>
      <c r="R19" s="9">
        <v>6.575342465753424E-2</v>
      </c>
      <c r="S19" s="9">
        <v>3.8356164383561646E-2</v>
      </c>
      <c r="T19" s="9">
        <v>5.7534246575342465E-2</v>
      </c>
      <c r="U19" s="9">
        <v>5.2054794520547946E-2</v>
      </c>
    </row>
    <row r="20" spans="1:21" x14ac:dyDescent="0.35">
      <c r="A20" t="s">
        <v>66</v>
      </c>
      <c r="B20" s="9">
        <v>0.41095890410958902</v>
      </c>
      <c r="C20" s="9">
        <v>0.41095890410958902</v>
      </c>
      <c r="D20" s="9">
        <v>0.15780821917808222</v>
      </c>
      <c r="E20" s="9">
        <v>0.41095890410958902</v>
      </c>
      <c r="F20" s="9">
        <v>0.30136986301369861</v>
      </c>
      <c r="G20" s="9">
        <v>0.29041095890410962</v>
      </c>
      <c r="H20" s="9">
        <v>0.41095890410958902</v>
      </c>
      <c r="I20" s="9">
        <v>0.41095890410958907</v>
      </c>
      <c r="J20" s="9">
        <v>0.41095890410958907</v>
      </c>
      <c r="K20" s="9">
        <v>0.52054794520547942</v>
      </c>
      <c r="L20" s="9">
        <v>0.19178082191780821</v>
      </c>
      <c r="M20" s="9">
        <v>0.35616438356164382</v>
      </c>
      <c r="N20" s="9">
        <v>0.32602739726027397</v>
      </c>
      <c r="O20" s="9">
        <v>0.61643835616438358</v>
      </c>
      <c r="P20" s="9">
        <v>0.20547945205479451</v>
      </c>
      <c r="Q20" s="9">
        <v>0.31506849315068491</v>
      </c>
      <c r="R20" s="9">
        <v>0.41095890410958902</v>
      </c>
      <c r="S20" s="9">
        <v>0.22739726027397258</v>
      </c>
      <c r="T20" s="9">
        <v>0.49041095890410957</v>
      </c>
      <c r="U20" s="9">
        <v>0.41095890410958902</v>
      </c>
    </row>
    <row r="21" spans="1:21" x14ac:dyDescent="0.35">
      <c r="A21" t="s">
        <v>67</v>
      </c>
      <c r="B21" s="9">
        <v>0.16438356164383561</v>
      </c>
      <c r="C21" s="9">
        <v>0.24657534246575344</v>
      </c>
      <c r="D21" s="9">
        <v>0.11506849315068494</v>
      </c>
      <c r="E21" s="9">
        <v>8.2191780821917818E-2</v>
      </c>
      <c r="F21" s="9">
        <v>2.0547945205479451E-2</v>
      </c>
      <c r="G21" s="9">
        <v>8.2191780821917804E-2</v>
      </c>
      <c r="H21" s="9">
        <v>0</v>
      </c>
      <c r="I21" s="9">
        <v>0</v>
      </c>
      <c r="J21" s="9">
        <v>8.2191780821917804E-2</v>
      </c>
      <c r="K21" s="9">
        <v>0</v>
      </c>
      <c r="L21" s="9">
        <v>7.6712328767123292E-2</v>
      </c>
      <c r="M21" s="9">
        <v>0</v>
      </c>
      <c r="N21" s="9">
        <v>0</v>
      </c>
      <c r="O21" s="9">
        <v>0</v>
      </c>
      <c r="P21" s="9">
        <v>0.12328767123287672</v>
      </c>
      <c r="Q21" s="9">
        <v>7.6712328767123292E-2</v>
      </c>
      <c r="R21" s="9">
        <v>0</v>
      </c>
      <c r="S21" s="9"/>
      <c r="T21" s="9">
        <v>0</v>
      </c>
      <c r="U21" s="9">
        <v>0</v>
      </c>
    </row>
    <row r="22" spans="1:21" x14ac:dyDescent="0.35">
      <c r="B22" s="9"/>
      <c r="C22" s="9"/>
      <c r="D22" s="9"/>
      <c r="E22" s="9"/>
      <c r="F22" s="9"/>
      <c r="G22" s="9"/>
      <c r="H22" s="9"/>
      <c r="I22" s="9"/>
      <c r="J22" s="9"/>
      <c r="K22" s="9"/>
      <c r="L22" s="9"/>
      <c r="M22" s="9"/>
      <c r="N22" s="9"/>
      <c r="O22" s="9"/>
      <c r="P22" s="9"/>
      <c r="Q22" s="9"/>
      <c r="R22" s="9"/>
      <c r="S22" s="9"/>
      <c r="T22" s="9"/>
      <c r="U22" s="9"/>
    </row>
    <row r="23" spans="1:21" x14ac:dyDescent="0.35">
      <c r="B23" s="9"/>
      <c r="C23" s="9"/>
      <c r="D23" s="9"/>
      <c r="E23" s="9"/>
      <c r="F23" s="9"/>
      <c r="G23" s="9"/>
      <c r="H23" s="9"/>
      <c r="I23" s="9"/>
      <c r="J23" s="9"/>
      <c r="K23" s="9"/>
      <c r="L23" s="9"/>
      <c r="M23" s="9"/>
      <c r="N23" s="9"/>
      <c r="O23" s="9"/>
      <c r="P23" s="9"/>
      <c r="Q23" s="9"/>
      <c r="R23" s="9"/>
      <c r="S23" s="9"/>
      <c r="T23" s="9"/>
      <c r="U23" s="9"/>
    </row>
    <row r="24" spans="1:21" x14ac:dyDescent="0.35">
      <c r="A24" s="24"/>
      <c r="B24" s="917" t="s">
        <v>68</v>
      </c>
      <c r="C24" s="917"/>
      <c r="D24" s="917"/>
      <c r="E24" s="917"/>
      <c r="F24" s="917"/>
      <c r="G24" s="917"/>
      <c r="H24" s="917"/>
      <c r="I24" s="917"/>
      <c r="J24" s="917"/>
      <c r="K24" s="917"/>
      <c r="L24" s="917"/>
      <c r="M24" s="917"/>
      <c r="N24" s="917" t="s">
        <v>69</v>
      </c>
      <c r="O24" s="917"/>
      <c r="P24" s="917" t="s">
        <v>70</v>
      </c>
      <c r="Q24" s="917"/>
      <c r="R24" s="917"/>
      <c r="S24" s="917"/>
    </row>
    <row r="25" spans="1:21" x14ac:dyDescent="0.35">
      <c r="A25" s="24"/>
      <c r="B25" s="917" t="s">
        <v>71</v>
      </c>
      <c r="C25" s="917"/>
      <c r="D25" s="917"/>
      <c r="E25" s="917"/>
      <c r="F25" s="917"/>
      <c r="G25" s="917"/>
      <c r="H25" s="917" t="s">
        <v>72</v>
      </c>
      <c r="I25" s="917"/>
      <c r="J25" s="917"/>
      <c r="K25" s="917"/>
      <c r="L25" s="917"/>
      <c r="M25" s="917"/>
      <c r="N25" s="917"/>
      <c r="O25" s="917"/>
      <c r="P25" s="917" t="s">
        <v>73</v>
      </c>
      <c r="Q25" s="917"/>
      <c r="R25" s="918" t="s">
        <v>74</v>
      </c>
      <c r="S25" s="918"/>
    </row>
    <row r="26" spans="1:21" ht="52" x14ac:dyDescent="0.35">
      <c r="A26" s="24"/>
      <c r="B26" s="24" t="s">
        <v>75</v>
      </c>
      <c r="C26" s="24" t="s">
        <v>76</v>
      </c>
      <c r="D26" s="24" t="s">
        <v>77</v>
      </c>
      <c r="E26" s="24" t="s">
        <v>78</v>
      </c>
      <c r="F26" s="24" t="s">
        <v>79</v>
      </c>
      <c r="G26" s="24" t="s">
        <v>64</v>
      </c>
      <c r="H26" s="24" t="s">
        <v>75</v>
      </c>
      <c r="I26" s="24" t="s">
        <v>76</v>
      </c>
      <c r="J26" s="24" t="s">
        <v>77</v>
      </c>
      <c r="K26" s="24" t="s">
        <v>78</v>
      </c>
      <c r="L26" s="24" t="s">
        <v>79</v>
      </c>
      <c r="M26" s="24" t="s">
        <v>65</v>
      </c>
      <c r="N26" s="24" t="s">
        <v>5</v>
      </c>
      <c r="O26" s="24" t="s">
        <v>4</v>
      </c>
      <c r="P26" s="24" t="s">
        <v>80</v>
      </c>
      <c r="Q26" s="24" t="s">
        <v>81</v>
      </c>
      <c r="R26" s="24" t="s">
        <v>80</v>
      </c>
      <c r="S26" s="24" t="s">
        <v>81</v>
      </c>
    </row>
    <row r="27" spans="1:21" x14ac:dyDescent="0.35">
      <c r="A27" s="28" t="s">
        <v>11</v>
      </c>
      <c r="B27" s="9">
        <v>0.2002054794520548</v>
      </c>
      <c r="C27" s="9">
        <v>0.11904109589041097</v>
      </c>
      <c r="D27" s="9">
        <v>8.1164383561643835E-2</v>
      </c>
      <c r="E27" s="9"/>
      <c r="F27" s="9">
        <v>0</v>
      </c>
      <c r="G27" s="9"/>
      <c r="H27" s="9">
        <v>0.2813698630136986</v>
      </c>
      <c r="I27" s="9">
        <v>0.11005890410958903</v>
      </c>
      <c r="J27" s="9">
        <v>0.11363013698630135</v>
      </c>
      <c r="K27" s="9">
        <v>9.6315068493150677E-3</v>
      </c>
      <c r="L27" s="9">
        <v>4.8049315068493151E-2</v>
      </c>
      <c r="M27" s="9"/>
      <c r="N27" s="9">
        <v>8.2191780821917804E-2</v>
      </c>
      <c r="O27" s="9">
        <v>3.8356164383561639E-2</v>
      </c>
      <c r="P27" s="9">
        <v>0.41095890410958902</v>
      </c>
      <c r="Q27" s="9">
        <v>0.16438356164383561</v>
      </c>
      <c r="R27" s="9">
        <f>+P27/5</f>
        <v>8.2191780821917804E-2</v>
      </c>
      <c r="S27" s="9">
        <f>+Q27/5</f>
        <v>3.287671232876712E-2</v>
      </c>
    </row>
    <row r="28" spans="1:21" x14ac:dyDescent="0.35">
      <c r="A28" t="s">
        <v>13</v>
      </c>
      <c r="B28" s="9">
        <v>0.12709999999999999</v>
      </c>
      <c r="C28" s="9">
        <v>0.12709999999999999</v>
      </c>
      <c r="D28" s="9"/>
      <c r="E28" s="9"/>
      <c r="F28" s="9">
        <v>0</v>
      </c>
      <c r="G28" s="9"/>
      <c r="H28" s="9">
        <v>0.1171</v>
      </c>
      <c r="I28" s="9">
        <v>0</v>
      </c>
      <c r="J28" s="9">
        <v>0.1</v>
      </c>
      <c r="K28" s="9">
        <v>1.7099999999999997E-2</v>
      </c>
      <c r="L28" s="9">
        <v>0</v>
      </c>
      <c r="M28" s="9"/>
      <c r="N28" s="9">
        <v>0.16438356164383561</v>
      </c>
      <c r="O28" s="9">
        <v>5.4794520547945209E-2</v>
      </c>
      <c r="P28" s="9">
        <v>0.41095890410958902</v>
      </c>
      <c r="Q28" s="9">
        <v>0.24657534246575344</v>
      </c>
      <c r="R28" s="9">
        <f t="shared" ref="R28:R46" si="0">+P28/5</f>
        <v>8.2191780821917804E-2</v>
      </c>
      <c r="S28" s="9">
        <f t="shared" ref="S28:S46" si="1">+Q28/5</f>
        <v>4.9315068493150691E-2</v>
      </c>
    </row>
    <row r="29" spans="1:21" x14ac:dyDescent="0.35">
      <c r="A29" t="s">
        <v>12</v>
      </c>
      <c r="B29" s="9">
        <v>8.6575342465753435E-2</v>
      </c>
      <c r="C29" s="9">
        <v>8.6575342465753435E-2</v>
      </c>
      <c r="D29" s="9"/>
      <c r="E29" s="9"/>
      <c r="F29" s="9">
        <v>0</v>
      </c>
      <c r="G29" s="9"/>
      <c r="H29" s="9">
        <v>0.37010958904109587</v>
      </c>
      <c r="I29" s="9">
        <v>0.21643835616438359</v>
      </c>
      <c r="J29" s="9"/>
      <c r="K29" s="9">
        <v>1.0821917808219179E-2</v>
      </c>
      <c r="L29" s="9">
        <v>0.13202739726027399</v>
      </c>
      <c r="M29" s="9">
        <v>1.0821917808219179E-2</v>
      </c>
      <c r="N29" s="9">
        <v>8.2191780821917818E-2</v>
      </c>
      <c r="O29" s="9">
        <v>0.10958904109589043</v>
      </c>
      <c r="P29" s="9">
        <v>0.15780821917808222</v>
      </c>
      <c r="Q29" s="9">
        <v>0.11506849315068494</v>
      </c>
      <c r="R29" s="9">
        <f t="shared" si="0"/>
        <v>3.1561643835616444E-2</v>
      </c>
      <c r="S29" s="9">
        <f t="shared" si="1"/>
        <v>2.301369863013699E-2</v>
      </c>
    </row>
    <row r="30" spans="1:21" x14ac:dyDescent="0.35">
      <c r="A30" t="s">
        <v>28</v>
      </c>
      <c r="B30" s="9">
        <v>0.1908</v>
      </c>
      <c r="C30" s="9">
        <v>0.1</v>
      </c>
      <c r="D30" s="9">
        <v>7.0000000000000007E-2</v>
      </c>
      <c r="E30" s="9">
        <v>6.0000000000000001E-3</v>
      </c>
      <c r="F30" s="9">
        <v>1.4800000000000001E-2</v>
      </c>
      <c r="G30" s="9"/>
      <c r="H30" s="9">
        <v>4.6100000000000002E-2</v>
      </c>
      <c r="I30" s="9"/>
      <c r="J30" s="9"/>
      <c r="K30" s="9">
        <v>3.3500000000000002E-2</v>
      </c>
      <c r="L30" s="9">
        <v>1.26E-2</v>
      </c>
      <c r="M30" s="9"/>
      <c r="N30" s="9">
        <v>0</v>
      </c>
      <c r="O30" s="9">
        <v>4.1095890410958909E-2</v>
      </c>
      <c r="P30" s="9">
        <v>0.41095890410958902</v>
      </c>
      <c r="Q30" s="9">
        <v>8.2191780821917818E-2</v>
      </c>
      <c r="R30" s="9">
        <f t="shared" si="0"/>
        <v>8.2191780821917804E-2</v>
      </c>
      <c r="S30" s="9">
        <f t="shared" si="1"/>
        <v>1.6438356164383564E-2</v>
      </c>
    </row>
    <row r="31" spans="1:21" x14ac:dyDescent="0.35">
      <c r="A31" t="s">
        <v>15</v>
      </c>
      <c r="B31" s="9">
        <v>0.08</v>
      </c>
      <c r="C31" s="9">
        <v>0.04</v>
      </c>
      <c r="D31" s="9">
        <v>0.04</v>
      </c>
      <c r="E31" s="9"/>
      <c r="F31" s="9">
        <v>0</v>
      </c>
      <c r="G31" s="9"/>
      <c r="H31" s="9">
        <v>0.262972602739726</v>
      </c>
      <c r="I31" s="9">
        <v>0.12986301369863013</v>
      </c>
      <c r="J31" s="9">
        <v>0</v>
      </c>
      <c r="K31" s="9">
        <v>8.9821917808219187E-2</v>
      </c>
      <c r="L31" s="9">
        <v>4.3287671232876711E-2</v>
      </c>
      <c r="M31" s="9">
        <v>0</v>
      </c>
      <c r="N31" s="9">
        <v>8.2191780821917804E-2</v>
      </c>
      <c r="O31" s="9">
        <v>4.1095890410958902E-2</v>
      </c>
      <c r="P31" s="9">
        <v>0.30136986301369861</v>
      </c>
      <c r="Q31" s="9">
        <v>2.0547945205479451E-2</v>
      </c>
      <c r="R31" s="9">
        <f t="shared" si="0"/>
        <v>6.0273972602739721E-2</v>
      </c>
      <c r="S31" s="9">
        <f t="shared" si="1"/>
        <v>4.10958904109589E-3</v>
      </c>
    </row>
    <row r="32" spans="1:21" x14ac:dyDescent="0.35">
      <c r="A32" t="s">
        <v>18</v>
      </c>
      <c r="B32" s="9">
        <v>9.9236986301369873E-2</v>
      </c>
      <c r="C32" s="9">
        <v>2.8894520547945206E-2</v>
      </c>
      <c r="D32" s="9">
        <v>5.9520547945205483E-2</v>
      </c>
      <c r="E32" s="9"/>
      <c r="F32" s="9">
        <v>1.0821917808219179E-2</v>
      </c>
      <c r="G32" s="9"/>
      <c r="H32" s="9">
        <v>0.28650958904109586</v>
      </c>
      <c r="I32" s="9">
        <v>6.9476712328767121E-2</v>
      </c>
      <c r="J32" s="9">
        <v>0.1001027397260274</v>
      </c>
      <c r="K32" s="9">
        <v>3.5765753424657529E-2</v>
      </c>
      <c r="L32" s="9">
        <v>6.4931506849315063E-2</v>
      </c>
      <c r="M32" s="9">
        <v>1.6232876712328766E-2</v>
      </c>
      <c r="N32" s="9">
        <v>8.2191780821917804E-2</v>
      </c>
      <c r="O32" s="9">
        <v>3.8356164383561646E-2</v>
      </c>
      <c r="P32" s="9">
        <v>0.29041095890410962</v>
      </c>
      <c r="Q32" s="9">
        <v>8.2191780821917804E-2</v>
      </c>
      <c r="R32" s="9">
        <f t="shared" si="0"/>
        <v>5.8082191780821926E-2</v>
      </c>
      <c r="S32" s="9">
        <f t="shared" si="1"/>
        <v>1.643835616438356E-2</v>
      </c>
    </row>
    <row r="33" spans="1:19" x14ac:dyDescent="0.35">
      <c r="A33" t="s">
        <v>17</v>
      </c>
      <c r="B33" s="9">
        <v>0.11014212328767123</v>
      </c>
      <c r="C33" s="9">
        <v>7.7390867579908665E-2</v>
      </c>
      <c r="D33" s="9"/>
      <c r="E33" s="9">
        <v>2.3310502283105022E-2</v>
      </c>
      <c r="F33" s="9">
        <v>9.4407534246575345E-3</v>
      </c>
      <c r="G33" s="9"/>
      <c r="H33" s="9">
        <v>0.12904566210045662</v>
      </c>
      <c r="I33" s="9">
        <v>3.6131278538812782E-2</v>
      </c>
      <c r="J33" s="9">
        <v>6.6551484018264842E-2</v>
      </c>
      <c r="K33" s="9">
        <v>1.7155251141552509E-2</v>
      </c>
      <c r="L33" s="9">
        <v>9.2076484018264858E-3</v>
      </c>
      <c r="M33" s="9"/>
      <c r="N33" s="9">
        <v>0.16552511415525112</v>
      </c>
      <c r="O33" s="9">
        <v>4.1095890410958909E-2</v>
      </c>
      <c r="P33" s="9">
        <v>0.41095890410958902</v>
      </c>
      <c r="Q33" s="9">
        <v>0</v>
      </c>
      <c r="R33" s="9">
        <f t="shared" si="0"/>
        <v>8.2191780821917804E-2</v>
      </c>
      <c r="S33" s="9">
        <f t="shared" si="1"/>
        <v>0</v>
      </c>
    </row>
    <row r="34" spans="1:19" x14ac:dyDescent="0.35">
      <c r="A34" t="s">
        <v>21</v>
      </c>
      <c r="B34" s="9">
        <v>4.8300000000000003E-2</v>
      </c>
      <c r="C34" s="9">
        <v>1.8300000000000004E-2</v>
      </c>
      <c r="D34" s="9">
        <v>2.0000000000000004E-2</v>
      </c>
      <c r="E34" s="9">
        <v>1.0000000000000002E-2</v>
      </c>
      <c r="F34" s="9">
        <v>0</v>
      </c>
      <c r="G34" s="9"/>
      <c r="H34" s="9">
        <v>0.12670000000000003</v>
      </c>
      <c r="I34" s="9">
        <v>3.670000000000001E-2</v>
      </c>
      <c r="J34" s="9">
        <v>4.0000000000000008E-2</v>
      </c>
      <c r="K34" s="9">
        <v>3.0000000000000002E-2</v>
      </c>
      <c r="L34" s="9">
        <v>1.0000000000000002E-2</v>
      </c>
      <c r="M34" s="9">
        <v>1.0000000000000002E-2</v>
      </c>
      <c r="N34" s="9">
        <v>0.16438356164383561</v>
      </c>
      <c r="O34" s="9">
        <v>4.1095890410958902E-2</v>
      </c>
      <c r="P34" s="9">
        <v>0.41095890410958907</v>
      </c>
      <c r="Q34" s="9">
        <v>0</v>
      </c>
      <c r="R34" s="9">
        <f t="shared" si="0"/>
        <v>8.2191780821917818E-2</v>
      </c>
      <c r="S34" s="9">
        <f t="shared" si="1"/>
        <v>0</v>
      </c>
    </row>
    <row r="35" spans="1:19" x14ac:dyDescent="0.35">
      <c r="A35" t="s">
        <v>27</v>
      </c>
      <c r="B35" s="9">
        <v>0.05</v>
      </c>
      <c r="C35" s="9">
        <v>0.01</v>
      </c>
      <c r="D35" s="9">
        <v>2.5000000000000001E-2</v>
      </c>
      <c r="E35" s="9"/>
      <c r="F35" s="9">
        <v>1.4999999999999999E-2</v>
      </c>
      <c r="G35" s="9"/>
      <c r="H35" s="9">
        <v>2.5000000000000001E-2</v>
      </c>
      <c r="I35" s="9">
        <v>0</v>
      </c>
      <c r="J35" s="9">
        <v>0</v>
      </c>
      <c r="K35" s="9">
        <v>0</v>
      </c>
      <c r="L35" s="9">
        <v>1.5000000000000001E-2</v>
      </c>
      <c r="M35" s="9">
        <v>0.01</v>
      </c>
      <c r="N35" s="9">
        <v>0.16438356164383561</v>
      </c>
      <c r="O35" s="9">
        <v>5.4794520547945202E-2</v>
      </c>
      <c r="P35" s="9">
        <v>0.41095890410958907</v>
      </c>
      <c r="Q35" s="9">
        <v>8.2191780821917804E-2</v>
      </c>
      <c r="R35" s="9">
        <f t="shared" si="0"/>
        <v>8.2191780821917818E-2</v>
      </c>
      <c r="S35" s="9">
        <f t="shared" si="1"/>
        <v>1.643835616438356E-2</v>
      </c>
    </row>
    <row r="36" spans="1:19" x14ac:dyDescent="0.35">
      <c r="A36" t="s">
        <v>24</v>
      </c>
      <c r="B36" s="9">
        <v>2.4726027397260271E-2</v>
      </c>
      <c r="C36" s="9">
        <v>1.821917808219178E-2</v>
      </c>
      <c r="D36" s="9">
        <v>6.5068493150684933E-3</v>
      </c>
      <c r="E36" s="9"/>
      <c r="F36" s="9">
        <v>0</v>
      </c>
      <c r="G36" s="9"/>
      <c r="H36" s="9">
        <v>0.3771342465753425</v>
      </c>
      <c r="I36" s="9">
        <v>7.1835616438356162E-2</v>
      </c>
      <c r="J36" s="9">
        <v>0.2222191780821918</v>
      </c>
      <c r="K36" s="9">
        <v>2.0613698630136984E-2</v>
      </c>
      <c r="L36" s="9">
        <v>6.246575342465753E-2</v>
      </c>
      <c r="M36" s="9"/>
      <c r="N36" s="9">
        <v>4.1095890410958902E-2</v>
      </c>
      <c r="O36" s="9">
        <v>3.8356164383561639E-2</v>
      </c>
      <c r="P36" s="9">
        <v>0.52054794520547942</v>
      </c>
      <c r="Q36" s="9">
        <v>0</v>
      </c>
      <c r="R36" s="9">
        <f t="shared" si="0"/>
        <v>0.10410958904109588</v>
      </c>
      <c r="S36" s="9">
        <f t="shared" si="1"/>
        <v>0</v>
      </c>
    </row>
    <row r="37" spans="1:19" x14ac:dyDescent="0.35">
      <c r="A37" t="s">
        <v>29</v>
      </c>
      <c r="B37" s="9">
        <v>6.6937499999999997E-2</v>
      </c>
      <c r="C37" s="9">
        <v>2.5000000000000001E-2</v>
      </c>
      <c r="D37" s="9"/>
      <c r="E37" s="9"/>
      <c r="F37" s="9">
        <v>4.1937500000000003E-2</v>
      </c>
      <c r="G37" s="9"/>
      <c r="H37" s="9">
        <v>0.11924999999999999</v>
      </c>
      <c r="I37" s="9">
        <v>2.5000000000000001E-2</v>
      </c>
      <c r="J37" s="9"/>
      <c r="K37" s="9"/>
      <c r="L37" s="9">
        <v>6.4250000000000002E-2</v>
      </c>
      <c r="M37" s="9">
        <v>0.03</v>
      </c>
      <c r="N37" s="9">
        <v>0</v>
      </c>
      <c r="O37" s="9">
        <v>3.8356164383561646E-2</v>
      </c>
      <c r="P37" s="9">
        <v>0.19178082191780821</v>
      </c>
      <c r="Q37" s="9">
        <v>7.6712328767123292E-2</v>
      </c>
      <c r="R37" s="9">
        <f t="shared" si="0"/>
        <v>3.8356164383561639E-2</v>
      </c>
      <c r="S37" s="9">
        <f t="shared" si="1"/>
        <v>1.5342465753424659E-2</v>
      </c>
    </row>
    <row r="38" spans="1:19" x14ac:dyDescent="0.35">
      <c r="A38" t="s">
        <v>23</v>
      </c>
      <c r="B38" s="9">
        <v>6.25E-2</v>
      </c>
      <c r="C38" s="9">
        <v>0.04</v>
      </c>
      <c r="D38" s="9">
        <v>2.2499999999999996E-2</v>
      </c>
      <c r="E38" s="9"/>
      <c r="F38" s="9">
        <v>0</v>
      </c>
      <c r="G38" s="9"/>
      <c r="H38" s="9">
        <v>0.18164383561643832</v>
      </c>
      <c r="I38" s="9">
        <v>7.0000000000000007E-2</v>
      </c>
      <c r="J38" s="9">
        <v>0.06</v>
      </c>
      <c r="K38" s="9">
        <v>1.4999999999999999E-2</v>
      </c>
      <c r="L38" s="9">
        <v>1.4999999999999996E-2</v>
      </c>
      <c r="M38" s="9">
        <v>2.1643835616438355E-2</v>
      </c>
      <c r="N38" s="9">
        <v>8.2191780821917818E-2</v>
      </c>
      <c r="O38" s="9">
        <v>8.2191780821917818E-2</v>
      </c>
      <c r="P38" s="9">
        <v>0.35616438356164382</v>
      </c>
      <c r="Q38" s="9">
        <v>0</v>
      </c>
      <c r="R38" s="9">
        <f t="shared" si="0"/>
        <v>7.1232876712328766E-2</v>
      </c>
      <c r="S38" s="9">
        <f t="shared" si="1"/>
        <v>0</v>
      </c>
    </row>
    <row r="39" spans="1:19" x14ac:dyDescent="0.35">
      <c r="A39" t="s">
        <v>19</v>
      </c>
      <c r="B39" s="9">
        <v>0.12294520547945205</v>
      </c>
      <c r="C39" s="9">
        <v>9.8458904109589032E-2</v>
      </c>
      <c r="D39" s="9">
        <v>1.0958904109589041E-2</v>
      </c>
      <c r="E39" s="9"/>
      <c r="F39" s="9">
        <v>1.3527397260273973E-2</v>
      </c>
      <c r="G39" s="9"/>
      <c r="H39" s="9">
        <v>0.16060410958904112</v>
      </c>
      <c r="I39" s="9">
        <v>5.1335616438356171E-2</v>
      </c>
      <c r="J39" s="9">
        <v>8.8835616438356177E-2</v>
      </c>
      <c r="K39" s="9">
        <v>4.1999999999999997E-3</v>
      </c>
      <c r="L39" s="9">
        <v>1.6232876712328766E-2</v>
      </c>
      <c r="M39" s="9"/>
      <c r="N39" s="9">
        <v>8.2191780821917804E-2</v>
      </c>
      <c r="O39" s="9">
        <v>8.2191780821917804E-2</v>
      </c>
      <c r="P39" s="9">
        <v>0.32602739726027397</v>
      </c>
      <c r="Q39" s="9">
        <v>0</v>
      </c>
      <c r="R39" s="9">
        <f t="shared" si="0"/>
        <v>6.5205479452054793E-2</v>
      </c>
      <c r="S39" s="9">
        <f t="shared" si="1"/>
        <v>0</v>
      </c>
    </row>
    <row r="40" spans="1:19" x14ac:dyDescent="0.35">
      <c r="A40" t="s">
        <v>16</v>
      </c>
      <c r="B40" s="9">
        <v>0.13</v>
      </c>
      <c r="C40" s="9">
        <v>0.13</v>
      </c>
      <c r="D40" s="9"/>
      <c r="E40" s="9"/>
      <c r="F40" s="9">
        <v>0</v>
      </c>
      <c r="G40" s="9"/>
      <c r="H40" s="9">
        <v>0.17963333333333334</v>
      </c>
      <c r="I40" s="9"/>
      <c r="J40" s="9">
        <v>0.09</v>
      </c>
      <c r="K40" s="9">
        <v>6.3E-3</v>
      </c>
      <c r="L40" s="9">
        <v>8.3333333333333329E-2</v>
      </c>
      <c r="M40" s="9"/>
      <c r="N40" s="9">
        <v>0.16438356164383561</v>
      </c>
      <c r="O40" s="9">
        <v>8.2191780821917804E-2</v>
      </c>
      <c r="P40" s="9">
        <v>0.61643835616438358</v>
      </c>
      <c r="Q40" s="9">
        <v>0</v>
      </c>
      <c r="R40" s="9">
        <f t="shared" si="0"/>
        <v>0.12328767123287672</v>
      </c>
      <c r="S40" s="9">
        <f t="shared" si="1"/>
        <v>0</v>
      </c>
    </row>
    <row r="41" spans="1:19" x14ac:dyDescent="0.35">
      <c r="A41" t="s">
        <v>20</v>
      </c>
      <c r="B41" s="9">
        <v>9.7397260273972594E-2</v>
      </c>
      <c r="C41" s="9">
        <v>9.7397260273972594E-2</v>
      </c>
      <c r="D41" s="9"/>
      <c r="E41" s="9"/>
      <c r="F41" s="9">
        <v>0</v>
      </c>
      <c r="G41" s="9"/>
      <c r="H41" s="9">
        <v>0.16232876712328767</v>
      </c>
      <c r="I41" s="9">
        <v>0.1515068493150685</v>
      </c>
      <c r="J41" s="9"/>
      <c r="K41" s="9"/>
      <c r="L41" s="9">
        <v>0</v>
      </c>
      <c r="M41" s="9">
        <v>1.0821917808219178E-2</v>
      </c>
      <c r="N41" s="9">
        <v>8.2191780821917804E-2</v>
      </c>
      <c r="O41" s="9">
        <v>3.2876712328767127E-2</v>
      </c>
      <c r="P41" s="9">
        <v>0.20547945205479451</v>
      </c>
      <c r="Q41" s="9">
        <v>0.12328767123287672</v>
      </c>
      <c r="R41" s="9">
        <f t="shared" si="0"/>
        <v>4.1095890410958902E-2</v>
      </c>
      <c r="S41" s="9">
        <f t="shared" si="1"/>
        <v>2.4657534246575345E-2</v>
      </c>
    </row>
    <row r="42" spans="1:19" x14ac:dyDescent="0.35">
      <c r="A42" t="s">
        <v>26</v>
      </c>
      <c r="B42" s="9">
        <v>6.4498630136986312E-2</v>
      </c>
      <c r="C42" s="9">
        <v>3.1058904109589041E-2</v>
      </c>
      <c r="D42" s="9">
        <v>3.2898630136986302E-2</v>
      </c>
      <c r="E42" s="9"/>
      <c r="F42" s="9">
        <v>0</v>
      </c>
      <c r="G42" s="9">
        <v>5.4109589041095895E-4</v>
      </c>
      <c r="H42" s="9">
        <v>0.17737123287671233</v>
      </c>
      <c r="I42" s="9">
        <v>7.6835616438356152E-2</v>
      </c>
      <c r="J42" s="9">
        <v>7.6727397260273972E-2</v>
      </c>
      <c r="K42" s="9">
        <v>1.2986301369863014E-2</v>
      </c>
      <c r="L42" s="9">
        <v>0</v>
      </c>
      <c r="M42" s="9">
        <v>1.0821917808219179E-2</v>
      </c>
      <c r="N42" s="9">
        <v>8.2191780821917804E-2</v>
      </c>
      <c r="O42" s="9">
        <v>4.9315068493150684E-2</v>
      </c>
      <c r="P42" s="9">
        <v>0.31506849315068491</v>
      </c>
      <c r="Q42" s="9">
        <v>7.6712328767123292E-2</v>
      </c>
      <c r="R42" s="9">
        <f t="shared" si="0"/>
        <v>6.3013698630136977E-2</v>
      </c>
      <c r="S42" s="9">
        <f t="shared" si="1"/>
        <v>1.5342465753424659E-2</v>
      </c>
    </row>
    <row r="43" spans="1:19" x14ac:dyDescent="0.35">
      <c r="A43" t="s">
        <v>25</v>
      </c>
      <c r="B43" s="9">
        <v>9.2500000000000013E-2</v>
      </c>
      <c r="C43" s="9">
        <v>6.25E-2</v>
      </c>
      <c r="D43" s="9">
        <v>3.0000000000000002E-2</v>
      </c>
      <c r="E43" s="9"/>
      <c r="F43" s="9">
        <v>0</v>
      </c>
      <c r="G43" s="9"/>
      <c r="H43" s="9">
        <v>0.1525</v>
      </c>
      <c r="I43" s="9">
        <v>6.7500000000000004E-2</v>
      </c>
      <c r="J43" s="9">
        <v>7.4999999999999997E-2</v>
      </c>
      <c r="K43" s="9"/>
      <c r="L43" s="9">
        <v>0</v>
      </c>
      <c r="M43" s="9">
        <v>0.01</v>
      </c>
      <c r="N43" s="9">
        <v>4.1095890410958902E-2</v>
      </c>
      <c r="O43" s="9">
        <v>6.575342465753424E-2</v>
      </c>
      <c r="P43" s="9">
        <v>0.41095890410958902</v>
      </c>
      <c r="Q43" s="9">
        <v>0</v>
      </c>
      <c r="R43" s="9">
        <f t="shared" si="0"/>
        <v>8.2191780821917804E-2</v>
      </c>
      <c r="S43" s="9">
        <f t="shared" si="1"/>
        <v>0</v>
      </c>
    </row>
    <row r="44" spans="1:19" x14ac:dyDescent="0.35">
      <c r="A44" t="s">
        <v>62</v>
      </c>
      <c r="B44" s="9">
        <v>5.5899914000132306E-2</v>
      </c>
      <c r="C44" s="9">
        <v>3.9399939384708642E-2</v>
      </c>
      <c r="D44" s="9">
        <v>1.6499974615423667E-2</v>
      </c>
      <c r="E44" s="9"/>
      <c r="F44" s="9">
        <v>0</v>
      </c>
      <c r="G44" s="9"/>
      <c r="H44" s="9">
        <v>7.8799878769417284E-2</v>
      </c>
      <c r="I44" s="9">
        <v>7.8799878769417284E-2</v>
      </c>
      <c r="J44" s="9"/>
      <c r="K44" s="9"/>
      <c r="L44" s="9">
        <v>0</v>
      </c>
      <c r="M44" s="9"/>
      <c r="N44" s="9">
        <v>0</v>
      </c>
      <c r="O44" s="9">
        <v>3.8356164383561646E-2</v>
      </c>
      <c r="P44" s="9">
        <v>0.22739726027397258</v>
      </c>
      <c r="Q44" s="9"/>
      <c r="R44" s="9">
        <f t="shared" si="0"/>
        <v>4.547945205479452E-2</v>
      </c>
      <c r="S44" s="9">
        <f t="shared" si="1"/>
        <v>0</v>
      </c>
    </row>
    <row r="45" spans="1:19" x14ac:dyDescent="0.35">
      <c r="A45" t="s">
        <v>14</v>
      </c>
      <c r="B45" s="9">
        <v>0.19624999999999998</v>
      </c>
      <c r="C45" s="9">
        <v>0.15</v>
      </c>
      <c r="D45" s="9">
        <v>4.4999999999999991E-2</v>
      </c>
      <c r="E45" s="9"/>
      <c r="F45" s="9">
        <v>1.25E-3</v>
      </c>
      <c r="G45" s="9"/>
      <c r="H45" s="9">
        <v>0.19525000000000001</v>
      </c>
      <c r="I45" s="9">
        <v>7.4999999999999997E-2</v>
      </c>
      <c r="J45" s="9">
        <v>0.05</v>
      </c>
      <c r="K45" s="9">
        <v>6.9000000000000006E-2</v>
      </c>
      <c r="L45" s="9">
        <v>1.25E-3</v>
      </c>
      <c r="M45" s="9"/>
      <c r="N45" s="9">
        <v>8.2191780821917804E-2</v>
      </c>
      <c r="O45" s="9">
        <v>5.7534246575342465E-2</v>
      </c>
      <c r="P45" s="9">
        <v>0.49041095890410957</v>
      </c>
      <c r="Q45" s="9">
        <v>0</v>
      </c>
      <c r="R45" s="9">
        <f t="shared" si="0"/>
        <v>9.808219178082192E-2</v>
      </c>
      <c r="S45" s="9">
        <f t="shared" si="1"/>
        <v>0</v>
      </c>
    </row>
    <row r="46" spans="1:19" x14ac:dyDescent="0.35">
      <c r="A46" t="s">
        <v>22</v>
      </c>
      <c r="B46" s="9">
        <v>6.0000000000000012E-2</v>
      </c>
      <c r="C46" s="9">
        <v>4.0000000000000008E-2</v>
      </c>
      <c r="D46" s="9"/>
      <c r="E46" s="9">
        <v>5.000000000000001E-3</v>
      </c>
      <c r="F46" s="9">
        <v>1.0000000000000002E-2</v>
      </c>
      <c r="G46" s="9">
        <v>5.000000000000001E-3</v>
      </c>
      <c r="H46" s="9">
        <v>0.157525</v>
      </c>
      <c r="I46" s="9">
        <v>9.0000000000000011E-2</v>
      </c>
      <c r="J46" s="9"/>
      <c r="K46" s="9">
        <v>2.7525000000000004E-2</v>
      </c>
      <c r="L46" s="9">
        <v>2.0000000000000004E-2</v>
      </c>
      <c r="M46" s="9">
        <v>2.0000000000000004E-2</v>
      </c>
      <c r="N46" s="9">
        <v>8.2191780821917804E-2</v>
      </c>
      <c r="O46" s="9">
        <v>5.2054794520547946E-2</v>
      </c>
      <c r="P46" s="9">
        <v>0.41095890410958902</v>
      </c>
      <c r="Q46" s="9">
        <v>0</v>
      </c>
      <c r="R46" s="9">
        <f t="shared" si="0"/>
        <v>8.2191780821917804E-2</v>
      </c>
      <c r="S46" s="9">
        <f t="shared" si="1"/>
        <v>0</v>
      </c>
    </row>
    <row r="49" spans="1:7" x14ac:dyDescent="0.35">
      <c r="A49" s="26"/>
      <c r="B49" s="27"/>
      <c r="C49" s="916" t="s">
        <v>69</v>
      </c>
      <c r="D49" s="916"/>
      <c r="E49" s="916" t="s">
        <v>70</v>
      </c>
      <c r="F49" s="916"/>
      <c r="G49" s="27"/>
    </row>
    <row r="50" spans="1:7" ht="39" x14ac:dyDescent="0.35">
      <c r="A50" s="460"/>
      <c r="B50" s="461" t="s">
        <v>68</v>
      </c>
      <c r="C50" s="458" t="s">
        <v>82</v>
      </c>
      <c r="D50" s="458" t="s">
        <v>83</v>
      </c>
      <c r="E50" s="458" t="s">
        <v>84</v>
      </c>
      <c r="F50" s="458" t="s">
        <v>85</v>
      </c>
      <c r="G50" s="458" t="s">
        <v>86</v>
      </c>
    </row>
    <row r="51" spans="1:7" x14ac:dyDescent="0.35">
      <c r="A51" s="462" t="s">
        <v>11</v>
      </c>
      <c r="B51" s="168">
        <v>0.4815753424657534</v>
      </c>
      <c r="C51" s="168">
        <v>8.2191780821917804E-2</v>
      </c>
      <c r="D51" s="168">
        <v>3.8356164383561639E-2</v>
      </c>
      <c r="E51" s="168">
        <v>8.2191780821917804E-2</v>
      </c>
      <c r="F51" s="168">
        <v>3.287671232876712E-2</v>
      </c>
      <c r="G51" s="168">
        <v>0.7171917808219177</v>
      </c>
    </row>
    <row r="52" spans="1:7" x14ac:dyDescent="0.35">
      <c r="A52" t="s">
        <v>12</v>
      </c>
      <c r="B52" s="7">
        <v>0.4566849315068493</v>
      </c>
      <c r="C52" s="7">
        <v>8.2191780821917818E-2</v>
      </c>
      <c r="D52" s="7">
        <v>0.10958904109589043</v>
      </c>
      <c r="E52" s="7">
        <v>3.1561643835616444E-2</v>
      </c>
      <c r="F52" s="7">
        <v>2.301369863013699E-2</v>
      </c>
      <c r="G52" s="7">
        <v>0.70304109589041097</v>
      </c>
    </row>
    <row r="53" spans="1:7" x14ac:dyDescent="0.35">
      <c r="A53" t="s">
        <v>16</v>
      </c>
      <c r="B53" s="7">
        <v>0.30963333333333332</v>
      </c>
      <c r="C53" s="7">
        <v>0.16438356164383561</v>
      </c>
      <c r="D53" s="7">
        <v>8.2191780821917804E-2</v>
      </c>
      <c r="E53" s="7">
        <v>0.12328767123287672</v>
      </c>
      <c r="F53" s="7">
        <v>0</v>
      </c>
      <c r="G53" s="7">
        <v>0.67949634703196349</v>
      </c>
    </row>
    <row r="54" spans="1:7" x14ac:dyDescent="0.35">
      <c r="A54" t="s">
        <v>14</v>
      </c>
      <c r="B54" s="7">
        <v>0.39149999999999996</v>
      </c>
      <c r="C54" s="7">
        <v>8.2191780821917804E-2</v>
      </c>
      <c r="D54" s="7">
        <v>5.7534246575342465E-2</v>
      </c>
      <c r="E54" s="7">
        <v>9.808219178082192E-2</v>
      </c>
      <c r="F54" s="7">
        <v>0</v>
      </c>
      <c r="G54" s="7">
        <v>0.62930821917808211</v>
      </c>
    </row>
    <row r="55" spans="1:7" x14ac:dyDescent="0.35">
      <c r="A55" t="s">
        <v>13</v>
      </c>
      <c r="B55" s="7">
        <v>0.24419999999999997</v>
      </c>
      <c r="C55" s="7">
        <v>0.16438356164383561</v>
      </c>
      <c r="D55" s="7">
        <v>5.4794520547945209E-2</v>
      </c>
      <c r="E55" s="7">
        <v>8.2191780821917804E-2</v>
      </c>
      <c r="F55" s="7">
        <v>4.9315068493150691E-2</v>
      </c>
      <c r="G55" s="7">
        <v>0.59488493150684929</v>
      </c>
    </row>
    <row r="56" spans="1:7" x14ac:dyDescent="0.35">
      <c r="A56" t="s">
        <v>24</v>
      </c>
      <c r="B56" s="7">
        <v>0.40186027397260277</v>
      </c>
      <c r="C56" s="7">
        <v>4.1095890410958902E-2</v>
      </c>
      <c r="D56" s="7">
        <v>3.8356164383561639E-2</v>
      </c>
      <c r="E56" s="7">
        <v>0.10410958904109588</v>
      </c>
      <c r="F56" s="7">
        <v>0</v>
      </c>
      <c r="G56" s="7">
        <v>0.58542191780821917</v>
      </c>
    </row>
    <row r="57" spans="1:7" x14ac:dyDescent="0.35">
      <c r="A57" t="s">
        <v>18</v>
      </c>
      <c r="B57" s="7">
        <v>0.3857465753424657</v>
      </c>
      <c r="C57" s="7">
        <v>8.2191780821917804E-2</v>
      </c>
      <c r="D57" s="7">
        <v>3.8356164383561646E-2</v>
      </c>
      <c r="E57" s="7">
        <v>5.8082191780821926E-2</v>
      </c>
      <c r="F57" s="7">
        <v>1.643835616438356E-2</v>
      </c>
      <c r="G57" s="7">
        <v>0.58081506849315068</v>
      </c>
    </row>
    <row r="58" spans="1:7" x14ac:dyDescent="0.35">
      <c r="A58" t="s">
        <v>15</v>
      </c>
      <c r="B58" s="7">
        <v>0.34297260273972602</v>
      </c>
      <c r="C58" s="7">
        <v>8.2191780821917804E-2</v>
      </c>
      <c r="D58" s="7">
        <v>4.1095890410958902E-2</v>
      </c>
      <c r="E58" s="7">
        <v>6.0273972602739721E-2</v>
      </c>
      <c r="F58" s="7">
        <v>4.10958904109589E-3</v>
      </c>
      <c r="G58" s="7">
        <v>0.53064383561643835</v>
      </c>
    </row>
    <row r="59" spans="1:7" x14ac:dyDescent="0.35">
      <c r="A59" t="s">
        <v>17</v>
      </c>
      <c r="B59" s="7">
        <v>0.23918778538812785</v>
      </c>
      <c r="C59" s="7">
        <v>0.16552511415525112</v>
      </c>
      <c r="D59" s="7">
        <v>4.1095890410958909E-2</v>
      </c>
      <c r="E59" s="7">
        <v>8.2191780821917804E-2</v>
      </c>
      <c r="F59" s="7">
        <v>0</v>
      </c>
      <c r="G59" s="7">
        <v>0.52800057077625562</v>
      </c>
    </row>
    <row r="60" spans="1:7" x14ac:dyDescent="0.35">
      <c r="A60" t="s">
        <v>19</v>
      </c>
      <c r="B60" s="7">
        <v>0.28354931506849318</v>
      </c>
      <c r="C60" s="7">
        <v>8.2191780821917804E-2</v>
      </c>
      <c r="D60" s="7">
        <v>8.2191780821917804E-2</v>
      </c>
      <c r="E60" s="7">
        <v>6.5205479452054793E-2</v>
      </c>
      <c r="F60" s="7">
        <v>0</v>
      </c>
      <c r="G60" s="7">
        <v>0.51313835616438364</v>
      </c>
    </row>
    <row r="61" spans="1:7" x14ac:dyDescent="0.35">
      <c r="A61" t="s">
        <v>23</v>
      </c>
      <c r="B61" s="7">
        <v>0.24414383561643832</v>
      </c>
      <c r="C61" s="7">
        <v>8.2191780821917818E-2</v>
      </c>
      <c r="D61" s="7">
        <v>8.2191780821917818E-2</v>
      </c>
      <c r="E61" s="7">
        <v>7.1232876712328766E-2</v>
      </c>
      <c r="F61" s="7">
        <v>0</v>
      </c>
      <c r="G61" s="7">
        <v>0.47976027397260268</v>
      </c>
    </row>
    <row r="62" spans="1:7" x14ac:dyDescent="0.35">
      <c r="A62" t="s">
        <v>21</v>
      </c>
      <c r="B62" s="7">
        <v>0.17500000000000004</v>
      </c>
      <c r="C62" s="7">
        <v>0.16438356164383561</v>
      </c>
      <c r="D62" s="7">
        <v>4.1095890410958902E-2</v>
      </c>
      <c r="E62" s="7">
        <v>8.2191780821917818E-2</v>
      </c>
      <c r="F62" s="7">
        <v>0</v>
      </c>
      <c r="G62" s="7">
        <v>0.46267123287671236</v>
      </c>
    </row>
    <row r="63" spans="1:7" x14ac:dyDescent="0.35">
      <c r="A63" t="s">
        <v>26</v>
      </c>
      <c r="B63" s="7">
        <v>0.24186986301369864</v>
      </c>
      <c r="C63" s="7">
        <v>8.2191780821917804E-2</v>
      </c>
      <c r="D63" s="7">
        <v>4.9315068493150684E-2</v>
      </c>
      <c r="E63" s="7">
        <v>6.3013698630136977E-2</v>
      </c>
      <c r="F63" s="7">
        <v>1.5342465753424659E-2</v>
      </c>
      <c r="G63" s="7">
        <v>0.45173287671232876</v>
      </c>
    </row>
    <row r="64" spans="1:7" x14ac:dyDescent="0.35">
      <c r="A64" t="s">
        <v>20</v>
      </c>
      <c r="B64" s="7">
        <v>0.25972602739726025</v>
      </c>
      <c r="C64" s="7">
        <v>8.2191780821917804E-2</v>
      </c>
      <c r="D64" s="7">
        <v>3.2876712328767127E-2</v>
      </c>
      <c r="E64" s="7">
        <v>4.1095890410958902E-2</v>
      </c>
      <c r="F64" s="7">
        <v>2.4657534246575345E-2</v>
      </c>
      <c r="G64" s="7">
        <v>0.44054794520547941</v>
      </c>
    </row>
    <row r="65" spans="1:7" x14ac:dyDescent="0.35">
      <c r="A65" t="s">
        <v>25</v>
      </c>
      <c r="B65" s="7">
        <v>0.245</v>
      </c>
      <c r="C65" s="7">
        <v>4.1095890410958902E-2</v>
      </c>
      <c r="D65" s="7">
        <v>6.575342465753424E-2</v>
      </c>
      <c r="E65" s="7">
        <v>8.2191780821917804E-2</v>
      </c>
      <c r="F65" s="7">
        <v>0</v>
      </c>
      <c r="G65" s="7">
        <v>0.43404109589041096</v>
      </c>
    </row>
    <row r="66" spans="1:7" x14ac:dyDescent="0.35">
      <c r="A66" t="s">
        <v>22</v>
      </c>
      <c r="B66" s="7">
        <v>0.21981632226082301</v>
      </c>
      <c r="C66" s="7">
        <v>6.27253064167268E-2</v>
      </c>
      <c r="D66" s="7">
        <v>5.5948089401586097E-2</v>
      </c>
      <c r="E66" s="7">
        <v>7.4776255707762598E-2</v>
      </c>
      <c r="F66" s="7">
        <v>-3.1627012737322499E-3</v>
      </c>
      <c r="G66" s="7">
        <v>0.41010327251316497</v>
      </c>
    </row>
    <row r="67" spans="1:7" x14ac:dyDescent="0.35">
      <c r="A67" t="s">
        <v>27</v>
      </c>
      <c r="B67" s="7">
        <v>7.5000000000000011E-2</v>
      </c>
      <c r="C67" s="7">
        <v>0.16438356164383561</v>
      </c>
      <c r="D67" s="7">
        <v>5.4794520547945202E-2</v>
      </c>
      <c r="E67" s="7">
        <v>8.2191780821917818E-2</v>
      </c>
      <c r="F67" s="7">
        <v>1.643835616438356E-2</v>
      </c>
      <c r="G67" s="7">
        <v>0.39280821917808217</v>
      </c>
    </row>
    <row r="68" spans="1:7" x14ac:dyDescent="0.35">
      <c r="A68" t="s">
        <v>28</v>
      </c>
      <c r="B68" s="7">
        <v>0.2369</v>
      </c>
      <c r="C68" s="7">
        <v>0</v>
      </c>
      <c r="D68" s="7">
        <v>4.1095890410958909E-2</v>
      </c>
      <c r="E68" s="7">
        <v>8.2191780821917804E-2</v>
      </c>
      <c r="F68" s="7">
        <v>1.6438356164383564E-2</v>
      </c>
      <c r="G68" s="7">
        <v>0.37662602739726025</v>
      </c>
    </row>
    <row r="69" spans="1:7" x14ac:dyDescent="0.35">
      <c r="A69" t="s">
        <v>29</v>
      </c>
      <c r="B69" s="7">
        <v>0.18618750000000001</v>
      </c>
      <c r="C69" s="7">
        <v>0</v>
      </c>
      <c r="D69" s="7">
        <v>3.8356164383561646E-2</v>
      </c>
      <c r="E69" s="7">
        <v>3.8356164383561639E-2</v>
      </c>
      <c r="F69" s="7">
        <v>1.5342465753424659E-2</v>
      </c>
      <c r="G69" s="7">
        <v>0.27824229452054799</v>
      </c>
    </row>
    <row r="70" spans="1:7" x14ac:dyDescent="0.35">
      <c r="A70" s="176" t="s">
        <v>62</v>
      </c>
      <c r="B70" s="94">
        <v>0.13469979276954958</v>
      </c>
      <c r="C70" s="94">
        <v>0</v>
      </c>
      <c r="D70" s="94">
        <v>3.8356164383561646E-2</v>
      </c>
      <c r="E70" s="94">
        <v>4.547945205479452E-2</v>
      </c>
      <c r="F70" s="94">
        <v>0</v>
      </c>
      <c r="G70" s="94">
        <v>0.21853540920790576</v>
      </c>
    </row>
  </sheetData>
  <sortState xmlns:xlrd2="http://schemas.microsoft.com/office/spreadsheetml/2017/richdata2" ref="A51:G70">
    <sortCondition descending="1" ref="G51:G70"/>
  </sortState>
  <mergeCells count="9">
    <mergeCell ref="C49:D49"/>
    <mergeCell ref="E49:F49"/>
    <mergeCell ref="B24:M24"/>
    <mergeCell ref="N24:O25"/>
    <mergeCell ref="P24:S24"/>
    <mergeCell ref="B25:G25"/>
    <mergeCell ref="H25:M25"/>
    <mergeCell ref="P25:Q25"/>
    <mergeCell ref="R25:S25"/>
  </mergeCells>
  <pageMargins left="0.7" right="0.7" top="0.75" bottom="0.75" header="0.3" footer="0.3"/>
  <drawing r:id="rId1"/>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CD8055-50F4-4E04-BD9E-E0C23C65D6C1}">
  <sheetPr filterMode="1">
    <tabColor theme="2"/>
  </sheetPr>
  <dimension ref="A1:AJ406"/>
  <sheetViews>
    <sheetView topLeftCell="W35" zoomScale="40" zoomScaleNormal="40" workbookViewId="0">
      <selection activeCell="AD102" sqref="A1:AJ406"/>
    </sheetView>
  </sheetViews>
  <sheetFormatPr defaultColWidth="9.1796875" defaultRowHeight="14.5" x14ac:dyDescent="0.35"/>
  <cols>
    <col min="1" max="1" width="11.6328125" customWidth="1"/>
    <col min="2" max="2" width="19.6328125" customWidth="1"/>
    <col min="3" max="4" width="14.08984375" customWidth="1"/>
    <col min="5" max="5" width="21.81640625" customWidth="1"/>
    <col min="6" max="6" width="24.36328125" customWidth="1"/>
    <col min="7" max="7" width="18.54296875" customWidth="1"/>
    <col min="8" max="8" width="11.1796875" customWidth="1"/>
    <col min="9" max="9" width="24.26953125" customWidth="1"/>
    <col min="10" max="10" width="16.1796875" customWidth="1"/>
    <col min="11" max="11" width="19.6328125" customWidth="1"/>
    <col min="12" max="12" width="12.36328125" customWidth="1"/>
    <col min="13" max="13" width="10.54296875" customWidth="1"/>
    <col min="14" max="14" width="25.36328125" customWidth="1"/>
    <col min="15" max="15" width="17.54296875" customWidth="1"/>
    <col min="16" max="17" width="15.36328125" customWidth="1"/>
    <col min="18" max="18" width="35.81640625" customWidth="1"/>
    <col min="19" max="19" width="15.36328125" customWidth="1"/>
    <col min="20" max="20" width="13.90625" customWidth="1"/>
    <col min="21" max="21" width="15.36328125" customWidth="1"/>
    <col min="22" max="22" width="22.90625" customWidth="1"/>
    <col min="23" max="23" width="10.1796875" customWidth="1"/>
    <col min="24" max="24" width="12.1796875" customWidth="1"/>
    <col min="25" max="25" width="23.36328125" customWidth="1"/>
    <col min="26" max="27" width="18.36328125" customWidth="1"/>
    <col min="28" max="29" width="16.36328125" customWidth="1"/>
    <col min="30" max="30" width="15.1796875" customWidth="1"/>
    <col min="31" max="31" width="18.81640625" customWidth="1"/>
    <col min="32" max="32" width="8.36328125" customWidth="1"/>
    <col min="33" max="33" width="13.54296875" customWidth="1"/>
    <col min="34" max="34" width="18.6328125" customWidth="1"/>
    <col min="36" max="36" width="16.1796875" customWidth="1"/>
  </cols>
  <sheetData>
    <row r="1" spans="1:21" ht="18.5" x14ac:dyDescent="0.45">
      <c r="A1" s="21" t="s">
        <v>164</v>
      </c>
    </row>
    <row r="2" spans="1:21" x14ac:dyDescent="0.35">
      <c r="A2" t="s">
        <v>165</v>
      </c>
    </row>
    <row r="3" spans="1:21" hidden="1" x14ac:dyDescent="0.35">
      <c r="B3" t="s">
        <v>11</v>
      </c>
      <c r="C3" t="s">
        <v>13</v>
      </c>
      <c r="D3" t="s">
        <v>12</v>
      </c>
      <c r="E3" t="s">
        <v>28</v>
      </c>
      <c r="F3" t="s">
        <v>15</v>
      </c>
      <c r="G3" t="s">
        <v>18</v>
      </c>
      <c r="H3" t="s">
        <v>17</v>
      </c>
      <c r="I3" t="s">
        <v>21</v>
      </c>
      <c r="J3" t="s">
        <v>27</v>
      </c>
      <c r="K3" t="s">
        <v>24</v>
      </c>
      <c r="L3" t="s">
        <v>29</v>
      </c>
      <c r="M3" t="s">
        <v>23</v>
      </c>
      <c r="N3" t="s">
        <v>19</v>
      </c>
      <c r="O3" t="s">
        <v>16</v>
      </c>
      <c r="P3" t="s">
        <v>20</v>
      </c>
      <c r="Q3" t="s">
        <v>26</v>
      </c>
      <c r="R3" t="s">
        <v>25</v>
      </c>
      <c r="S3" t="s">
        <v>31</v>
      </c>
      <c r="T3" t="s">
        <v>14</v>
      </c>
      <c r="U3" t="s">
        <v>22</v>
      </c>
    </row>
    <row r="4" spans="1:21" hidden="1" x14ac:dyDescent="0.35">
      <c r="A4" t="s">
        <v>166</v>
      </c>
      <c r="B4" s="44">
        <v>51981.66618883748</v>
      </c>
      <c r="C4" s="44">
        <v>13399.558925638197</v>
      </c>
      <c r="D4" s="44">
        <v>31854.20927605778</v>
      </c>
      <c r="E4" s="44">
        <v>48876.098568060908</v>
      </c>
      <c r="F4" s="44">
        <v>27978.629828159494</v>
      </c>
      <c r="G4" s="44">
        <v>32573.579999449135</v>
      </c>
      <c r="H4" s="44">
        <v>23817.328246283825</v>
      </c>
      <c r="I4" s="44">
        <v>17578.982060432587</v>
      </c>
      <c r="J4" s="44">
        <v>11887.30867229441</v>
      </c>
      <c r="K4" s="44">
        <v>39897.407089304121</v>
      </c>
      <c r="L4" s="44">
        <v>21078.640412240045</v>
      </c>
      <c r="M4" s="44">
        <v>11153.537145024622</v>
      </c>
      <c r="N4" s="44">
        <v>41758.326275234329</v>
      </c>
      <c r="O4" s="44">
        <v>22374.300986377995</v>
      </c>
      <c r="P4" s="44">
        <v>18500.406599785332</v>
      </c>
      <c r="Q4" s="44">
        <v>32257.388273899738</v>
      </c>
      <c r="R4" s="44">
        <v>19369.410535282801</v>
      </c>
      <c r="S4" s="44">
        <v>69279.42526894639</v>
      </c>
      <c r="T4" s="44">
        <v>41717.517890633171</v>
      </c>
      <c r="U4" s="44">
        <v>43705.439247906645</v>
      </c>
    </row>
    <row r="5" spans="1:21" hidden="1" x14ac:dyDescent="0.35">
      <c r="A5" t="s">
        <v>89</v>
      </c>
      <c r="B5" s="44">
        <v>3.6579999999999999</v>
      </c>
      <c r="C5" s="44">
        <v>3.2309999999999999</v>
      </c>
      <c r="D5" s="44">
        <v>1.6459999999999999</v>
      </c>
      <c r="E5" s="44">
        <v>346.63400000000001</v>
      </c>
      <c r="F5" s="44">
        <v>1175.5250000000001</v>
      </c>
      <c r="G5" s="44">
        <v>362.64100000000002</v>
      </c>
      <c r="H5" s="44">
        <v>0.55000000000000004</v>
      </c>
      <c r="I5" s="44">
        <v>3.742</v>
      </c>
      <c r="J5" s="44">
        <v>10.058</v>
      </c>
      <c r="K5" s="44">
        <v>7.7889999999999997</v>
      </c>
      <c r="L5" s="44">
        <v>56.567</v>
      </c>
      <c r="M5" s="44">
        <v>9.3789999999999996</v>
      </c>
      <c r="N5" s="44">
        <v>0.59199999999999997</v>
      </c>
      <c r="O5" s="44">
        <v>1.5229999999999999</v>
      </c>
      <c r="P5" s="44">
        <v>2273.096</v>
      </c>
      <c r="Q5" s="44">
        <v>20.154</v>
      </c>
      <c r="R5" s="44">
        <v>0.49299999999999999</v>
      </c>
      <c r="S5" s="44">
        <v>3.839</v>
      </c>
      <c r="T5" s="44">
        <v>17.292999999999999</v>
      </c>
      <c r="U5" s="44">
        <v>3.9550000000000001</v>
      </c>
    </row>
    <row r="6" spans="1:21" hidden="1" x14ac:dyDescent="0.35">
      <c r="A6" t="s">
        <v>167</v>
      </c>
      <c r="B6" s="44">
        <v>10593.231017632586</v>
      </c>
      <c r="C6" s="44">
        <v>4456.8245125348194</v>
      </c>
      <c r="D6" s="44">
        <v>4942.891859052248</v>
      </c>
      <c r="E6" s="44">
        <v>7269.9158189906357</v>
      </c>
      <c r="F6" s="44">
        <v>6017.7367559175682</v>
      </c>
      <c r="G6" s="44">
        <v>9332.9173480108402</v>
      </c>
      <c r="H6" s="44">
        <v>6938.181818181818</v>
      </c>
      <c r="I6" s="44">
        <v>7578.5676109032602</v>
      </c>
      <c r="J6" s="44">
        <v>8077.2618810896802</v>
      </c>
      <c r="K6" s="44">
        <v>2780.8385749333997</v>
      </c>
      <c r="L6" s="44">
        <v>4560.9631056976687</v>
      </c>
      <c r="M6" s="44">
        <v>4864.2643291087179</v>
      </c>
      <c r="N6" s="44">
        <v>9324.3243243243251</v>
      </c>
      <c r="O6" s="44">
        <v>5909.389363099147</v>
      </c>
      <c r="P6" s="44">
        <v>8754.0447037872582</v>
      </c>
      <c r="Q6" s="44">
        <v>4096.4572789520689</v>
      </c>
      <c r="R6" s="44">
        <v>4596.3488843813384</v>
      </c>
      <c r="S6" s="44">
        <v>6772.6074498567341</v>
      </c>
      <c r="T6" s="44">
        <v>5495.8653790551089</v>
      </c>
      <c r="U6" s="44">
        <v>8225.2844500632109</v>
      </c>
    </row>
    <row r="7" spans="1:21" hidden="1" x14ac:dyDescent="0.35">
      <c r="B7" s="44"/>
      <c r="C7" s="44"/>
      <c r="D7" s="44"/>
      <c r="E7" s="44"/>
      <c r="F7" s="44"/>
      <c r="G7" s="44"/>
      <c r="H7" s="44"/>
      <c r="I7" s="44"/>
      <c r="J7" s="44"/>
      <c r="K7" s="44"/>
      <c r="L7" s="44"/>
      <c r="M7" s="44"/>
      <c r="N7" s="44"/>
      <c r="O7" s="44"/>
      <c r="P7" s="44"/>
      <c r="Q7" s="44"/>
      <c r="R7" s="44"/>
      <c r="S7" s="44"/>
      <c r="T7" s="44"/>
      <c r="U7" s="44"/>
    </row>
    <row r="8" spans="1:21" hidden="1" x14ac:dyDescent="0.35">
      <c r="A8" t="s">
        <v>60</v>
      </c>
      <c r="B8" s="3">
        <v>0.20378783125476982</v>
      </c>
      <c r="C8" s="3">
        <v>0.33260979240199495</v>
      </c>
      <c r="D8" s="3">
        <v>0.15517232954099469</v>
      </c>
      <c r="E8" s="3">
        <v>0.14874173741316807</v>
      </c>
      <c r="F8" s="1">
        <f>+F6/F4</f>
        <v>0.21508332584110071</v>
      </c>
      <c r="G8" s="3">
        <v>0.28651801085937356</v>
      </c>
      <c r="H8" s="3">
        <v>0.2913081495303475</v>
      </c>
      <c r="I8" s="3">
        <v>0.43111527077335021</v>
      </c>
      <c r="J8" s="3">
        <v>0.6794861733434453</v>
      </c>
      <c r="K8" s="47">
        <f>+K6/K4</f>
        <v>6.9699731832420245E-2</v>
      </c>
      <c r="L8" s="3">
        <v>0.21637842937200005</v>
      </c>
      <c r="M8" s="3">
        <v>0.43611853942482925</v>
      </c>
      <c r="N8" s="3">
        <v>0.22329257793682972</v>
      </c>
      <c r="O8" s="3">
        <v>0.26411503835122818</v>
      </c>
      <c r="P8" s="3">
        <v>0.47318120586002876</v>
      </c>
      <c r="Q8" s="3">
        <v>0.12699283786302734</v>
      </c>
      <c r="R8" s="3">
        <v>0.23729936830079326</v>
      </c>
      <c r="S8" s="3">
        <v>9.7757846915806731E-2</v>
      </c>
      <c r="T8" s="3">
        <v>0.13173998974395107</v>
      </c>
      <c r="U8" s="3">
        <v>0.18819818749349776</v>
      </c>
    </row>
    <row r="9" spans="1:21" hidden="1" x14ac:dyDescent="0.35">
      <c r="A9" s="14" t="s">
        <v>39</v>
      </c>
      <c r="B9" s="3">
        <v>4.0799440462855635E-2</v>
      </c>
      <c r="C9" s="3">
        <v>4.2274704614293557E-2</v>
      </c>
      <c r="D9" s="3">
        <v>1.3434097571220365E-2</v>
      </c>
      <c r="E9" s="3">
        <v>2.8379923498432467E-2</v>
      </c>
      <c r="F9" s="3">
        <v>1.7206666067288059E-2</v>
      </c>
      <c r="G9" s="3">
        <v>2.8433183918747398E-2</v>
      </c>
      <c r="H9" s="3">
        <v>3.2085298120274899E-2</v>
      </c>
      <c r="I9" s="3">
        <v>2.0822867578352815E-2</v>
      </c>
      <c r="J9" s="3">
        <v>3.3974308667172264E-2</v>
      </c>
      <c r="K9" s="3">
        <v>1.7233974788701169E-3</v>
      </c>
      <c r="L9" s="3">
        <v>1.4483831116088251E-2</v>
      </c>
      <c r="M9" s="3">
        <v>2.7257408714051828E-2</v>
      </c>
      <c r="N9" s="3">
        <v>2.7452751876480087E-2</v>
      </c>
      <c r="O9" s="3">
        <v>3.4334954985659666E-2</v>
      </c>
      <c r="P9" s="3">
        <v>4.6086553063901421E-2</v>
      </c>
      <c r="Q9" s="3">
        <v>8.1908640793736717E-3</v>
      </c>
      <c r="R9" s="3">
        <v>2.1950191567823379E-2</v>
      </c>
      <c r="S9" s="3">
        <v>5.4646552354316964E-3</v>
      </c>
      <c r="T9" s="3">
        <v>2.5853972987250395E-2</v>
      </c>
      <c r="U9" s="3">
        <v>1.1291891249609869E-2</v>
      </c>
    </row>
    <row r="10" spans="1:21" hidden="1" x14ac:dyDescent="0.35">
      <c r="A10" t="s">
        <v>40</v>
      </c>
      <c r="B10" s="3">
        <v>2.4259126761697943E-2</v>
      </c>
      <c r="C10" s="3">
        <v>4.2274704614293557E-2</v>
      </c>
      <c r="D10" s="3">
        <v>1.3434097571220365E-2</v>
      </c>
      <c r="E10" s="3">
        <v>1.4874173741316808E-2</v>
      </c>
      <c r="F10" s="3">
        <v>8.6033330336440297E-3</v>
      </c>
      <c r="G10" s="3">
        <v>8.2788005521325578E-3</v>
      </c>
      <c r="H10" s="3">
        <v>2.2544590425251358E-2</v>
      </c>
      <c r="I10" s="3">
        <v>7.8894094551523099E-3</v>
      </c>
      <c r="J10" s="3">
        <v>6.7948617334344531E-3</v>
      </c>
      <c r="K10" s="3">
        <v>1.2698718265358757E-3</v>
      </c>
      <c r="L10" s="3">
        <v>5.4094607343000006E-3</v>
      </c>
      <c r="M10" s="3">
        <v>1.7444741576993172E-2</v>
      </c>
      <c r="N10" s="3">
        <v>2.1985142519465251E-2</v>
      </c>
      <c r="O10" s="3">
        <v>3.4334954985659666E-2</v>
      </c>
      <c r="P10" s="3">
        <v>4.6086553063901421E-2</v>
      </c>
      <c r="Q10" s="3">
        <v>3.9442583737923547E-3</v>
      </c>
      <c r="R10" s="3">
        <v>1.4831210518799579E-2</v>
      </c>
      <c r="S10" s="3">
        <v>3.8516532428624121E-3</v>
      </c>
      <c r="T10" s="3">
        <v>1.9760998461592662E-2</v>
      </c>
      <c r="U10" s="3">
        <v>7.527927499739912E-3</v>
      </c>
    </row>
    <row r="11" spans="1:21" hidden="1" x14ac:dyDescent="0.35">
      <c r="A11" t="s">
        <v>41</v>
      </c>
      <c r="B11" s="3">
        <v>1.6540313701157688E-2</v>
      </c>
      <c r="C11" s="3"/>
      <c r="D11" s="3"/>
      <c r="E11" s="3">
        <v>1.0411921618921766E-2</v>
      </c>
      <c r="F11" s="3">
        <v>8.6033330336440297E-3</v>
      </c>
      <c r="G11" s="3">
        <v>1.7053709002520248E-2</v>
      </c>
      <c r="H11" s="3">
        <v>0</v>
      </c>
      <c r="I11" s="3">
        <v>8.6223054154670048E-3</v>
      </c>
      <c r="J11" s="3">
        <v>1.6987154333586132E-2</v>
      </c>
      <c r="K11" s="3">
        <v>4.5352565233424134E-4</v>
      </c>
      <c r="L11" s="3">
        <v>0</v>
      </c>
      <c r="M11" s="3">
        <v>9.812667137058655E-3</v>
      </c>
      <c r="N11" s="3">
        <v>2.447041949992654E-3</v>
      </c>
      <c r="O11" s="3"/>
      <c r="P11" s="3"/>
      <c r="Q11" s="3">
        <v>4.177890402902007E-3</v>
      </c>
      <c r="R11" s="3">
        <v>7.1189810490237988E-3</v>
      </c>
      <c r="S11" s="3">
        <v>1.6130019925692839E-3</v>
      </c>
      <c r="T11" s="3">
        <v>5.9282995384777968E-3</v>
      </c>
      <c r="U11" s="3">
        <v>0</v>
      </c>
    </row>
    <row r="12" spans="1:21" hidden="1" x14ac:dyDescent="0.35">
      <c r="A12" t="s">
        <v>42</v>
      </c>
      <c r="B12" s="3"/>
      <c r="C12" s="3"/>
      <c r="D12" s="3"/>
      <c r="E12" s="3">
        <v>8.924504244790084E-4</v>
      </c>
      <c r="F12" s="3"/>
      <c r="G12" s="3">
        <v>0</v>
      </c>
      <c r="H12" s="3">
        <v>6.7905392847142643E-3</v>
      </c>
      <c r="I12" s="3">
        <v>4.3111527077335024E-3</v>
      </c>
      <c r="J12" s="3">
        <v>0</v>
      </c>
      <c r="K12" s="3">
        <v>0</v>
      </c>
      <c r="L12" s="3">
        <v>0</v>
      </c>
      <c r="M12" s="3">
        <v>0</v>
      </c>
      <c r="N12" s="3">
        <v>0</v>
      </c>
      <c r="O12" s="3"/>
      <c r="P12" s="3"/>
      <c r="Q12" s="3">
        <v>0</v>
      </c>
      <c r="R12" s="3">
        <v>0</v>
      </c>
      <c r="S12" s="3"/>
      <c r="T12" s="3">
        <v>0</v>
      </c>
      <c r="U12" s="3">
        <v>9.40990937467489E-4</v>
      </c>
    </row>
    <row r="13" spans="1:21" hidden="1" x14ac:dyDescent="0.35">
      <c r="A13" t="s">
        <v>43</v>
      </c>
      <c r="B13" s="3"/>
      <c r="C13" s="3"/>
      <c r="D13" s="3"/>
      <c r="E13" s="3">
        <v>2.2013777137148871E-3</v>
      </c>
      <c r="F13" s="3"/>
      <c r="G13" s="3">
        <v>3.1006743640945907E-3</v>
      </c>
      <c r="H13" s="3">
        <v>2.7501684103092773E-3</v>
      </c>
      <c r="I13" s="3">
        <v>0</v>
      </c>
      <c r="J13" s="3">
        <v>1.019229260015168E-2</v>
      </c>
      <c r="K13" s="3">
        <v>0</v>
      </c>
      <c r="L13" s="3">
        <v>9.0743703817882503E-3</v>
      </c>
      <c r="M13" s="3">
        <v>0</v>
      </c>
      <c r="N13" s="3">
        <v>3.0205674070221825E-3</v>
      </c>
      <c r="O13" s="3"/>
      <c r="P13" s="3"/>
      <c r="Q13" s="3">
        <v>6.8715302679309319E-5</v>
      </c>
      <c r="R13" s="3">
        <v>0</v>
      </c>
      <c r="S13" s="3"/>
      <c r="T13" s="3">
        <v>1.6467498717993883E-4</v>
      </c>
      <c r="U13" s="3">
        <v>2.8229728124024673E-3</v>
      </c>
    </row>
    <row r="14" spans="1:21" hidden="1" x14ac:dyDescent="0.35">
      <c r="A14" s="14" t="s">
        <v>44</v>
      </c>
      <c r="B14" s="3">
        <v>5.7339754164013317E-2</v>
      </c>
      <c r="C14" s="3">
        <v>3.8948606690273606E-2</v>
      </c>
      <c r="D14" s="3">
        <v>5.7430767116967055E-2</v>
      </c>
      <c r="E14" s="3">
        <v>6.856994094747047E-3</v>
      </c>
      <c r="F14" s="3">
        <v>5.656102200235083E-2</v>
      </c>
      <c r="G14" s="3">
        <v>8.2090157544191369E-2</v>
      </c>
      <c r="H14" s="3">
        <v>3.7592053031402513E-2</v>
      </c>
      <c r="I14" s="3">
        <v>5.4622304806983484E-2</v>
      </c>
      <c r="J14" s="3">
        <v>1.6987154333586132E-2</v>
      </c>
      <c r="K14" s="3">
        <v>2.6286155851123226E-2</v>
      </c>
      <c r="L14" s="3">
        <v>2.5803127702611003E-2</v>
      </c>
      <c r="M14" s="3">
        <v>7.9218244284564851E-2</v>
      </c>
      <c r="N14" s="3">
        <v>3.5861705657386105E-2</v>
      </c>
      <c r="O14" s="3">
        <v>4.744386472249229E-2</v>
      </c>
      <c r="P14" s="3">
        <v>7.6810921773169061E-2</v>
      </c>
      <c r="Q14" s="3">
        <v>2.2524876218277593E-2</v>
      </c>
      <c r="R14" s="3">
        <v>3.618815366587097E-2</v>
      </c>
      <c r="S14" s="3">
        <v>7.7033064857248241E-3</v>
      </c>
      <c r="T14" s="3">
        <v>2.5722232997506447E-2</v>
      </c>
      <c r="U14" s="3">
        <v>2.9645919484913238E-2</v>
      </c>
    </row>
    <row r="15" spans="1:21" hidden="1" x14ac:dyDescent="0.35">
      <c r="A15" t="s">
        <v>40</v>
      </c>
      <c r="B15" s="3">
        <v>2.2428665378769821E-2</v>
      </c>
      <c r="C15" s="3">
        <v>0</v>
      </c>
      <c r="D15" s="3">
        <v>3.3585243928050908E-2</v>
      </c>
      <c r="E15" s="3"/>
      <c r="F15" s="3">
        <v>2.7931368890049789E-2</v>
      </c>
      <c r="G15" s="3">
        <v>1.9906329417487271E-2</v>
      </c>
      <c r="H15" s="3">
        <v>1.052533589130711E-2</v>
      </c>
      <c r="I15" s="3">
        <v>1.5821930437381955E-2</v>
      </c>
      <c r="J15" s="3">
        <v>0</v>
      </c>
      <c r="K15" s="3">
        <v>5.0069232017700251E-3</v>
      </c>
      <c r="L15" s="3">
        <v>5.4094607343000006E-3</v>
      </c>
      <c r="M15" s="3">
        <v>3.0528297759738046E-2</v>
      </c>
      <c r="N15" s="3">
        <v>1.1462862134496841E-2</v>
      </c>
      <c r="O15" s="3"/>
      <c r="P15" s="3">
        <v>7.1690193654957782E-2</v>
      </c>
      <c r="Q15" s="3">
        <v>9.7575729804619225E-3</v>
      </c>
      <c r="R15" s="3">
        <v>1.6017707360303546E-2</v>
      </c>
      <c r="S15" s="3">
        <v>7.7033064857248241E-3</v>
      </c>
      <c r="T15" s="3">
        <v>9.8804992307963309E-3</v>
      </c>
      <c r="U15" s="3">
        <v>1.6937836874414802E-2</v>
      </c>
    </row>
    <row r="16" spans="1:21" hidden="1" x14ac:dyDescent="0.35">
      <c r="A16" t="s">
        <v>41</v>
      </c>
      <c r="B16" s="3">
        <v>2.3156439181620758E-2</v>
      </c>
      <c r="C16" s="3">
        <v>3.3260979240199495E-2</v>
      </c>
      <c r="D16" s="3"/>
      <c r="E16" s="3"/>
      <c r="F16" s="3">
        <v>0</v>
      </c>
      <c r="G16" s="3">
        <v>2.8681237867874965E-2</v>
      </c>
      <c r="H16" s="3">
        <v>1.9386989657859222E-2</v>
      </c>
      <c r="I16" s="3">
        <v>1.724461083093401E-2</v>
      </c>
      <c r="J16" s="3">
        <v>0</v>
      </c>
      <c r="K16" s="3">
        <v>1.5488617120349608E-2</v>
      </c>
      <c r="L16" s="3">
        <v>0</v>
      </c>
      <c r="M16" s="3">
        <v>2.6167112365489749E-2</v>
      </c>
      <c r="N16" s="3">
        <v>1.9836333807127952E-2</v>
      </c>
      <c r="O16" s="3">
        <v>2.3770353451610535E-2</v>
      </c>
      <c r="P16" s="3">
        <v>0</v>
      </c>
      <c r="Q16" s="3">
        <v>9.7438299199260631E-3</v>
      </c>
      <c r="R16" s="3">
        <v>1.7797452622559495E-2</v>
      </c>
      <c r="S16" s="3"/>
      <c r="T16" s="3">
        <v>6.5869994871975536E-3</v>
      </c>
      <c r="U16" s="3">
        <v>0</v>
      </c>
    </row>
    <row r="17" spans="1:24" hidden="1" x14ac:dyDescent="0.35">
      <c r="A17" t="s">
        <v>42</v>
      </c>
      <c r="B17" s="3">
        <v>1.9627838925373791E-3</v>
      </c>
      <c r="C17" s="3">
        <v>5.6876274500741132E-3</v>
      </c>
      <c r="D17" s="3">
        <v>1.6792621964025456E-3</v>
      </c>
      <c r="E17" s="3">
        <v>4.9828482033411302E-3</v>
      </c>
      <c r="F17" s="3">
        <v>1.9319196815617772E-2</v>
      </c>
      <c r="G17" s="3">
        <v>1.0247532528119704E-2</v>
      </c>
      <c r="H17" s="3">
        <v>4.9974644647740431E-3</v>
      </c>
      <c r="I17" s="3">
        <v>1.2933458123200507E-2</v>
      </c>
      <c r="J17" s="3">
        <v>0</v>
      </c>
      <c r="K17" s="3">
        <v>1.4367692665948767E-3</v>
      </c>
      <c r="L17" s="3">
        <v>0</v>
      </c>
      <c r="M17" s="3">
        <v>6.5417780913724372E-3</v>
      </c>
      <c r="N17" s="3">
        <v>9.3782882733468463E-4</v>
      </c>
      <c r="O17" s="3">
        <v>1.6639247416127378E-3</v>
      </c>
      <c r="P17" s="3">
        <v>0</v>
      </c>
      <c r="Q17" s="3">
        <v>1.6491672643034235E-3</v>
      </c>
      <c r="R17" s="3">
        <v>0</v>
      </c>
      <c r="S17" s="3"/>
      <c r="T17" s="3">
        <v>9.0900592923326244E-3</v>
      </c>
      <c r="U17" s="3">
        <v>5.180155110758527E-3</v>
      </c>
    </row>
    <row r="18" spans="1:24" hidden="1" x14ac:dyDescent="0.35">
      <c r="A18" t="s">
        <v>43</v>
      </c>
      <c r="B18" s="3">
        <v>9.7918657110853506E-3</v>
      </c>
      <c r="C18" s="3"/>
      <c r="D18" s="3">
        <v>2.2166260992513599E-2</v>
      </c>
      <c r="E18" s="3">
        <v>1.8741458914059176E-3</v>
      </c>
      <c r="F18" s="3">
        <v>9.3104562966832647E-3</v>
      </c>
      <c r="G18" s="3">
        <v>2.325505773070943E-2</v>
      </c>
      <c r="H18" s="3">
        <v>2.6822630174621349E-3</v>
      </c>
      <c r="I18" s="3">
        <v>8.6223054154670048E-3</v>
      </c>
      <c r="J18" s="3">
        <v>1.6987154333586132E-2</v>
      </c>
      <c r="K18" s="3">
        <v>4.3538462624087169E-3</v>
      </c>
      <c r="L18" s="3">
        <v>2.0393666968311002E-2</v>
      </c>
      <c r="M18" s="3">
        <v>1.5981056067964631E-2</v>
      </c>
      <c r="N18" s="3">
        <v>3.6246808884266191E-3</v>
      </c>
      <c r="O18" s="3">
        <v>2.2009586529269015E-2</v>
      </c>
      <c r="P18" s="3">
        <v>5.1207281182112695E-3</v>
      </c>
      <c r="Q18" s="3">
        <v>1.3743060535861865E-3</v>
      </c>
      <c r="R18" s="3">
        <v>2.3729936830079327E-3</v>
      </c>
      <c r="S18" s="3"/>
      <c r="T18" s="3">
        <v>1.6467498717993883E-4</v>
      </c>
      <c r="U18" s="3">
        <v>7.527927499739912E-3</v>
      </c>
    </row>
    <row r="19" spans="1:24" hidden="1" x14ac:dyDescent="0.35">
      <c r="B19" s="3"/>
      <c r="C19" s="3"/>
      <c r="D19" s="3"/>
      <c r="E19" s="3"/>
      <c r="F19" s="3"/>
      <c r="G19" s="3"/>
      <c r="H19" s="3"/>
      <c r="I19" s="3"/>
      <c r="J19" s="3"/>
      <c r="K19" s="3"/>
      <c r="L19" s="3"/>
      <c r="M19" s="3"/>
      <c r="N19" s="3"/>
      <c r="O19" s="3"/>
      <c r="P19" s="3"/>
      <c r="Q19" s="3"/>
      <c r="R19" s="3"/>
      <c r="S19" s="3"/>
      <c r="T19" s="3"/>
      <c r="U19" s="3"/>
    </row>
    <row r="20" spans="1:24" hidden="1" x14ac:dyDescent="0.35">
      <c r="A20" t="s">
        <v>5</v>
      </c>
      <c r="B20" s="3">
        <v>1.6749684760666014E-2</v>
      </c>
      <c r="C20" s="3">
        <v>5.4675582312656706E-2</v>
      </c>
      <c r="D20" s="3">
        <v>1.275389009925984E-2</v>
      </c>
      <c r="E20" s="3">
        <v>0</v>
      </c>
      <c r="F20" s="3">
        <v>1.7678081575980883E-2</v>
      </c>
      <c r="G20" s="3">
        <v>2.3549425550085497E-2</v>
      </c>
      <c r="H20" s="3">
        <v>4.8218814705365737E-2</v>
      </c>
      <c r="I20" s="3">
        <v>7.0868263688769903E-2</v>
      </c>
      <c r="J20" s="3">
        <v>0.11169635726193622</v>
      </c>
      <c r="K20" s="3">
        <v>2.8643725410583661E-3</v>
      </c>
      <c r="L20" s="3">
        <v>0</v>
      </c>
      <c r="M20" s="3">
        <v>3.584535940478048E-2</v>
      </c>
      <c r="N20" s="3">
        <v>1.8352814624944907E-2</v>
      </c>
      <c r="O20" s="3">
        <v>4.3416170687873124E-2</v>
      </c>
      <c r="P20" s="3">
        <v>3.8891605961098245E-2</v>
      </c>
      <c r="Q20" s="3">
        <v>1.0437767495591287E-2</v>
      </c>
      <c r="R20" s="3">
        <v>9.7520288342791746E-3</v>
      </c>
      <c r="S20" s="3"/>
      <c r="T20" s="3">
        <v>1.0827944362516526E-2</v>
      </c>
      <c r="U20" s="3">
        <v>1.5468344177547761E-2</v>
      </c>
    </row>
    <row r="21" spans="1:24" hidden="1" x14ac:dyDescent="0.35">
      <c r="A21" t="s">
        <v>4</v>
      </c>
      <c r="B21" s="3">
        <v>7.8165195549774712E-3</v>
      </c>
      <c r="C21" s="3">
        <v>1.8225194104218904E-2</v>
      </c>
      <c r="D21" s="3">
        <v>1.7005186799013122E-2</v>
      </c>
      <c r="E21" s="3">
        <v>6.1126741402671809E-3</v>
      </c>
      <c r="F21" s="3">
        <v>8.8390407879904414E-3</v>
      </c>
      <c r="G21" s="3">
        <v>1.0989731923373233E-2</v>
      </c>
      <c r="H21" s="3">
        <v>1.1971567788918391E-2</v>
      </c>
      <c r="I21" s="3">
        <v>1.7717065922192476E-2</v>
      </c>
      <c r="J21" s="3">
        <v>3.7232119087312068E-2</v>
      </c>
      <c r="K21" s="3">
        <v>2.6734143716544752E-3</v>
      </c>
      <c r="L21" s="3">
        <v>8.2994466060493152E-3</v>
      </c>
      <c r="M21" s="3">
        <v>3.584535940478048E-2</v>
      </c>
      <c r="N21" s="3">
        <v>1.8352814624944907E-2</v>
      </c>
      <c r="O21" s="3">
        <v>2.1708085343936562E-2</v>
      </c>
      <c r="P21" s="3">
        <v>1.5556642384439302E-2</v>
      </c>
      <c r="Q21" s="3">
        <v>6.2626604973547734E-3</v>
      </c>
      <c r="R21" s="3">
        <v>1.560324613484668E-2</v>
      </c>
      <c r="S21" s="3">
        <v>3.749616046085738E-3</v>
      </c>
      <c r="T21" s="3">
        <v>7.5795610537615684E-3</v>
      </c>
      <c r="U21" s="3">
        <v>9.7966179791135824E-3</v>
      </c>
    </row>
    <row r="22" spans="1:24" hidden="1" x14ac:dyDescent="0.35">
      <c r="A22" t="s">
        <v>45</v>
      </c>
      <c r="B22" s="3">
        <v>8.3748423803330044E-2</v>
      </c>
      <c r="C22" s="3">
        <v>0.13668895578164175</v>
      </c>
      <c r="D22" s="3">
        <v>2.4487468990578892E-2</v>
      </c>
      <c r="E22" s="3">
        <v>6.1126741402671811E-2</v>
      </c>
      <c r="F22" s="3">
        <v>6.4819632445263217E-2</v>
      </c>
      <c r="G22" s="3">
        <v>8.320797027696876E-2</v>
      </c>
      <c r="H22" s="3">
        <v>0.1197156778891839</v>
      </c>
      <c r="I22" s="3">
        <v>0.17717065922192476</v>
      </c>
      <c r="J22" s="3">
        <v>0.27924089315484057</v>
      </c>
      <c r="K22" s="3">
        <v>3.6282052186739307E-2</v>
      </c>
      <c r="L22" s="3">
        <v>4.1497233030246584E-2</v>
      </c>
      <c r="M22" s="3">
        <v>0.15532989075404877</v>
      </c>
      <c r="N22" s="3">
        <v>7.2799498012281472E-2</v>
      </c>
      <c r="O22" s="3">
        <v>0.1628106400795242</v>
      </c>
      <c r="P22" s="3">
        <v>9.7229014902745631E-2</v>
      </c>
      <c r="Q22" s="3">
        <v>4.0011442066433277E-2</v>
      </c>
      <c r="R22" s="3">
        <v>9.752028834279175E-2</v>
      </c>
      <c r="S22" s="3">
        <v>2.222986655893687E-2</v>
      </c>
      <c r="T22" s="3">
        <v>6.4606734696348603E-2</v>
      </c>
      <c r="U22" s="3">
        <v>7.7341720887738802E-2</v>
      </c>
    </row>
    <row r="23" spans="1:24" hidden="1" x14ac:dyDescent="0.35">
      <c r="A23" t="s">
        <v>46</v>
      </c>
      <c r="B23" s="3">
        <v>3.3499369521332027E-2</v>
      </c>
      <c r="C23" s="3">
        <v>8.2013373468985046E-2</v>
      </c>
      <c r="D23" s="3">
        <v>1.7855446138963778E-2</v>
      </c>
      <c r="E23" s="3">
        <v>1.2225348280534362E-2</v>
      </c>
      <c r="F23" s="3">
        <v>4.4195203939952207E-3</v>
      </c>
      <c r="G23" s="3">
        <v>2.3549425550085497E-2</v>
      </c>
      <c r="H23" s="3">
        <v>0</v>
      </c>
      <c r="I23" s="3">
        <v>0</v>
      </c>
      <c r="J23" s="3">
        <v>5.5848178630968109E-2</v>
      </c>
      <c r="K23" s="3">
        <v>0</v>
      </c>
      <c r="L23" s="3">
        <v>1.659889321209863E-2</v>
      </c>
      <c r="M23" s="3">
        <v>0</v>
      </c>
      <c r="N23" s="3">
        <v>0</v>
      </c>
      <c r="O23" s="3">
        <v>0</v>
      </c>
      <c r="P23" s="3">
        <v>5.8337408941647378E-2</v>
      </c>
      <c r="Q23" s="3">
        <v>9.7419163292185376E-3</v>
      </c>
      <c r="R23" s="3">
        <v>0</v>
      </c>
      <c r="S23" s="3"/>
      <c r="T23" s="3">
        <v>0</v>
      </c>
      <c r="U23" s="3">
        <v>0</v>
      </c>
    </row>
    <row r="24" spans="1:24" hidden="1" x14ac:dyDescent="0.35">
      <c r="B24" s="3"/>
      <c r="C24" s="3"/>
      <c r="D24" s="3"/>
      <c r="E24" s="3"/>
      <c r="F24" s="3"/>
      <c r="G24" s="3"/>
      <c r="H24" s="3"/>
      <c r="I24" s="3"/>
      <c r="J24" s="3"/>
      <c r="K24" s="3"/>
      <c r="L24" s="3"/>
      <c r="M24" s="3"/>
      <c r="N24" s="3"/>
      <c r="O24" s="3"/>
      <c r="P24" s="3"/>
      <c r="Q24" s="3"/>
      <c r="R24" s="3"/>
      <c r="S24" s="3"/>
      <c r="T24" s="3"/>
      <c r="U24" s="3"/>
    </row>
    <row r="25" spans="1:24" hidden="1" x14ac:dyDescent="0.35">
      <c r="A25" t="s">
        <v>47</v>
      </c>
      <c r="B25" s="3">
        <v>1.674968476066601E-2</v>
      </c>
      <c r="C25" s="3">
        <v>2.733779115632835E-2</v>
      </c>
      <c r="D25" s="3">
        <v>4.8974937981157785E-3</v>
      </c>
      <c r="E25" s="3">
        <v>1.2225348280534362E-2</v>
      </c>
      <c r="F25" s="3">
        <v>1.2963926489052643E-2</v>
      </c>
      <c r="G25" s="3">
        <v>1.6641594055393751E-2</v>
      </c>
      <c r="H25" s="3">
        <v>2.3943135577836779E-2</v>
      </c>
      <c r="I25" s="3">
        <v>3.5434131844384952E-2</v>
      </c>
      <c r="J25" s="3">
        <v>5.5848178630968116E-2</v>
      </c>
      <c r="K25" s="3">
        <v>7.2564104373478615E-3</v>
      </c>
      <c r="L25" s="3">
        <v>8.2994466060493169E-3</v>
      </c>
      <c r="M25" s="3">
        <v>3.1065978150809755E-2</v>
      </c>
      <c r="N25" s="3">
        <v>1.4559899602456294E-2</v>
      </c>
      <c r="O25" s="3">
        <v>3.2562128015904843E-2</v>
      </c>
      <c r="P25" s="3">
        <v>1.9445802980549126E-2</v>
      </c>
      <c r="Q25" s="3">
        <v>8.0022884132866547E-3</v>
      </c>
      <c r="R25" s="3">
        <v>1.9504057668558349E-2</v>
      </c>
      <c r="S25" s="3">
        <v>7.4992320921714762E-4</v>
      </c>
      <c r="T25" s="3">
        <v>1.2921346939269721E-2</v>
      </c>
      <c r="U25" s="3">
        <v>1.546834417754776E-2</v>
      </c>
    </row>
    <row r="26" spans="1:24" hidden="1" x14ac:dyDescent="0.35">
      <c r="A26" t="s">
        <v>48</v>
      </c>
      <c r="B26" s="3">
        <v>6.6998739042664051E-3</v>
      </c>
      <c r="C26" s="3">
        <v>1.6402674693797008E-2</v>
      </c>
      <c r="D26" s="3">
        <v>3.5710892277927555E-3</v>
      </c>
      <c r="E26" s="3">
        <v>2.4450696561068722E-3</v>
      </c>
      <c r="F26" s="3">
        <v>8.8390407879904414E-4</v>
      </c>
      <c r="G26" s="3">
        <v>4.7098851100170992E-3</v>
      </c>
      <c r="H26" s="3">
        <v>0</v>
      </c>
      <c r="I26" s="3">
        <v>0</v>
      </c>
      <c r="J26" s="3">
        <v>1.1169635726193622E-2</v>
      </c>
      <c r="K26" s="3">
        <v>0</v>
      </c>
      <c r="L26" s="3">
        <v>3.3197786424197261E-3</v>
      </c>
      <c r="M26" s="3">
        <v>0</v>
      </c>
      <c r="N26" s="3">
        <v>0</v>
      </c>
      <c r="O26" s="3">
        <v>0</v>
      </c>
      <c r="P26" s="3">
        <v>1.1667481788329475E-2</v>
      </c>
      <c r="Q26" s="3">
        <v>1.9483832658437074E-3</v>
      </c>
      <c r="R26" s="3">
        <v>0</v>
      </c>
      <c r="S26" s="3">
        <v>4.4459733117873743E-3</v>
      </c>
      <c r="T26" s="3">
        <v>0</v>
      </c>
      <c r="U26" s="3">
        <v>0</v>
      </c>
    </row>
    <row r="28" spans="1:24" s="25" customFormat="1" ht="12.75" customHeight="1" x14ac:dyDescent="0.35">
      <c r="A28" s="1134"/>
      <c r="B28" s="1134"/>
      <c r="C28" s="1134"/>
      <c r="D28" s="1134"/>
      <c r="F28" s="961" t="s">
        <v>68</v>
      </c>
      <c r="G28" s="961"/>
      <c r="H28" s="961"/>
      <c r="I28" s="961"/>
      <c r="J28" s="961"/>
      <c r="K28" s="961"/>
      <c r="L28" s="961"/>
      <c r="M28" s="961"/>
      <c r="N28" s="961"/>
      <c r="O28" s="961"/>
      <c r="P28" s="961" t="s">
        <v>168</v>
      </c>
      <c r="Q28" s="961"/>
      <c r="R28" s="961" t="s">
        <v>70</v>
      </c>
      <c r="S28" s="961"/>
      <c r="T28" s="961"/>
      <c r="U28" s="961"/>
    </row>
    <row r="29" spans="1:24" s="25" customFormat="1" ht="25.5" customHeight="1" x14ac:dyDescent="0.35">
      <c r="A29" s="1134"/>
      <c r="B29" s="1134"/>
      <c r="C29" s="1134"/>
      <c r="D29" s="1134"/>
      <c r="E29" s="335"/>
      <c r="F29" s="961" t="s">
        <v>72</v>
      </c>
      <c r="G29" s="961"/>
      <c r="H29" s="961"/>
      <c r="I29" s="961"/>
      <c r="J29" s="961"/>
      <c r="K29" s="961" t="s">
        <v>71</v>
      </c>
      <c r="L29" s="961"/>
      <c r="M29" s="961"/>
      <c r="N29" s="961"/>
      <c r="O29" s="961"/>
      <c r="P29" s="961"/>
      <c r="Q29" s="961"/>
      <c r="R29" s="961" t="s">
        <v>74</v>
      </c>
      <c r="S29" s="961"/>
      <c r="T29" s="961" t="s">
        <v>73</v>
      </c>
      <c r="U29" s="961"/>
    </row>
    <row r="30" spans="1:24" s="25" customFormat="1" ht="52" x14ac:dyDescent="0.35">
      <c r="A30" s="395" t="s">
        <v>169</v>
      </c>
      <c r="B30" s="396" t="s">
        <v>170</v>
      </c>
      <c r="C30" s="396" t="s">
        <v>89</v>
      </c>
      <c r="D30" s="407" t="s">
        <v>171</v>
      </c>
      <c r="E30" s="405" t="s">
        <v>60</v>
      </c>
      <c r="F30" s="406" t="s">
        <v>75</v>
      </c>
      <c r="G30" s="396" t="s">
        <v>76</v>
      </c>
      <c r="H30" s="396" t="s">
        <v>77</v>
      </c>
      <c r="I30" s="396" t="s">
        <v>172</v>
      </c>
      <c r="J30" s="407" t="s">
        <v>79</v>
      </c>
      <c r="K30" s="406" t="s">
        <v>173</v>
      </c>
      <c r="L30" s="396" t="s">
        <v>174</v>
      </c>
      <c r="M30" s="396" t="s">
        <v>175</v>
      </c>
      <c r="N30" s="396" t="s">
        <v>176</v>
      </c>
      <c r="O30" s="396" t="s">
        <v>177</v>
      </c>
      <c r="P30" s="396" t="s">
        <v>5</v>
      </c>
      <c r="Q30" s="396" t="s">
        <v>4</v>
      </c>
      <c r="R30" s="396" t="s">
        <v>80</v>
      </c>
      <c r="S30" s="396" t="s">
        <v>81</v>
      </c>
      <c r="T30" s="396" t="s">
        <v>80</v>
      </c>
      <c r="U30" s="407" t="s">
        <v>81</v>
      </c>
    </row>
    <row r="31" spans="1:24" x14ac:dyDescent="0.35">
      <c r="A31" s="408" t="s">
        <v>11</v>
      </c>
      <c r="B31" s="409" t="e">
        <f>VLOOKUP('Figure 4 2023'!$A31,#REF!,4,FALSE)</f>
        <v>#REF!</v>
      </c>
      <c r="C31" s="410" t="e">
        <f>VLOOKUP('Figure 4 2023'!$A31,#REF!,5,FALSE)</f>
        <v>#REF!</v>
      </c>
      <c r="D31" s="535" t="e">
        <f>VLOOKUP('Figure 4 2023'!$A31,#REF!,6,FALSE)</f>
        <v>#REF!</v>
      </c>
      <c r="E31" s="411" t="e">
        <f>+D31/B31</f>
        <v>#REF!</v>
      </c>
      <c r="F31" s="411" t="e">
        <f>+J31+I31+H31+G31</f>
        <v>#REF!</v>
      </c>
      <c r="G31" s="411" t="e">
        <f>VLOOKUP(A31,#REF!,8,FALSE)</f>
        <v>#REF!</v>
      </c>
      <c r="H31" s="411" t="e">
        <f>VLOOKUP(A31,#REF!,9,FALSE)</f>
        <v>#REF!</v>
      </c>
      <c r="I31" s="411" t="e">
        <f>VLOOKUP(A31,#REF!,10,FALSE)</f>
        <v>#REF!</v>
      </c>
      <c r="J31" s="412" t="e">
        <f>VLOOKUP(A31,#REF!,11,FALSE)</f>
        <v>#REF!</v>
      </c>
      <c r="K31" s="411" t="e">
        <f>+O31+N31+M31+L31</f>
        <v>#REF!</v>
      </c>
      <c r="L31" s="411" t="e">
        <f>VLOOKUP($A31,#REF!,13,FALSE)</f>
        <v>#REF!</v>
      </c>
      <c r="M31" s="411" t="e">
        <f>VLOOKUP($A31,#REF!,14,FALSE)</f>
        <v>#REF!</v>
      </c>
      <c r="N31" s="411" t="e">
        <f>VLOOKUP($A31,#REF!,15,FALSE)</f>
        <v>#REF!</v>
      </c>
      <c r="O31" s="412" t="e">
        <f>VLOOKUP($A31,#REF!,16,FALSE)</f>
        <v>#REF!</v>
      </c>
      <c r="P31" s="411" t="e">
        <f>VLOOKUP($A31,#REF!,17,FALSE)</f>
        <v>#REF!</v>
      </c>
      <c r="Q31" s="411" t="e">
        <f>VLOOKUP($A31,#REF!,18,FALSE)</f>
        <v>#REF!</v>
      </c>
      <c r="R31" s="411" t="e">
        <f>VLOOKUP($A31,#REF!,19,FALSE)</f>
        <v>#REF!</v>
      </c>
      <c r="S31" s="411" t="e">
        <f>VLOOKUP($A31,#REF!,20,FALSE)</f>
        <v>#REF!</v>
      </c>
      <c r="T31" s="411" t="e">
        <f>VLOOKUP($A31,#REF!,19,FALSE)</f>
        <v>#REF!</v>
      </c>
      <c r="U31" s="411" t="e">
        <f>VLOOKUP($A31,#REF!,20,FALSE)</f>
        <v>#REF!</v>
      </c>
      <c r="V31" s="7" t="e">
        <f>+T31+U31+P31+Q31+K31+F31+E31</f>
        <v>#REF!</v>
      </c>
      <c r="W31" s="7" t="e">
        <f>+U31+T31+Q31+P31+K31+E31</f>
        <v>#REF!</v>
      </c>
      <c r="X31" s="7" t="e">
        <f>V31-P31</f>
        <v>#REF!</v>
      </c>
    </row>
    <row r="32" spans="1:24" x14ac:dyDescent="0.35">
      <c r="A32" s="413" t="s">
        <v>13</v>
      </c>
      <c r="B32" s="414" t="e">
        <f>VLOOKUP('Figure 4 2023'!$A32,#REF!,4,FALSE)</f>
        <v>#REF!</v>
      </c>
      <c r="C32" s="415" t="e">
        <f>VLOOKUP('Figure 4 2023'!$A32,#REF!,5,FALSE)</f>
        <v>#REF!</v>
      </c>
      <c r="D32" s="536" t="e">
        <f>VLOOKUP('Figure 4 2023'!$A32,#REF!,6,FALSE)</f>
        <v>#REF!</v>
      </c>
      <c r="E32" s="416" t="e">
        <f t="shared" ref="E32:E50" si="0">+D32/B32</f>
        <v>#REF!</v>
      </c>
      <c r="F32" s="416" t="e">
        <f t="shared" ref="F32:F50" si="1">+J32+I32+H32+G32</f>
        <v>#REF!</v>
      </c>
      <c r="G32" s="416" t="e">
        <f>VLOOKUP(A32,#REF!,8,FALSE)</f>
        <v>#REF!</v>
      </c>
      <c r="H32" s="416" t="e">
        <f>VLOOKUP(A32,#REF!,9,FALSE)</f>
        <v>#REF!</v>
      </c>
      <c r="I32" s="416" t="e">
        <f>VLOOKUP(A32,#REF!,10,FALSE)</f>
        <v>#REF!</v>
      </c>
      <c r="J32" s="417" t="e">
        <f>VLOOKUP(A32,#REF!,11,FALSE)</f>
        <v>#REF!</v>
      </c>
      <c r="K32" s="416" t="e">
        <f t="shared" ref="K32:K50" si="2">+O32+N32+M32+L32</f>
        <v>#REF!</v>
      </c>
      <c r="L32" s="416" t="e">
        <f>VLOOKUP($A32,#REF!,13,FALSE)</f>
        <v>#REF!</v>
      </c>
      <c r="M32" s="416" t="e">
        <f>VLOOKUP($A32,#REF!,14,FALSE)</f>
        <v>#REF!</v>
      </c>
      <c r="N32" s="416" t="e">
        <f>VLOOKUP($A32,#REF!,15,FALSE)</f>
        <v>#REF!</v>
      </c>
      <c r="O32" s="417" t="e">
        <f>VLOOKUP($A32,#REF!,16,FALSE)</f>
        <v>#REF!</v>
      </c>
      <c r="P32" s="416" t="e">
        <f>VLOOKUP($A32,#REF!,17,FALSE)</f>
        <v>#REF!</v>
      </c>
      <c r="Q32" s="416" t="e">
        <f>VLOOKUP($A32,#REF!,18,FALSE)</f>
        <v>#REF!</v>
      </c>
      <c r="R32" s="416" t="e">
        <f>VLOOKUP($A32,#REF!,19,FALSE)</f>
        <v>#REF!</v>
      </c>
      <c r="S32" s="416" t="e">
        <f>VLOOKUP($A32,#REF!,20,FALSE)</f>
        <v>#REF!</v>
      </c>
      <c r="T32" s="416" t="e">
        <f>VLOOKUP($A32,#REF!,19,FALSE)</f>
        <v>#REF!</v>
      </c>
      <c r="U32" s="417" t="e">
        <f>VLOOKUP($A32,#REF!,20,FALSE)</f>
        <v>#REF!</v>
      </c>
      <c r="V32" s="7" t="e">
        <f t="shared" ref="V32:V50" si="3">+T32+U32+P32+Q32+K32+F32+E32</f>
        <v>#REF!</v>
      </c>
      <c r="W32" s="7" t="e">
        <f t="shared" ref="W32:W50" si="4">+U32+T32+Q32+P32+K32+E32</f>
        <v>#REF!</v>
      </c>
      <c r="X32" s="7" t="e">
        <f t="shared" ref="X32:X51" si="5">V32-P32</f>
        <v>#REF!</v>
      </c>
    </row>
    <row r="33" spans="1:24" x14ac:dyDescent="0.35">
      <c r="A33" s="408" t="s">
        <v>12</v>
      </c>
      <c r="B33" s="409" t="e">
        <f>VLOOKUP('Figure 4 2023'!$A33,#REF!,4,FALSE)</f>
        <v>#REF!</v>
      </c>
      <c r="C33" s="410" t="e">
        <f>VLOOKUP('Figure 4 2023'!$A33,#REF!,5,FALSE)</f>
        <v>#REF!</v>
      </c>
      <c r="D33" s="535" t="e">
        <f>VLOOKUP('Figure 4 2023'!$A33,#REF!,6,FALSE)</f>
        <v>#REF!</v>
      </c>
      <c r="E33" s="411" t="e">
        <f t="shared" si="0"/>
        <v>#REF!</v>
      </c>
      <c r="F33" s="411" t="e">
        <f t="shared" si="1"/>
        <v>#REF!</v>
      </c>
      <c r="G33" s="411" t="e">
        <f>VLOOKUP(A33,#REF!,8,FALSE)</f>
        <v>#REF!</v>
      </c>
      <c r="H33" s="411" t="e">
        <f>VLOOKUP(A33,#REF!,9,FALSE)</f>
        <v>#REF!</v>
      </c>
      <c r="I33" s="411" t="e">
        <f>VLOOKUP(A33,#REF!,10,FALSE)</f>
        <v>#REF!</v>
      </c>
      <c r="J33" s="412" t="e">
        <f>VLOOKUP(A33,#REF!,11,FALSE)</f>
        <v>#REF!</v>
      </c>
      <c r="K33" s="411" t="e">
        <f t="shared" si="2"/>
        <v>#REF!</v>
      </c>
      <c r="L33" s="411" t="e">
        <f>VLOOKUP($A33,#REF!,13,FALSE)</f>
        <v>#REF!</v>
      </c>
      <c r="M33" s="411" t="e">
        <f>VLOOKUP($A33,#REF!,14,FALSE)</f>
        <v>#REF!</v>
      </c>
      <c r="N33" s="411" t="e">
        <f>VLOOKUP($A33,#REF!,15,FALSE)</f>
        <v>#REF!</v>
      </c>
      <c r="O33" s="412" t="e">
        <f>VLOOKUP($A33,#REF!,16,FALSE)</f>
        <v>#REF!</v>
      </c>
      <c r="P33" s="411" t="e">
        <f>VLOOKUP($A33,#REF!,17,FALSE)</f>
        <v>#REF!</v>
      </c>
      <c r="Q33" s="411" t="e">
        <f>VLOOKUP($A33,#REF!,18,FALSE)</f>
        <v>#REF!</v>
      </c>
      <c r="R33" s="411" t="e">
        <f>VLOOKUP($A33,#REF!,19,FALSE)</f>
        <v>#REF!</v>
      </c>
      <c r="S33" s="411" t="e">
        <f>VLOOKUP($A33,#REF!,20,FALSE)</f>
        <v>#REF!</v>
      </c>
      <c r="T33" s="411" t="e">
        <f>VLOOKUP($A33,#REF!,19,FALSE)</f>
        <v>#REF!</v>
      </c>
      <c r="U33" s="412" t="e">
        <f>VLOOKUP($A33,#REF!,20,FALSE)</f>
        <v>#REF!</v>
      </c>
      <c r="V33" s="7" t="e">
        <f t="shared" si="3"/>
        <v>#REF!</v>
      </c>
      <c r="W33" s="7" t="e">
        <f t="shared" si="4"/>
        <v>#REF!</v>
      </c>
      <c r="X33" s="7" t="e">
        <f t="shared" si="5"/>
        <v>#REF!</v>
      </c>
    </row>
    <row r="34" spans="1:24" x14ac:dyDescent="0.35">
      <c r="A34" s="413" t="s">
        <v>28</v>
      </c>
      <c r="B34" s="414" t="e">
        <f>VLOOKUP('Figure 4 2023'!$A34,#REF!,4,FALSE)</f>
        <v>#REF!</v>
      </c>
      <c r="C34" s="415" t="e">
        <f>VLOOKUP('Figure 4 2023'!$A34,#REF!,5,FALSE)</f>
        <v>#REF!</v>
      </c>
      <c r="D34" s="536" t="e">
        <f>VLOOKUP('Figure 4 2023'!$A34,#REF!,6,FALSE)</f>
        <v>#REF!</v>
      </c>
      <c r="E34" s="416" t="e">
        <f t="shared" si="0"/>
        <v>#REF!</v>
      </c>
      <c r="F34" s="416" t="e">
        <f t="shared" si="1"/>
        <v>#REF!</v>
      </c>
      <c r="G34" s="416" t="e">
        <f>VLOOKUP(A34,#REF!,8,FALSE)</f>
        <v>#REF!</v>
      </c>
      <c r="H34" s="416" t="e">
        <f>VLOOKUP(A34,#REF!,9,FALSE)</f>
        <v>#REF!</v>
      </c>
      <c r="I34" s="416" t="e">
        <f>VLOOKUP(A34,#REF!,10,FALSE)</f>
        <v>#REF!</v>
      </c>
      <c r="J34" s="417" t="e">
        <f>VLOOKUP(A34,#REF!,11,FALSE)</f>
        <v>#REF!</v>
      </c>
      <c r="K34" s="416" t="e">
        <f t="shared" si="2"/>
        <v>#REF!</v>
      </c>
      <c r="L34" s="416" t="e">
        <f>VLOOKUP($A34,#REF!,13,FALSE)</f>
        <v>#REF!</v>
      </c>
      <c r="M34" s="416" t="e">
        <f>VLOOKUP($A34,#REF!,14,FALSE)</f>
        <v>#REF!</v>
      </c>
      <c r="N34" s="416" t="e">
        <f>VLOOKUP($A34,#REF!,15,FALSE)</f>
        <v>#REF!</v>
      </c>
      <c r="O34" s="417" t="e">
        <f>VLOOKUP($A34,#REF!,16,FALSE)</f>
        <v>#REF!</v>
      </c>
      <c r="P34" s="416" t="e">
        <f>VLOOKUP($A34,#REF!,17,FALSE)</f>
        <v>#REF!</v>
      </c>
      <c r="Q34" s="416" t="e">
        <f>VLOOKUP($A34,#REF!,18,FALSE)</f>
        <v>#REF!</v>
      </c>
      <c r="R34" s="416" t="e">
        <f>VLOOKUP($A34,#REF!,19,FALSE)</f>
        <v>#REF!</v>
      </c>
      <c r="S34" s="416" t="e">
        <f>VLOOKUP($A34,#REF!,20,FALSE)</f>
        <v>#REF!</v>
      </c>
      <c r="T34" s="416" t="e">
        <f>VLOOKUP($A34,#REF!,19,FALSE)</f>
        <v>#REF!</v>
      </c>
      <c r="U34" s="417" t="e">
        <f>VLOOKUP($A34,#REF!,20,FALSE)</f>
        <v>#REF!</v>
      </c>
      <c r="V34" s="7" t="e">
        <f t="shared" si="3"/>
        <v>#REF!</v>
      </c>
      <c r="W34" s="7" t="e">
        <f t="shared" si="4"/>
        <v>#REF!</v>
      </c>
      <c r="X34" s="7" t="e">
        <f t="shared" si="5"/>
        <v>#REF!</v>
      </c>
    </row>
    <row r="35" spans="1:24" x14ac:dyDescent="0.35">
      <c r="A35" s="408" t="s">
        <v>15</v>
      </c>
      <c r="B35" s="409" t="e">
        <f>VLOOKUP('Figure 4 2023'!$A35,#REF!,4,FALSE)</f>
        <v>#REF!</v>
      </c>
      <c r="C35" s="410" t="e">
        <f>VLOOKUP('Figure 4 2023'!$A35,#REF!,5,FALSE)</f>
        <v>#REF!</v>
      </c>
      <c r="D35" s="535" t="e">
        <f>VLOOKUP('Figure 4 2023'!$A35,#REF!,6,FALSE)</f>
        <v>#REF!</v>
      </c>
      <c r="E35" s="411" t="e">
        <f t="shared" si="0"/>
        <v>#REF!</v>
      </c>
      <c r="F35" s="411" t="e">
        <f t="shared" si="1"/>
        <v>#REF!</v>
      </c>
      <c r="G35" s="411" t="e">
        <f>VLOOKUP(A35,#REF!,8,FALSE)</f>
        <v>#REF!</v>
      </c>
      <c r="H35" s="411" t="e">
        <f>VLOOKUP(A35,#REF!,9,FALSE)</f>
        <v>#REF!</v>
      </c>
      <c r="I35" s="411" t="e">
        <f>VLOOKUP(A35,#REF!,10,FALSE)</f>
        <v>#REF!</v>
      </c>
      <c r="J35" s="412" t="e">
        <f>VLOOKUP(A35,#REF!,11,FALSE)</f>
        <v>#REF!</v>
      </c>
      <c r="K35" s="411" t="e">
        <f t="shared" si="2"/>
        <v>#REF!</v>
      </c>
      <c r="L35" s="411" t="e">
        <f>VLOOKUP($A35,#REF!,13,FALSE)</f>
        <v>#REF!</v>
      </c>
      <c r="M35" s="411" t="e">
        <f>VLOOKUP($A35,#REF!,14,FALSE)</f>
        <v>#REF!</v>
      </c>
      <c r="N35" s="411" t="e">
        <f>VLOOKUP($A35,#REF!,15,FALSE)</f>
        <v>#REF!</v>
      </c>
      <c r="O35" s="412" t="e">
        <f>VLOOKUP($A35,#REF!,16,FALSE)</f>
        <v>#REF!</v>
      </c>
      <c r="P35" s="411" t="e">
        <f>VLOOKUP($A35,#REF!,17,FALSE)</f>
        <v>#REF!</v>
      </c>
      <c r="Q35" s="411" t="e">
        <f>VLOOKUP($A35,#REF!,18,FALSE)</f>
        <v>#REF!</v>
      </c>
      <c r="R35" s="411" t="e">
        <f>VLOOKUP($A35,#REF!,19,FALSE)</f>
        <v>#REF!</v>
      </c>
      <c r="S35" s="411" t="e">
        <f>VLOOKUP($A35,#REF!,20,FALSE)</f>
        <v>#REF!</v>
      </c>
      <c r="T35" s="411" t="e">
        <f>VLOOKUP($A35,#REF!,19,FALSE)</f>
        <v>#REF!</v>
      </c>
      <c r="U35" s="412" t="e">
        <f>VLOOKUP($A35,#REF!,20,FALSE)</f>
        <v>#REF!</v>
      </c>
      <c r="V35" s="7" t="e">
        <f t="shared" si="3"/>
        <v>#REF!</v>
      </c>
      <c r="W35" s="7" t="e">
        <f t="shared" si="4"/>
        <v>#REF!</v>
      </c>
      <c r="X35" s="7" t="e">
        <f t="shared" si="5"/>
        <v>#REF!</v>
      </c>
    </row>
    <row r="36" spans="1:24" x14ac:dyDescent="0.35">
      <c r="A36" s="413" t="s">
        <v>18</v>
      </c>
      <c r="B36" s="414" t="e">
        <f>VLOOKUP('Figure 4 2023'!$A36,#REF!,4,FALSE)</f>
        <v>#REF!</v>
      </c>
      <c r="C36" s="415" t="e">
        <f>VLOOKUP('Figure 4 2023'!$A36,#REF!,5,FALSE)</f>
        <v>#REF!</v>
      </c>
      <c r="D36" s="536" t="e">
        <f>VLOOKUP('Figure 4 2023'!$A36,#REF!,6,FALSE)</f>
        <v>#REF!</v>
      </c>
      <c r="E36" s="416" t="e">
        <f t="shared" si="0"/>
        <v>#REF!</v>
      </c>
      <c r="F36" s="416" t="e">
        <f t="shared" si="1"/>
        <v>#REF!</v>
      </c>
      <c r="G36" s="416" t="e">
        <f>VLOOKUP(A36,#REF!,8,FALSE)</f>
        <v>#REF!</v>
      </c>
      <c r="H36" s="416" t="e">
        <f>VLOOKUP(A36,#REF!,9,FALSE)</f>
        <v>#REF!</v>
      </c>
      <c r="I36" s="416" t="e">
        <f>VLOOKUP(A36,#REF!,10,FALSE)</f>
        <v>#REF!</v>
      </c>
      <c r="J36" s="417" t="e">
        <f>VLOOKUP(A36,#REF!,11,FALSE)</f>
        <v>#REF!</v>
      </c>
      <c r="K36" s="416" t="e">
        <f t="shared" si="2"/>
        <v>#REF!</v>
      </c>
      <c r="L36" s="416" t="e">
        <f>VLOOKUP($A36,#REF!,13,FALSE)</f>
        <v>#REF!</v>
      </c>
      <c r="M36" s="416" t="e">
        <f>VLOOKUP($A36,#REF!,14,FALSE)</f>
        <v>#REF!</v>
      </c>
      <c r="N36" s="416" t="e">
        <f>VLOOKUP($A36,#REF!,15,FALSE)</f>
        <v>#REF!</v>
      </c>
      <c r="O36" s="417" t="e">
        <f>VLOOKUP($A36,#REF!,16,FALSE)</f>
        <v>#REF!</v>
      </c>
      <c r="P36" s="416" t="e">
        <f>VLOOKUP($A36,#REF!,17,FALSE)</f>
        <v>#REF!</v>
      </c>
      <c r="Q36" s="416" t="e">
        <f>VLOOKUP($A36,#REF!,18,FALSE)</f>
        <v>#REF!</v>
      </c>
      <c r="R36" s="416" t="e">
        <f>VLOOKUP($A36,#REF!,19,FALSE)</f>
        <v>#REF!</v>
      </c>
      <c r="S36" s="416" t="e">
        <f>VLOOKUP($A36,#REF!,20,FALSE)</f>
        <v>#REF!</v>
      </c>
      <c r="T36" s="416" t="e">
        <f>VLOOKUP($A36,#REF!,19,FALSE)</f>
        <v>#REF!</v>
      </c>
      <c r="U36" s="417" t="e">
        <f>VLOOKUP($A36,#REF!,20,FALSE)</f>
        <v>#REF!</v>
      </c>
      <c r="V36" s="7" t="e">
        <f t="shared" si="3"/>
        <v>#REF!</v>
      </c>
      <c r="W36" s="7" t="e">
        <f t="shared" si="4"/>
        <v>#REF!</v>
      </c>
      <c r="X36" s="7" t="e">
        <f t="shared" si="5"/>
        <v>#REF!</v>
      </c>
    </row>
    <row r="37" spans="1:24" x14ac:dyDescent="0.35">
      <c r="A37" s="408" t="s">
        <v>17</v>
      </c>
      <c r="B37" s="409" t="e">
        <f>VLOOKUP('Figure 4 2023'!$A37,#REF!,4,FALSE)</f>
        <v>#REF!</v>
      </c>
      <c r="C37" s="410" t="e">
        <f>VLOOKUP('Figure 4 2023'!$A37,#REF!,5,FALSE)</f>
        <v>#REF!</v>
      </c>
      <c r="D37" s="535" t="e">
        <f>VLOOKUP('Figure 4 2023'!$A37,#REF!,6,FALSE)</f>
        <v>#REF!</v>
      </c>
      <c r="E37" s="411" t="e">
        <f t="shared" si="0"/>
        <v>#REF!</v>
      </c>
      <c r="F37" s="411" t="e">
        <f t="shared" si="1"/>
        <v>#REF!</v>
      </c>
      <c r="G37" s="411" t="e">
        <f>VLOOKUP(A37,#REF!,8,FALSE)</f>
        <v>#REF!</v>
      </c>
      <c r="H37" s="411" t="e">
        <f>VLOOKUP(A37,#REF!,9,FALSE)</f>
        <v>#REF!</v>
      </c>
      <c r="I37" s="411" t="e">
        <f>VLOOKUP(A37,#REF!,10,FALSE)</f>
        <v>#REF!</v>
      </c>
      <c r="J37" s="412" t="e">
        <f>VLOOKUP(A37,#REF!,11,FALSE)</f>
        <v>#REF!</v>
      </c>
      <c r="K37" s="411" t="e">
        <f t="shared" si="2"/>
        <v>#REF!</v>
      </c>
      <c r="L37" s="411" t="e">
        <f>VLOOKUP($A37,#REF!,13,FALSE)</f>
        <v>#REF!</v>
      </c>
      <c r="M37" s="411" t="e">
        <f>VLOOKUP($A37,#REF!,14,FALSE)</f>
        <v>#REF!</v>
      </c>
      <c r="N37" s="411" t="e">
        <f>VLOOKUP($A37,#REF!,15,FALSE)</f>
        <v>#REF!</v>
      </c>
      <c r="O37" s="412" t="e">
        <f>VLOOKUP($A37,#REF!,16,FALSE)</f>
        <v>#REF!</v>
      </c>
      <c r="P37" s="411" t="e">
        <f>VLOOKUP($A37,#REF!,17,FALSE)</f>
        <v>#REF!</v>
      </c>
      <c r="Q37" s="411" t="e">
        <f>VLOOKUP($A37,#REF!,18,FALSE)</f>
        <v>#REF!</v>
      </c>
      <c r="R37" s="411" t="e">
        <f>VLOOKUP($A37,#REF!,19,FALSE)</f>
        <v>#REF!</v>
      </c>
      <c r="S37" s="411" t="e">
        <f>VLOOKUP($A37,#REF!,20,FALSE)</f>
        <v>#REF!</v>
      </c>
      <c r="T37" s="411" t="e">
        <f>VLOOKUP($A37,#REF!,19,FALSE)</f>
        <v>#REF!</v>
      </c>
      <c r="U37" s="412" t="e">
        <f>VLOOKUP($A37,#REF!,20,FALSE)</f>
        <v>#REF!</v>
      </c>
      <c r="V37" s="7" t="e">
        <f t="shared" si="3"/>
        <v>#REF!</v>
      </c>
      <c r="W37" s="7" t="e">
        <f t="shared" si="4"/>
        <v>#REF!</v>
      </c>
      <c r="X37" s="7" t="e">
        <f t="shared" si="5"/>
        <v>#REF!</v>
      </c>
    </row>
    <row r="38" spans="1:24" x14ac:dyDescent="0.35">
      <c r="A38" s="413" t="s">
        <v>21</v>
      </c>
      <c r="B38" s="414" t="e">
        <f>VLOOKUP('Figure 4 2023'!$A38,#REF!,4,FALSE)</f>
        <v>#REF!</v>
      </c>
      <c r="C38" s="415" t="e">
        <f>VLOOKUP('Figure 4 2023'!$A38,#REF!,5,FALSE)</f>
        <v>#REF!</v>
      </c>
      <c r="D38" s="536" t="e">
        <f>VLOOKUP('Figure 4 2023'!$A38,#REF!,6,FALSE)</f>
        <v>#REF!</v>
      </c>
      <c r="E38" s="416" t="e">
        <f t="shared" si="0"/>
        <v>#REF!</v>
      </c>
      <c r="F38" s="416" t="e">
        <f t="shared" si="1"/>
        <v>#REF!</v>
      </c>
      <c r="G38" s="416" t="e">
        <f>VLOOKUP(A38,#REF!,8,FALSE)</f>
        <v>#REF!</v>
      </c>
      <c r="H38" s="416" t="e">
        <f>VLOOKUP(A38,#REF!,9,FALSE)</f>
        <v>#REF!</v>
      </c>
      <c r="I38" s="416" t="e">
        <f>VLOOKUP(A38,#REF!,10,FALSE)</f>
        <v>#REF!</v>
      </c>
      <c r="J38" s="417" t="e">
        <f>VLOOKUP(A38,#REF!,11,FALSE)</f>
        <v>#REF!</v>
      </c>
      <c r="K38" s="416" t="e">
        <f t="shared" si="2"/>
        <v>#REF!</v>
      </c>
      <c r="L38" s="416" t="e">
        <f>VLOOKUP($A38,#REF!,13,FALSE)</f>
        <v>#REF!</v>
      </c>
      <c r="M38" s="416" t="e">
        <f>VLOOKUP($A38,#REF!,14,FALSE)</f>
        <v>#REF!</v>
      </c>
      <c r="N38" s="416" t="e">
        <f>VLOOKUP($A38,#REF!,15,FALSE)</f>
        <v>#REF!</v>
      </c>
      <c r="O38" s="417" t="e">
        <f>VLOOKUP($A38,#REF!,16,FALSE)</f>
        <v>#REF!</v>
      </c>
      <c r="P38" s="416" t="e">
        <f>VLOOKUP($A38,#REF!,17,FALSE)</f>
        <v>#REF!</v>
      </c>
      <c r="Q38" s="416" t="e">
        <f>VLOOKUP($A38,#REF!,18,FALSE)</f>
        <v>#REF!</v>
      </c>
      <c r="R38" s="416" t="e">
        <f>VLOOKUP($A38,#REF!,19,FALSE)</f>
        <v>#REF!</v>
      </c>
      <c r="S38" s="416" t="e">
        <f>VLOOKUP($A38,#REF!,20,FALSE)</f>
        <v>#REF!</v>
      </c>
      <c r="T38" s="416" t="e">
        <f>VLOOKUP($A38,#REF!,19,FALSE)</f>
        <v>#REF!</v>
      </c>
      <c r="U38" s="417" t="e">
        <f>VLOOKUP($A38,#REF!,20,FALSE)</f>
        <v>#REF!</v>
      </c>
      <c r="V38" s="7" t="e">
        <f t="shared" si="3"/>
        <v>#REF!</v>
      </c>
      <c r="W38" s="7" t="e">
        <f t="shared" si="4"/>
        <v>#REF!</v>
      </c>
      <c r="X38" s="7" t="e">
        <f t="shared" si="5"/>
        <v>#REF!</v>
      </c>
    </row>
    <row r="39" spans="1:24" x14ac:dyDescent="0.35">
      <c r="A39" s="408" t="s">
        <v>27</v>
      </c>
      <c r="B39" s="409" t="e">
        <f>VLOOKUP('Figure 4 2023'!$A39,#REF!,4,FALSE)</f>
        <v>#REF!</v>
      </c>
      <c r="C39" s="410" t="e">
        <f>VLOOKUP('Figure 4 2023'!$A39,#REF!,5,FALSE)</f>
        <v>#REF!</v>
      </c>
      <c r="D39" s="535" t="e">
        <f>VLOOKUP('Figure 4 2023'!$A39,#REF!,6,FALSE)</f>
        <v>#REF!</v>
      </c>
      <c r="E39" s="411" t="e">
        <f t="shared" si="0"/>
        <v>#REF!</v>
      </c>
      <c r="F39" s="411" t="e">
        <f t="shared" si="1"/>
        <v>#REF!</v>
      </c>
      <c r="G39" s="411" t="e">
        <f>VLOOKUP(A39,#REF!,8,FALSE)</f>
        <v>#REF!</v>
      </c>
      <c r="H39" s="411" t="e">
        <f>VLOOKUP(A39,#REF!,9,FALSE)</f>
        <v>#REF!</v>
      </c>
      <c r="I39" s="411" t="e">
        <f>VLOOKUP(A39,#REF!,10,FALSE)</f>
        <v>#REF!</v>
      </c>
      <c r="J39" s="412" t="e">
        <f>VLOOKUP(A39,#REF!,11,FALSE)</f>
        <v>#REF!</v>
      </c>
      <c r="K39" s="411" t="e">
        <f t="shared" si="2"/>
        <v>#REF!</v>
      </c>
      <c r="L39" s="411" t="e">
        <f>VLOOKUP($A39,#REF!,13,FALSE)</f>
        <v>#REF!</v>
      </c>
      <c r="M39" s="411" t="e">
        <f>VLOOKUP($A39,#REF!,14,FALSE)</f>
        <v>#REF!</v>
      </c>
      <c r="N39" s="411" t="e">
        <f>VLOOKUP($A39,#REF!,15,FALSE)</f>
        <v>#REF!</v>
      </c>
      <c r="O39" s="412" t="e">
        <f>VLOOKUP($A39,#REF!,16,FALSE)</f>
        <v>#REF!</v>
      </c>
      <c r="P39" s="411" t="e">
        <f>VLOOKUP($A39,#REF!,17,FALSE)</f>
        <v>#REF!</v>
      </c>
      <c r="Q39" s="411" t="e">
        <f>VLOOKUP($A39,#REF!,18,FALSE)</f>
        <v>#REF!</v>
      </c>
      <c r="R39" s="411" t="e">
        <f>VLOOKUP($A39,#REF!,19,FALSE)</f>
        <v>#REF!</v>
      </c>
      <c r="S39" s="411" t="e">
        <f>VLOOKUP($A39,#REF!,20,FALSE)</f>
        <v>#REF!</v>
      </c>
      <c r="T39" s="411" t="e">
        <f>VLOOKUP($A39,#REF!,19,FALSE)</f>
        <v>#REF!</v>
      </c>
      <c r="U39" s="412" t="e">
        <f>VLOOKUP($A39,#REF!,20,FALSE)</f>
        <v>#REF!</v>
      </c>
      <c r="V39" s="7" t="e">
        <f t="shared" si="3"/>
        <v>#REF!</v>
      </c>
      <c r="W39" s="7" t="e">
        <f t="shared" si="4"/>
        <v>#REF!</v>
      </c>
      <c r="X39" s="7" t="e">
        <f t="shared" si="5"/>
        <v>#REF!</v>
      </c>
    </row>
    <row r="40" spans="1:24" s="60" customFormat="1" x14ac:dyDescent="0.35">
      <c r="A40" s="413" t="s">
        <v>24</v>
      </c>
      <c r="B40" s="414" t="e">
        <f>VLOOKUP('Figure 4 2023'!$A40,#REF!,4,FALSE)</f>
        <v>#REF!</v>
      </c>
      <c r="C40" s="415" t="e">
        <f>VLOOKUP('Figure 4 2023'!$A40,#REF!,5,FALSE)</f>
        <v>#REF!</v>
      </c>
      <c r="D40" s="536" t="e">
        <f>VLOOKUP('Figure 4 2023'!$A40,#REF!,6,FALSE)</f>
        <v>#REF!</v>
      </c>
      <c r="E40" s="416" t="e">
        <f t="shared" si="0"/>
        <v>#REF!</v>
      </c>
      <c r="F40" s="416" t="e">
        <f t="shared" si="1"/>
        <v>#REF!</v>
      </c>
      <c r="G40" s="416" t="e">
        <f>VLOOKUP(A40,#REF!,8,FALSE)</f>
        <v>#REF!</v>
      </c>
      <c r="H40" s="416" t="e">
        <f>VLOOKUP(A40,#REF!,9,FALSE)</f>
        <v>#REF!</v>
      </c>
      <c r="I40" s="416" t="e">
        <f>VLOOKUP(A40,#REF!,10,FALSE)</f>
        <v>#REF!</v>
      </c>
      <c r="J40" s="417" t="e">
        <f>VLOOKUP(A40,#REF!,11,FALSE)</f>
        <v>#REF!</v>
      </c>
      <c r="K40" s="416" t="e">
        <f t="shared" si="2"/>
        <v>#REF!</v>
      </c>
      <c r="L40" s="416" t="e">
        <f>VLOOKUP($A40,#REF!,13,FALSE)</f>
        <v>#REF!</v>
      </c>
      <c r="M40" s="416" t="e">
        <f>VLOOKUP($A40,#REF!,14,FALSE)</f>
        <v>#REF!</v>
      </c>
      <c r="N40" s="416" t="e">
        <f>VLOOKUP($A40,#REF!,15,FALSE)</f>
        <v>#REF!</v>
      </c>
      <c r="O40" s="417" t="e">
        <f>VLOOKUP($A40,#REF!,16,FALSE)</f>
        <v>#REF!</v>
      </c>
      <c r="P40" s="416" t="e">
        <f>VLOOKUP($A40,#REF!,17,FALSE)</f>
        <v>#REF!</v>
      </c>
      <c r="Q40" s="416" t="e">
        <f>VLOOKUP($A40,#REF!,18,FALSE)</f>
        <v>#REF!</v>
      </c>
      <c r="R40" s="416" t="e">
        <f>VLOOKUP($A40,#REF!,19,FALSE)</f>
        <v>#REF!</v>
      </c>
      <c r="S40" s="416" t="e">
        <f>VLOOKUP($A40,#REF!,20,FALSE)</f>
        <v>#REF!</v>
      </c>
      <c r="T40" s="416" t="e">
        <f>VLOOKUP($A40,#REF!,19,FALSE)</f>
        <v>#REF!</v>
      </c>
      <c r="U40" s="417" t="e">
        <f>VLOOKUP($A40,#REF!,20,FALSE)</f>
        <v>#REF!</v>
      </c>
      <c r="V40" s="7" t="e">
        <f t="shared" si="3"/>
        <v>#REF!</v>
      </c>
      <c r="W40" s="7" t="e">
        <f t="shared" si="4"/>
        <v>#REF!</v>
      </c>
      <c r="X40" s="7" t="e">
        <f t="shared" si="5"/>
        <v>#REF!</v>
      </c>
    </row>
    <row r="41" spans="1:24" x14ac:dyDescent="0.35">
      <c r="A41" s="408" t="s">
        <v>29</v>
      </c>
      <c r="B41" s="409" t="e">
        <f>VLOOKUP('Figure 4 2023'!$A41,#REF!,4,FALSE)</f>
        <v>#REF!</v>
      </c>
      <c r="C41" s="410" t="e">
        <f>VLOOKUP('Figure 4 2023'!$A41,#REF!,5,FALSE)</f>
        <v>#REF!</v>
      </c>
      <c r="D41" s="535" t="e">
        <f>VLOOKUP('Figure 4 2023'!$A41,#REF!,6,FALSE)</f>
        <v>#REF!</v>
      </c>
      <c r="E41" s="411" t="e">
        <f t="shared" si="0"/>
        <v>#REF!</v>
      </c>
      <c r="F41" s="411" t="e">
        <f t="shared" si="1"/>
        <v>#REF!</v>
      </c>
      <c r="G41" s="411" t="e">
        <f>VLOOKUP(A41,#REF!,8,FALSE)</f>
        <v>#REF!</v>
      </c>
      <c r="H41" s="411" t="e">
        <f>VLOOKUP(A41,#REF!,9,FALSE)</f>
        <v>#REF!</v>
      </c>
      <c r="I41" s="411" t="e">
        <f>VLOOKUP(A41,#REF!,10,FALSE)</f>
        <v>#REF!</v>
      </c>
      <c r="J41" s="412" t="e">
        <f>VLOOKUP(A41,#REF!,11,FALSE)</f>
        <v>#REF!</v>
      </c>
      <c r="K41" s="411" t="e">
        <f t="shared" si="2"/>
        <v>#REF!</v>
      </c>
      <c r="L41" s="411" t="e">
        <f>VLOOKUP($A41,#REF!,13,FALSE)</f>
        <v>#REF!</v>
      </c>
      <c r="M41" s="411" t="e">
        <f>VLOOKUP($A41,#REF!,14,FALSE)</f>
        <v>#REF!</v>
      </c>
      <c r="N41" s="411" t="e">
        <f>VLOOKUP($A41,#REF!,15,FALSE)</f>
        <v>#REF!</v>
      </c>
      <c r="O41" s="412" t="e">
        <f>VLOOKUP($A41,#REF!,16,FALSE)</f>
        <v>#REF!</v>
      </c>
      <c r="P41" s="411" t="e">
        <f>VLOOKUP($A41,#REF!,17,FALSE)</f>
        <v>#REF!</v>
      </c>
      <c r="Q41" s="411" t="e">
        <f>VLOOKUP($A41,#REF!,18,FALSE)</f>
        <v>#REF!</v>
      </c>
      <c r="R41" s="411" t="e">
        <f>VLOOKUP($A41,#REF!,19,FALSE)</f>
        <v>#REF!</v>
      </c>
      <c r="S41" s="411" t="e">
        <f>VLOOKUP($A41,#REF!,20,FALSE)</f>
        <v>#REF!</v>
      </c>
      <c r="T41" s="411" t="e">
        <f>VLOOKUP($A41,#REF!,19,FALSE)</f>
        <v>#REF!</v>
      </c>
      <c r="U41" s="412" t="e">
        <f>VLOOKUP($A41,#REF!,20,FALSE)</f>
        <v>#REF!</v>
      </c>
      <c r="V41" s="7" t="e">
        <f t="shared" si="3"/>
        <v>#REF!</v>
      </c>
      <c r="W41" s="7" t="e">
        <f t="shared" si="4"/>
        <v>#REF!</v>
      </c>
      <c r="X41" s="7" t="e">
        <f t="shared" si="5"/>
        <v>#REF!</v>
      </c>
    </row>
    <row r="42" spans="1:24" x14ac:dyDescent="0.35">
      <c r="A42" s="413" t="s">
        <v>23</v>
      </c>
      <c r="B42" s="414" t="e">
        <f>VLOOKUP('Figure 4 2023'!$A42,#REF!,4,FALSE)</f>
        <v>#REF!</v>
      </c>
      <c r="C42" s="415" t="e">
        <f>VLOOKUP('Figure 4 2023'!$A42,#REF!,5,FALSE)</f>
        <v>#REF!</v>
      </c>
      <c r="D42" s="536" t="e">
        <f>VLOOKUP('Figure 4 2023'!$A42,#REF!,6,FALSE)</f>
        <v>#REF!</v>
      </c>
      <c r="E42" s="416" t="e">
        <f t="shared" si="0"/>
        <v>#REF!</v>
      </c>
      <c r="F42" s="416" t="e">
        <f t="shared" si="1"/>
        <v>#REF!</v>
      </c>
      <c r="G42" s="416" t="e">
        <f>VLOOKUP(A42,#REF!,8,FALSE)</f>
        <v>#REF!</v>
      </c>
      <c r="H42" s="416" t="e">
        <f>VLOOKUP(A42,#REF!,9,FALSE)</f>
        <v>#REF!</v>
      </c>
      <c r="I42" s="416" t="e">
        <f>VLOOKUP(A42,#REF!,10,FALSE)</f>
        <v>#REF!</v>
      </c>
      <c r="J42" s="417" t="e">
        <f>VLOOKUP(A42,#REF!,11,FALSE)</f>
        <v>#REF!</v>
      </c>
      <c r="K42" s="416" t="e">
        <f t="shared" si="2"/>
        <v>#REF!</v>
      </c>
      <c r="L42" s="416" t="e">
        <f>VLOOKUP($A42,#REF!,13,FALSE)</f>
        <v>#REF!</v>
      </c>
      <c r="M42" s="416" t="e">
        <f>VLOOKUP($A42,#REF!,14,FALSE)</f>
        <v>#REF!</v>
      </c>
      <c r="N42" s="416" t="e">
        <f>VLOOKUP($A42,#REF!,15,FALSE)</f>
        <v>#REF!</v>
      </c>
      <c r="O42" s="417" t="e">
        <f>VLOOKUP($A42,#REF!,16,FALSE)</f>
        <v>#REF!</v>
      </c>
      <c r="P42" s="416" t="e">
        <f>VLOOKUP($A42,#REF!,17,FALSE)</f>
        <v>#REF!</v>
      </c>
      <c r="Q42" s="416" t="e">
        <f>VLOOKUP($A42,#REF!,18,FALSE)</f>
        <v>#REF!</v>
      </c>
      <c r="R42" s="416" t="e">
        <f>VLOOKUP($A42,#REF!,19,FALSE)</f>
        <v>#REF!</v>
      </c>
      <c r="S42" s="416" t="e">
        <f>VLOOKUP($A42,#REF!,20,FALSE)</f>
        <v>#REF!</v>
      </c>
      <c r="T42" s="416" t="e">
        <f>VLOOKUP($A42,#REF!,19,FALSE)</f>
        <v>#REF!</v>
      </c>
      <c r="U42" s="417" t="e">
        <f>VLOOKUP($A42,#REF!,20,FALSE)</f>
        <v>#REF!</v>
      </c>
      <c r="V42" s="7" t="e">
        <f t="shared" si="3"/>
        <v>#REF!</v>
      </c>
      <c r="W42" s="7" t="e">
        <f t="shared" si="4"/>
        <v>#REF!</v>
      </c>
      <c r="X42" s="7" t="e">
        <f t="shared" si="5"/>
        <v>#REF!</v>
      </c>
    </row>
    <row r="43" spans="1:24" x14ac:dyDescent="0.35">
      <c r="A43" s="408" t="s">
        <v>19</v>
      </c>
      <c r="B43" s="409" t="e">
        <f>VLOOKUP('Figure 4 2023'!$A43,#REF!,4,FALSE)</f>
        <v>#REF!</v>
      </c>
      <c r="C43" s="410" t="e">
        <f>VLOOKUP('Figure 4 2023'!$A43,#REF!,5,FALSE)</f>
        <v>#REF!</v>
      </c>
      <c r="D43" s="535" t="e">
        <f>VLOOKUP('Figure 4 2023'!$A43,#REF!,6,FALSE)</f>
        <v>#REF!</v>
      </c>
      <c r="E43" s="411" t="e">
        <f t="shared" si="0"/>
        <v>#REF!</v>
      </c>
      <c r="F43" s="411" t="e">
        <f t="shared" si="1"/>
        <v>#REF!</v>
      </c>
      <c r="G43" s="411" t="e">
        <f>VLOOKUP(A43,#REF!,8,FALSE)</f>
        <v>#REF!</v>
      </c>
      <c r="H43" s="411" t="e">
        <f>VLOOKUP(A43,#REF!,9,FALSE)</f>
        <v>#REF!</v>
      </c>
      <c r="I43" s="411" t="e">
        <f>VLOOKUP(A43,#REF!,10,FALSE)</f>
        <v>#REF!</v>
      </c>
      <c r="J43" s="412" t="e">
        <f>VLOOKUP(A43,#REF!,11,FALSE)</f>
        <v>#REF!</v>
      </c>
      <c r="K43" s="411" t="e">
        <f t="shared" si="2"/>
        <v>#REF!</v>
      </c>
      <c r="L43" s="411" t="e">
        <f>VLOOKUP($A43,#REF!,13,FALSE)</f>
        <v>#REF!</v>
      </c>
      <c r="M43" s="411" t="e">
        <f>VLOOKUP($A43,#REF!,14,FALSE)</f>
        <v>#REF!</v>
      </c>
      <c r="N43" s="411" t="e">
        <f>VLOOKUP($A43,#REF!,15,FALSE)</f>
        <v>#REF!</v>
      </c>
      <c r="O43" s="412" t="e">
        <f>VLOOKUP($A43,#REF!,16,FALSE)</f>
        <v>#REF!</v>
      </c>
      <c r="P43" s="411" t="e">
        <f>VLOOKUP($A43,#REF!,17,FALSE)</f>
        <v>#REF!</v>
      </c>
      <c r="Q43" s="411" t="e">
        <f>VLOOKUP($A43,#REF!,18,FALSE)</f>
        <v>#REF!</v>
      </c>
      <c r="R43" s="411" t="e">
        <f>VLOOKUP($A43,#REF!,19,FALSE)</f>
        <v>#REF!</v>
      </c>
      <c r="S43" s="411" t="e">
        <f>VLOOKUP($A43,#REF!,20,FALSE)</f>
        <v>#REF!</v>
      </c>
      <c r="T43" s="411" t="e">
        <f>VLOOKUP($A43,#REF!,19,FALSE)</f>
        <v>#REF!</v>
      </c>
      <c r="U43" s="412" t="e">
        <f>VLOOKUP($A43,#REF!,20,FALSE)</f>
        <v>#REF!</v>
      </c>
      <c r="V43" s="7" t="e">
        <f t="shared" si="3"/>
        <v>#REF!</v>
      </c>
      <c r="W43" s="7" t="e">
        <f t="shared" si="4"/>
        <v>#REF!</v>
      </c>
      <c r="X43" s="7" t="e">
        <f t="shared" si="5"/>
        <v>#REF!</v>
      </c>
    </row>
    <row r="44" spans="1:24" x14ac:dyDescent="0.35">
      <c r="A44" s="413" t="s">
        <v>16</v>
      </c>
      <c r="B44" s="414" t="e">
        <f>VLOOKUP('Figure 4 2023'!$A44,#REF!,4,FALSE)</f>
        <v>#REF!</v>
      </c>
      <c r="C44" s="415" t="e">
        <f>VLOOKUP('Figure 4 2023'!$A44,#REF!,5,FALSE)</f>
        <v>#REF!</v>
      </c>
      <c r="D44" s="536" t="e">
        <f>VLOOKUP('Figure 4 2023'!$A44,#REF!,6,FALSE)</f>
        <v>#REF!</v>
      </c>
      <c r="E44" s="416" t="e">
        <f t="shared" si="0"/>
        <v>#REF!</v>
      </c>
      <c r="F44" s="416" t="e">
        <f t="shared" si="1"/>
        <v>#REF!</v>
      </c>
      <c r="G44" s="416" t="e">
        <f>VLOOKUP(A44,#REF!,8,FALSE)</f>
        <v>#REF!</v>
      </c>
      <c r="H44" s="416" t="e">
        <f>VLOOKUP(A44,#REF!,9,FALSE)</f>
        <v>#REF!</v>
      </c>
      <c r="I44" s="416" t="e">
        <f>VLOOKUP(A44,#REF!,10,FALSE)</f>
        <v>#REF!</v>
      </c>
      <c r="J44" s="417" t="e">
        <f>VLOOKUP(A44,#REF!,11,FALSE)</f>
        <v>#REF!</v>
      </c>
      <c r="K44" s="416" t="e">
        <f t="shared" si="2"/>
        <v>#REF!</v>
      </c>
      <c r="L44" s="416" t="e">
        <f>VLOOKUP($A44,#REF!,13,FALSE)</f>
        <v>#REF!</v>
      </c>
      <c r="M44" s="416" t="e">
        <f>VLOOKUP($A44,#REF!,14,FALSE)</f>
        <v>#REF!</v>
      </c>
      <c r="N44" s="416" t="e">
        <f>VLOOKUP($A44,#REF!,15,FALSE)</f>
        <v>#REF!</v>
      </c>
      <c r="O44" s="417" t="e">
        <f>VLOOKUP($A44,#REF!,16,FALSE)</f>
        <v>#REF!</v>
      </c>
      <c r="P44" s="416" t="e">
        <f>VLOOKUP($A44,#REF!,17,FALSE)</f>
        <v>#REF!</v>
      </c>
      <c r="Q44" s="416" t="e">
        <f>VLOOKUP($A44,#REF!,18,FALSE)</f>
        <v>#REF!</v>
      </c>
      <c r="R44" s="416" t="e">
        <f>VLOOKUP($A44,#REF!,19,FALSE)</f>
        <v>#REF!</v>
      </c>
      <c r="S44" s="416" t="e">
        <f>VLOOKUP($A44,#REF!,20,FALSE)</f>
        <v>#REF!</v>
      </c>
      <c r="T44" s="416" t="e">
        <f>VLOOKUP($A44,#REF!,19,FALSE)</f>
        <v>#REF!</v>
      </c>
      <c r="U44" s="417" t="e">
        <f>VLOOKUP($A44,#REF!,20,FALSE)</f>
        <v>#REF!</v>
      </c>
      <c r="V44" s="7" t="e">
        <f t="shared" si="3"/>
        <v>#REF!</v>
      </c>
      <c r="W44" s="7" t="e">
        <f t="shared" si="4"/>
        <v>#REF!</v>
      </c>
      <c r="X44" s="7" t="e">
        <f t="shared" si="5"/>
        <v>#REF!</v>
      </c>
    </row>
    <row r="45" spans="1:24" x14ac:dyDescent="0.35">
      <c r="A45" s="408" t="s">
        <v>20</v>
      </c>
      <c r="B45" s="409" t="e">
        <f>VLOOKUP('Figure 4 2023'!$A45,#REF!,4,FALSE)</f>
        <v>#REF!</v>
      </c>
      <c r="C45" s="410" t="e">
        <f>VLOOKUP('Figure 4 2023'!$A45,#REF!,5,FALSE)</f>
        <v>#REF!</v>
      </c>
      <c r="D45" s="535" t="e">
        <f>VLOOKUP('Figure 4 2023'!$A45,#REF!,6,FALSE)</f>
        <v>#REF!</v>
      </c>
      <c r="E45" s="411" t="e">
        <f t="shared" si="0"/>
        <v>#REF!</v>
      </c>
      <c r="F45" s="411" t="e">
        <f t="shared" si="1"/>
        <v>#REF!</v>
      </c>
      <c r="G45" s="411" t="e">
        <f>VLOOKUP(A45,#REF!,8,FALSE)</f>
        <v>#REF!</v>
      </c>
      <c r="H45" s="411" t="e">
        <f>VLOOKUP(A45,#REF!,9,FALSE)</f>
        <v>#REF!</v>
      </c>
      <c r="I45" s="411" t="e">
        <f>VLOOKUP(A45,#REF!,10,FALSE)</f>
        <v>#REF!</v>
      </c>
      <c r="J45" s="412" t="e">
        <f>VLOOKUP(A45,#REF!,11,FALSE)</f>
        <v>#REF!</v>
      </c>
      <c r="K45" s="411" t="e">
        <f t="shared" si="2"/>
        <v>#REF!</v>
      </c>
      <c r="L45" s="411" t="e">
        <f>VLOOKUP($A45,#REF!,13,FALSE)</f>
        <v>#REF!</v>
      </c>
      <c r="M45" s="411" t="e">
        <f>VLOOKUP($A45,#REF!,14,FALSE)</f>
        <v>#REF!</v>
      </c>
      <c r="N45" s="411" t="e">
        <f>VLOOKUP($A45,#REF!,15,FALSE)</f>
        <v>#REF!</v>
      </c>
      <c r="O45" s="412" t="e">
        <f>VLOOKUP($A45,#REF!,16,FALSE)</f>
        <v>#REF!</v>
      </c>
      <c r="P45" s="411" t="e">
        <f>VLOOKUP($A45,#REF!,17,FALSE)</f>
        <v>#REF!</v>
      </c>
      <c r="Q45" s="411" t="e">
        <f>VLOOKUP($A45,#REF!,18,FALSE)</f>
        <v>#REF!</v>
      </c>
      <c r="R45" s="411" t="e">
        <f>VLOOKUP($A45,#REF!,19,FALSE)</f>
        <v>#REF!</v>
      </c>
      <c r="S45" s="411" t="e">
        <f>VLOOKUP($A45,#REF!,20,FALSE)</f>
        <v>#REF!</v>
      </c>
      <c r="T45" s="411" t="e">
        <f>VLOOKUP($A45,#REF!,19,FALSE)</f>
        <v>#REF!</v>
      </c>
      <c r="U45" s="412" t="e">
        <f>VLOOKUP($A45,#REF!,20,FALSE)</f>
        <v>#REF!</v>
      </c>
      <c r="V45" s="7" t="e">
        <f t="shared" si="3"/>
        <v>#REF!</v>
      </c>
      <c r="W45" s="7" t="e">
        <f t="shared" si="4"/>
        <v>#REF!</v>
      </c>
      <c r="X45" s="7" t="e">
        <f t="shared" si="5"/>
        <v>#REF!</v>
      </c>
    </row>
    <row r="46" spans="1:24" x14ac:dyDescent="0.35">
      <c r="A46" s="413" t="s">
        <v>26</v>
      </c>
      <c r="B46" s="414" t="e">
        <f>VLOOKUP('Figure 4 2023'!$A46,#REF!,4,FALSE)</f>
        <v>#REF!</v>
      </c>
      <c r="C46" s="415" t="e">
        <f>VLOOKUP('Figure 4 2023'!$A46,#REF!,5,FALSE)</f>
        <v>#REF!</v>
      </c>
      <c r="D46" s="536" t="e">
        <f>VLOOKUP('Figure 4 2023'!$A46,#REF!,6,FALSE)</f>
        <v>#REF!</v>
      </c>
      <c r="E46" s="416" t="e">
        <f t="shared" si="0"/>
        <v>#REF!</v>
      </c>
      <c r="F46" s="416" t="e">
        <f t="shared" si="1"/>
        <v>#REF!</v>
      </c>
      <c r="G46" s="416" t="e">
        <f>VLOOKUP(A46,#REF!,8,FALSE)</f>
        <v>#REF!</v>
      </c>
      <c r="H46" s="416" t="e">
        <f>VLOOKUP(A46,#REF!,9,FALSE)</f>
        <v>#REF!</v>
      </c>
      <c r="I46" s="416" t="e">
        <f>VLOOKUP(A46,#REF!,10,FALSE)</f>
        <v>#REF!</v>
      </c>
      <c r="J46" s="417" t="e">
        <f>VLOOKUP(A46,#REF!,11,FALSE)</f>
        <v>#REF!</v>
      </c>
      <c r="K46" s="416" t="e">
        <f t="shared" si="2"/>
        <v>#REF!</v>
      </c>
      <c r="L46" s="416" t="e">
        <f>VLOOKUP($A46,#REF!,13,FALSE)</f>
        <v>#REF!</v>
      </c>
      <c r="M46" s="416" t="e">
        <f>VLOOKUP($A46,#REF!,14,FALSE)</f>
        <v>#REF!</v>
      </c>
      <c r="N46" s="416" t="e">
        <f>VLOOKUP($A46,#REF!,15,FALSE)</f>
        <v>#REF!</v>
      </c>
      <c r="O46" s="417" t="e">
        <f>VLOOKUP($A46,#REF!,16,FALSE)</f>
        <v>#REF!</v>
      </c>
      <c r="P46" s="416" t="e">
        <f>VLOOKUP($A46,#REF!,17,FALSE)</f>
        <v>#REF!</v>
      </c>
      <c r="Q46" s="416" t="e">
        <f>VLOOKUP($A46,#REF!,18,FALSE)</f>
        <v>#REF!</v>
      </c>
      <c r="R46" s="416" t="e">
        <f>VLOOKUP($A46,#REF!,19,FALSE)</f>
        <v>#REF!</v>
      </c>
      <c r="S46" s="416" t="e">
        <f>VLOOKUP($A46,#REF!,20,FALSE)</f>
        <v>#REF!</v>
      </c>
      <c r="T46" s="416" t="e">
        <f>VLOOKUP($A46,#REF!,19,FALSE)</f>
        <v>#REF!</v>
      </c>
      <c r="U46" s="417" t="e">
        <f>VLOOKUP($A46,#REF!,20,FALSE)</f>
        <v>#REF!</v>
      </c>
      <c r="V46" s="7" t="e">
        <f t="shared" si="3"/>
        <v>#REF!</v>
      </c>
      <c r="W46" s="7" t="e">
        <f t="shared" si="4"/>
        <v>#REF!</v>
      </c>
      <c r="X46" s="7" t="e">
        <f t="shared" si="5"/>
        <v>#REF!</v>
      </c>
    </row>
    <row r="47" spans="1:24" x14ac:dyDescent="0.35">
      <c r="A47" s="408" t="s">
        <v>25</v>
      </c>
      <c r="B47" s="409" t="e">
        <f>VLOOKUP('Figure 4 2023'!$A47,#REF!,4,FALSE)</f>
        <v>#REF!</v>
      </c>
      <c r="C47" s="410" t="e">
        <f>VLOOKUP('Figure 4 2023'!$A47,#REF!,5,FALSE)</f>
        <v>#REF!</v>
      </c>
      <c r="D47" s="535" t="e">
        <f>VLOOKUP('Figure 4 2023'!$A47,#REF!,6,FALSE)</f>
        <v>#REF!</v>
      </c>
      <c r="E47" s="411" t="e">
        <f t="shared" si="0"/>
        <v>#REF!</v>
      </c>
      <c r="F47" s="411" t="e">
        <f t="shared" si="1"/>
        <v>#REF!</v>
      </c>
      <c r="G47" s="411" t="e">
        <f>VLOOKUP(A47,#REF!,8,FALSE)</f>
        <v>#REF!</v>
      </c>
      <c r="H47" s="411" t="e">
        <f>VLOOKUP(A47,#REF!,9,FALSE)</f>
        <v>#REF!</v>
      </c>
      <c r="I47" s="411" t="e">
        <f>VLOOKUP(A47,#REF!,10,FALSE)</f>
        <v>#REF!</v>
      </c>
      <c r="J47" s="412" t="e">
        <f>VLOOKUP(A47,#REF!,11,FALSE)</f>
        <v>#REF!</v>
      </c>
      <c r="K47" s="411" t="e">
        <f t="shared" si="2"/>
        <v>#REF!</v>
      </c>
      <c r="L47" s="411" t="e">
        <f>VLOOKUP($A47,#REF!,13,FALSE)</f>
        <v>#REF!</v>
      </c>
      <c r="M47" s="411" t="e">
        <f>VLOOKUP($A47,#REF!,14,FALSE)</f>
        <v>#REF!</v>
      </c>
      <c r="N47" s="411" t="e">
        <f>VLOOKUP($A47,#REF!,15,FALSE)</f>
        <v>#REF!</v>
      </c>
      <c r="O47" s="412" t="e">
        <f>VLOOKUP($A47,#REF!,16,FALSE)</f>
        <v>#REF!</v>
      </c>
      <c r="P47" s="411" t="e">
        <f>VLOOKUP($A47,#REF!,17,FALSE)</f>
        <v>#REF!</v>
      </c>
      <c r="Q47" s="411" t="e">
        <f>VLOOKUP($A47,#REF!,18,FALSE)</f>
        <v>#REF!</v>
      </c>
      <c r="R47" s="411" t="e">
        <f>VLOOKUP($A47,#REF!,19,FALSE)</f>
        <v>#REF!</v>
      </c>
      <c r="S47" s="411" t="e">
        <f>VLOOKUP($A47,#REF!,20,FALSE)</f>
        <v>#REF!</v>
      </c>
      <c r="T47" s="411" t="e">
        <f>VLOOKUP($A47,#REF!,19,FALSE)</f>
        <v>#REF!</v>
      </c>
      <c r="U47" s="412" t="e">
        <f>VLOOKUP($A47,#REF!,20,FALSE)</f>
        <v>#REF!</v>
      </c>
      <c r="V47" s="7" t="e">
        <f t="shared" si="3"/>
        <v>#REF!</v>
      </c>
      <c r="W47" s="7" t="e">
        <f t="shared" si="4"/>
        <v>#REF!</v>
      </c>
      <c r="X47" s="7" t="e">
        <f t="shared" si="5"/>
        <v>#REF!</v>
      </c>
    </row>
    <row r="48" spans="1:24" x14ac:dyDescent="0.35">
      <c r="A48" s="413" t="s">
        <v>31</v>
      </c>
      <c r="B48" s="414" t="e">
        <f>VLOOKUP('Figure 4 2023'!$A48,#REF!,4,FALSE)</f>
        <v>#REF!</v>
      </c>
      <c r="C48" s="415" t="e">
        <f>VLOOKUP('Figure 4 2023'!$A48,#REF!,5,FALSE)</f>
        <v>#REF!</v>
      </c>
      <c r="D48" s="536" t="e">
        <f>VLOOKUP('Figure 4 2023'!$A48,#REF!,6,FALSE)</f>
        <v>#REF!</v>
      </c>
      <c r="E48" s="416" t="e">
        <f t="shared" si="0"/>
        <v>#REF!</v>
      </c>
      <c r="F48" s="416" t="e">
        <f t="shared" si="1"/>
        <v>#REF!</v>
      </c>
      <c r="G48" s="416" t="e">
        <f>VLOOKUP(A48,#REF!,8,FALSE)</f>
        <v>#REF!</v>
      </c>
      <c r="H48" s="416" t="e">
        <f>VLOOKUP(A48,#REF!,9,FALSE)</f>
        <v>#REF!</v>
      </c>
      <c r="I48" s="416" t="e">
        <f>VLOOKUP(A48,#REF!,10,FALSE)</f>
        <v>#REF!</v>
      </c>
      <c r="J48" s="417" t="e">
        <f>VLOOKUP(A48,#REF!,11,FALSE)</f>
        <v>#REF!</v>
      </c>
      <c r="K48" s="416" t="e">
        <f t="shared" si="2"/>
        <v>#REF!</v>
      </c>
      <c r="L48" s="416" t="e">
        <f>VLOOKUP($A48,#REF!,13,FALSE)</f>
        <v>#REF!</v>
      </c>
      <c r="M48" s="416" t="e">
        <f>VLOOKUP($A48,#REF!,14,FALSE)</f>
        <v>#REF!</v>
      </c>
      <c r="N48" s="416" t="e">
        <f>VLOOKUP($A48,#REF!,15,FALSE)</f>
        <v>#REF!</v>
      </c>
      <c r="O48" s="417" t="e">
        <f>VLOOKUP($A48,#REF!,16,FALSE)</f>
        <v>#REF!</v>
      </c>
      <c r="P48" s="416" t="e">
        <f>VLOOKUP($A48,#REF!,17,FALSE)</f>
        <v>#REF!</v>
      </c>
      <c r="Q48" s="416" t="e">
        <f>VLOOKUP($A48,#REF!,18,FALSE)</f>
        <v>#REF!</v>
      </c>
      <c r="R48" s="416" t="e">
        <f>VLOOKUP($A48,#REF!,19,FALSE)</f>
        <v>#REF!</v>
      </c>
      <c r="S48" s="416" t="e">
        <f>VLOOKUP($A48,#REF!,20,FALSE)</f>
        <v>#REF!</v>
      </c>
      <c r="T48" s="416" t="e">
        <f>VLOOKUP($A48,#REF!,19,FALSE)</f>
        <v>#REF!</v>
      </c>
      <c r="U48" s="417" t="e">
        <f>VLOOKUP($A48,#REF!,20,FALSE)</f>
        <v>#REF!</v>
      </c>
      <c r="V48" s="7" t="e">
        <f t="shared" si="3"/>
        <v>#REF!</v>
      </c>
      <c r="W48" s="7" t="e">
        <f t="shared" si="4"/>
        <v>#REF!</v>
      </c>
      <c r="X48" s="7" t="e">
        <f t="shared" si="5"/>
        <v>#REF!</v>
      </c>
    </row>
    <row r="49" spans="1:36" x14ac:dyDescent="0.35">
      <c r="A49" s="408" t="s">
        <v>14</v>
      </c>
      <c r="B49" s="409" t="e">
        <f>VLOOKUP('Figure 4 2023'!$A49,#REF!,4,FALSE)</f>
        <v>#REF!</v>
      </c>
      <c r="C49" s="410" t="e">
        <f>VLOOKUP('Figure 4 2023'!$A49,#REF!,5,FALSE)</f>
        <v>#REF!</v>
      </c>
      <c r="D49" s="535" t="e">
        <f>VLOOKUP('Figure 4 2023'!$A49,#REF!,6,FALSE)</f>
        <v>#REF!</v>
      </c>
      <c r="E49" s="411" t="e">
        <f t="shared" si="0"/>
        <v>#REF!</v>
      </c>
      <c r="F49" s="411" t="e">
        <f t="shared" si="1"/>
        <v>#REF!</v>
      </c>
      <c r="G49" s="411" t="e">
        <f>VLOOKUP(A49,#REF!,8,FALSE)</f>
        <v>#REF!</v>
      </c>
      <c r="H49" s="411" t="e">
        <f>VLOOKUP(A49,#REF!,9,FALSE)</f>
        <v>#REF!</v>
      </c>
      <c r="I49" s="411" t="e">
        <f>VLOOKUP(A49,#REF!,10,FALSE)</f>
        <v>#REF!</v>
      </c>
      <c r="J49" s="412" t="e">
        <f>VLOOKUP(A49,#REF!,11,FALSE)</f>
        <v>#REF!</v>
      </c>
      <c r="K49" s="411" t="e">
        <f t="shared" si="2"/>
        <v>#REF!</v>
      </c>
      <c r="L49" s="411" t="e">
        <f>VLOOKUP($A49,#REF!,13,FALSE)</f>
        <v>#REF!</v>
      </c>
      <c r="M49" s="411" t="e">
        <f>VLOOKUP($A49,#REF!,14,FALSE)</f>
        <v>#REF!</v>
      </c>
      <c r="N49" s="411" t="e">
        <f>VLOOKUP($A49,#REF!,15,FALSE)</f>
        <v>#REF!</v>
      </c>
      <c r="O49" s="412" t="e">
        <f>VLOOKUP($A49,#REF!,16,FALSE)</f>
        <v>#REF!</v>
      </c>
      <c r="P49" s="411" t="e">
        <f>VLOOKUP($A49,#REF!,17,FALSE)</f>
        <v>#REF!</v>
      </c>
      <c r="Q49" s="411" t="e">
        <f>VLOOKUP($A49,#REF!,18,FALSE)</f>
        <v>#REF!</v>
      </c>
      <c r="R49" s="411" t="e">
        <f>VLOOKUP($A49,#REF!,19,FALSE)</f>
        <v>#REF!</v>
      </c>
      <c r="S49" s="411" t="e">
        <f>VLOOKUP($A49,#REF!,20,FALSE)</f>
        <v>#REF!</v>
      </c>
      <c r="T49" s="411" t="e">
        <f>VLOOKUP($A49,#REF!,19,FALSE)</f>
        <v>#REF!</v>
      </c>
      <c r="U49" s="412" t="e">
        <f>VLOOKUP($A49,#REF!,20,FALSE)</f>
        <v>#REF!</v>
      </c>
      <c r="V49" s="7" t="e">
        <f t="shared" si="3"/>
        <v>#REF!</v>
      </c>
      <c r="W49" s="7" t="e">
        <f t="shared" si="4"/>
        <v>#REF!</v>
      </c>
      <c r="X49" s="7" t="e">
        <f t="shared" si="5"/>
        <v>#REF!</v>
      </c>
    </row>
    <row r="50" spans="1:36" x14ac:dyDescent="0.35">
      <c r="A50" s="418" t="s">
        <v>22</v>
      </c>
      <c r="B50" s="419" t="e">
        <f>VLOOKUP('Figure 4 2023'!$A50,#REF!,4,FALSE)</f>
        <v>#REF!</v>
      </c>
      <c r="C50" s="420" t="e">
        <f>VLOOKUP('Figure 4 2023'!$A50,#REF!,5,FALSE)</f>
        <v>#REF!</v>
      </c>
      <c r="D50" s="537" t="e">
        <f>VLOOKUP('Figure 4 2023'!$A50,#REF!,6,FALSE)</f>
        <v>#REF!</v>
      </c>
      <c r="E50" s="421" t="e">
        <f t="shared" si="0"/>
        <v>#REF!</v>
      </c>
      <c r="F50" s="421" t="e">
        <f t="shared" si="1"/>
        <v>#REF!</v>
      </c>
      <c r="G50" s="421" t="e">
        <f>VLOOKUP(A50,#REF!,8,FALSE)</f>
        <v>#REF!</v>
      </c>
      <c r="H50" s="421" t="e">
        <f>VLOOKUP(A50,#REF!,9,FALSE)</f>
        <v>#REF!</v>
      </c>
      <c r="I50" s="421" t="e">
        <f>VLOOKUP(A50,#REF!,10,FALSE)</f>
        <v>#REF!</v>
      </c>
      <c r="J50" s="422" t="e">
        <f>VLOOKUP(A50,#REF!,11,FALSE)</f>
        <v>#REF!</v>
      </c>
      <c r="K50" s="421" t="e">
        <f t="shared" si="2"/>
        <v>#REF!</v>
      </c>
      <c r="L50" s="421" t="e">
        <f>VLOOKUP($A50,#REF!,13,FALSE)</f>
        <v>#REF!</v>
      </c>
      <c r="M50" s="421" t="e">
        <f>VLOOKUP($A50,#REF!,14,FALSE)</f>
        <v>#REF!</v>
      </c>
      <c r="N50" s="421" t="e">
        <f>VLOOKUP($A50,#REF!,15,FALSE)</f>
        <v>#REF!</v>
      </c>
      <c r="O50" s="422" t="e">
        <f>VLOOKUP($A50,#REF!,16,FALSE)</f>
        <v>#REF!</v>
      </c>
      <c r="P50" s="421" t="e">
        <f>VLOOKUP($A50,#REF!,17,FALSE)</f>
        <v>#REF!</v>
      </c>
      <c r="Q50" s="421" t="e">
        <f>VLOOKUP($A50,#REF!,18,FALSE)</f>
        <v>#REF!</v>
      </c>
      <c r="R50" s="421" t="e">
        <f>VLOOKUP($A50,#REF!,19,FALSE)</f>
        <v>#REF!</v>
      </c>
      <c r="S50" s="421" t="e">
        <f>VLOOKUP($A50,#REF!,20,FALSE)</f>
        <v>#REF!</v>
      </c>
      <c r="T50" s="421" t="e">
        <f>VLOOKUP($A50,#REF!,19,FALSE)</f>
        <v>#REF!</v>
      </c>
      <c r="U50" s="422" t="e">
        <f>VLOOKUP($A50,#REF!,20,FALSE)</f>
        <v>#REF!</v>
      </c>
      <c r="V50" s="7" t="e">
        <f t="shared" si="3"/>
        <v>#REF!</v>
      </c>
      <c r="W50" s="7" t="e">
        <f t="shared" si="4"/>
        <v>#REF!</v>
      </c>
      <c r="X50" s="7" t="e">
        <f t="shared" si="5"/>
        <v>#REF!</v>
      </c>
    </row>
    <row r="51" spans="1:36" x14ac:dyDescent="0.35">
      <c r="A51">
        <v>1</v>
      </c>
      <c r="B51">
        <f>+A51+1</f>
        <v>2</v>
      </c>
      <c r="C51">
        <f t="shared" ref="C51:U51" si="6">+B51+1</f>
        <v>3</v>
      </c>
      <c r="D51">
        <f t="shared" si="6"/>
        <v>4</v>
      </c>
      <c r="E51">
        <f t="shared" si="6"/>
        <v>5</v>
      </c>
      <c r="F51">
        <f t="shared" si="6"/>
        <v>6</v>
      </c>
      <c r="G51">
        <f t="shared" si="6"/>
        <v>7</v>
      </c>
      <c r="H51">
        <f t="shared" si="6"/>
        <v>8</v>
      </c>
      <c r="I51">
        <f t="shared" si="6"/>
        <v>9</v>
      </c>
      <c r="J51">
        <f t="shared" si="6"/>
        <v>10</v>
      </c>
      <c r="K51">
        <f t="shared" si="6"/>
        <v>11</v>
      </c>
      <c r="L51">
        <f t="shared" si="6"/>
        <v>12</v>
      </c>
      <c r="M51">
        <f t="shared" si="6"/>
        <v>13</v>
      </c>
      <c r="N51">
        <f t="shared" si="6"/>
        <v>14</v>
      </c>
      <c r="O51">
        <f t="shared" si="6"/>
        <v>15</v>
      </c>
      <c r="P51">
        <f t="shared" si="6"/>
        <v>16</v>
      </c>
      <c r="Q51">
        <f t="shared" si="6"/>
        <v>17</v>
      </c>
      <c r="R51">
        <f t="shared" si="6"/>
        <v>18</v>
      </c>
      <c r="S51">
        <f t="shared" si="6"/>
        <v>19</v>
      </c>
      <c r="T51">
        <f t="shared" si="6"/>
        <v>20</v>
      </c>
      <c r="U51">
        <f t="shared" si="6"/>
        <v>21</v>
      </c>
      <c r="V51" s="7" t="e">
        <f>+AVERAGE(V31:V50)</f>
        <v>#REF!</v>
      </c>
      <c r="W51" s="7" t="e">
        <f>+AVERAGE(W31:W50)</f>
        <v>#REF!</v>
      </c>
      <c r="X51" s="7" t="e">
        <f t="shared" si="5"/>
        <v>#REF!</v>
      </c>
    </row>
    <row r="52" spans="1:36" x14ac:dyDescent="0.35">
      <c r="K52" s="56"/>
      <c r="L52" s="56"/>
      <c r="M52" s="56"/>
      <c r="N52" s="56"/>
      <c r="O52" s="56"/>
    </row>
    <row r="53" spans="1:36" ht="15" customHeight="1" x14ac:dyDescent="0.35">
      <c r="D53" s="961" t="s">
        <v>69</v>
      </c>
      <c r="E53" s="961"/>
      <c r="F53" s="961" t="s">
        <v>70</v>
      </c>
      <c r="G53" s="961"/>
    </row>
    <row r="54" spans="1:36" ht="28.5" customHeight="1" x14ac:dyDescent="0.35">
      <c r="A54" s="493" t="s">
        <v>169</v>
      </c>
      <c r="B54" s="396" t="s">
        <v>60</v>
      </c>
      <c r="C54" s="396" t="s">
        <v>68</v>
      </c>
      <c r="D54" s="396" t="s">
        <v>82</v>
      </c>
      <c r="E54" s="396" t="s">
        <v>83</v>
      </c>
      <c r="F54" s="396" t="s">
        <v>84</v>
      </c>
      <c r="G54" s="396" t="s">
        <v>85</v>
      </c>
      <c r="H54" s="397" t="s">
        <v>86</v>
      </c>
      <c r="O54" s="426"/>
      <c r="P54" s="426"/>
      <c r="Q54" s="25"/>
      <c r="R54" s="426"/>
      <c r="T54" s="426"/>
      <c r="AA54" s="7">
        <f>+AVERAGE(AA57,AA59,AA61,AA63,AA65,AA67,AA69,AA71,AA73,AA75,AA77,AA79,AA81,AA83,AA85,AA87,AA89,AA91,AA93,AA95,13.7%)</f>
        <v>0.38500330977982844</v>
      </c>
      <c r="AB54" s="25"/>
      <c r="AC54" s="25"/>
      <c r="AD54" s="25"/>
      <c r="AE54" s="25"/>
      <c r="AF54" s="25"/>
    </row>
    <row r="55" spans="1:36" ht="15" customHeight="1" x14ac:dyDescent="0.35">
      <c r="A55" s="494" t="s">
        <v>27</v>
      </c>
      <c r="B55" s="411" t="e">
        <f>+D39/B39</f>
        <v>#REF!</v>
      </c>
      <c r="C55" s="411" t="e">
        <f>(VLOOKUP('Figure 4 2023'!$A55,$A$28:$O$50,6,FALSE)+(VLOOKUP('Figure 4 2023'!$A55,$A$28:$O$51,11,FALSE)))</f>
        <v>#REF!</v>
      </c>
      <c r="D55" s="411" t="e">
        <f>VLOOKUP('Figure 4 2023'!$A55,$A$28:$Q$50,16,FALSE)</f>
        <v>#REF!</v>
      </c>
      <c r="E55" s="411" t="e">
        <f>VLOOKUP('Figure 4 2023'!$A55,$A$28:$Q$50,17,FALSE)</f>
        <v>#REF!</v>
      </c>
      <c r="F55" s="411" t="e">
        <f>VLOOKUP('Figure 4 2023'!$A55,$A$28:$U$50,20,FALSE)</f>
        <v>#REF!</v>
      </c>
      <c r="G55" s="411" t="e">
        <f>VLOOKUP('Figure 4 2023'!$A55,$A$28:$U$50,21,FALSE)</f>
        <v>#REF!</v>
      </c>
      <c r="H55" s="495" t="e">
        <f>+G55+F55+E55+D55+C55+B55</f>
        <v>#REF!</v>
      </c>
      <c r="I55" s="9" t="e">
        <f>+B55/H55</f>
        <v>#REF!</v>
      </c>
      <c r="J55" s="30" t="e">
        <f t="shared" ref="J55:J74" si="7">1-I55</f>
        <v>#REF!</v>
      </c>
      <c r="K55" s="2" t="e">
        <f>+I55+J55</f>
        <v>#REF!</v>
      </c>
      <c r="P55" s="428"/>
      <c r="Q55" s="25"/>
      <c r="R55" s="428"/>
      <c r="T55" s="428"/>
      <c r="V55" s="2"/>
      <c r="AB55" s="25"/>
      <c r="AC55" s="25"/>
      <c r="AD55" s="25"/>
      <c r="AE55" s="25"/>
      <c r="AF55" s="25"/>
    </row>
    <row r="56" spans="1:36" ht="16" x14ac:dyDescent="0.4">
      <c r="A56" s="496" t="s">
        <v>20</v>
      </c>
      <c r="B56" s="416" t="e">
        <f>+D45/B45</f>
        <v>#REF!</v>
      </c>
      <c r="C56" s="416" t="e">
        <f>(VLOOKUP('Figure 4 2023'!$A56,$A$28:$O$50,6,FALSE)+(VLOOKUP('Figure 4 2023'!$A56,$A$28:$O$51,11,FALSE)))</f>
        <v>#REF!</v>
      </c>
      <c r="D56" s="416" t="e">
        <f>VLOOKUP('Figure 4 2023'!$A56,$A$28:$Q$50,16,FALSE)</f>
        <v>#REF!</v>
      </c>
      <c r="E56" s="416" t="e">
        <f>VLOOKUP('Figure 4 2023'!$A56,$A$28:$Q$50,17,FALSE)</f>
        <v>#REF!</v>
      </c>
      <c r="F56" s="416" t="e">
        <f>VLOOKUP('Figure 4 2023'!$A56,$A$28:$U$50,20,FALSE)</f>
        <v>#REF!</v>
      </c>
      <c r="G56" s="416" t="e">
        <f>VLOOKUP('Figure 4 2023'!$A56,$A$28:$U$50,21,FALSE)</f>
        <v>#REF!</v>
      </c>
      <c r="H56" s="497" t="e">
        <f t="shared" ref="H56:H74" si="8">+G56+F56+E56+D56+C56+B56</f>
        <v>#REF!</v>
      </c>
      <c r="I56" s="9" t="e">
        <f>+B56/H56</f>
        <v>#REF!</v>
      </c>
      <c r="J56" s="30" t="e">
        <f t="shared" si="7"/>
        <v>#REF!</v>
      </c>
      <c r="K56" s="2" t="e">
        <f t="shared" ref="K56:K74" si="9">+I56+J56</f>
        <v>#REF!</v>
      </c>
      <c r="L56" s="7"/>
      <c r="S56" t="s">
        <v>178</v>
      </c>
      <c r="U56" s="480" t="s">
        <v>60</v>
      </c>
      <c r="V56" s="480" t="s">
        <v>68</v>
      </c>
      <c r="W56" s="480" t="s">
        <v>82</v>
      </c>
      <c r="X56" s="480" t="s">
        <v>83</v>
      </c>
      <c r="Y56" s="480" t="s">
        <v>84</v>
      </c>
      <c r="Z56" s="480" t="s">
        <v>85</v>
      </c>
      <c r="AA56" s="527"/>
      <c r="AD56" s="424"/>
      <c r="AE56" s="424"/>
      <c r="AF56" s="424"/>
    </row>
    <row r="57" spans="1:36" hidden="1" x14ac:dyDescent="0.35">
      <c r="A57" s="494" t="s">
        <v>23</v>
      </c>
      <c r="B57" s="411" t="e">
        <f>+D42/B42</f>
        <v>#REF!</v>
      </c>
      <c r="C57" s="411" t="e">
        <f>(VLOOKUP('Figure 4 2023'!$A57,$A$28:$O$50,6,FALSE)+(VLOOKUP('Figure 4 2023'!$A57,$A$28:$O$51,11,FALSE)))</f>
        <v>#REF!</v>
      </c>
      <c r="D57" s="411" t="e">
        <f>VLOOKUP('Figure 4 2023'!$A57,$A$28:$Q$50,16,FALSE)</f>
        <v>#REF!</v>
      </c>
      <c r="E57" s="411" t="e">
        <f>VLOOKUP('Figure 4 2023'!$A57,$A$28:$Q$50,17,FALSE)</f>
        <v>#REF!</v>
      </c>
      <c r="F57" s="411" t="e">
        <f>VLOOKUP('Figure 4 2023'!$A57,$A$28:$U$50,20,FALSE)</f>
        <v>#REF!</v>
      </c>
      <c r="G57" s="411" t="e">
        <f>VLOOKUP('Figure 4 2023'!$A57,$A$28:$U$50,21,FALSE)</f>
        <v>#REF!</v>
      </c>
      <c r="H57" s="495" t="e">
        <f t="shared" si="8"/>
        <v>#REF!</v>
      </c>
      <c r="I57" s="9" t="e">
        <f t="shared" ref="I57:I74" si="10">+B57/H57</f>
        <v>#REF!</v>
      </c>
      <c r="J57" s="30" t="e">
        <f t="shared" si="7"/>
        <v>#REF!</v>
      </c>
      <c r="K57" s="2" t="e">
        <f t="shared" si="9"/>
        <v>#REF!</v>
      </c>
      <c r="S57" s="479" t="s">
        <v>27</v>
      </c>
      <c r="T57" s="433">
        <v>2013</v>
      </c>
      <c r="U57" s="436">
        <v>0.60360037170655934</v>
      </c>
      <c r="V57" s="436">
        <v>4.6477228621405076E-2</v>
      </c>
      <c r="W57" s="436">
        <v>9.9276376925420948E-2</v>
      </c>
      <c r="X57" s="436">
        <v>3.309212564180699E-2</v>
      </c>
      <c r="Y57" s="436">
        <v>4.9638188462710481E-2</v>
      </c>
      <c r="Z57" s="436">
        <v>9.9276376925420944E-3</v>
      </c>
      <c r="AA57" s="529">
        <v>0.84201192905044497</v>
      </c>
      <c r="AC57" s="440"/>
      <c r="AD57" s="424"/>
      <c r="AE57" s="424"/>
      <c r="AF57" s="424"/>
    </row>
    <row r="58" spans="1:36" x14ac:dyDescent="0.35">
      <c r="A58" s="496" t="s">
        <v>21</v>
      </c>
      <c r="B58" s="416" t="e">
        <f>+D38/B38</f>
        <v>#REF!</v>
      </c>
      <c r="C58" s="416" t="e">
        <f>(VLOOKUP('Figure 4 2023'!$A58,$A$28:$O$50,6,FALSE)+(VLOOKUP('Figure 4 2023'!$A58,$A$28:$O$51,11,FALSE)))</f>
        <v>#REF!</v>
      </c>
      <c r="D58" s="416" t="e">
        <f>VLOOKUP('Figure 4 2023'!$A58,$A$28:$Q$50,16,FALSE)</f>
        <v>#REF!</v>
      </c>
      <c r="E58" s="416" t="e">
        <f>VLOOKUP('Figure 4 2023'!$A58,$A$28:$Q$50,17,FALSE)</f>
        <v>#REF!</v>
      </c>
      <c r="F58" s="416" t="e">
        <f>VLOOKUP('Figure 4 2023'!$A58,$A$28:$U$50,20,FALSE)</f>
        <v>#REF!</v>
      </c>
      <c r="G58" s="416" t="e">
        <f>VLOOKUP('Figure 4 2023'!$A58,$A$28:$U$50,21,FALSE)</f>
        <v>#REF!</v>
      </c>
      <c r="H58" s="497" t="e">
        <f t="shared" si="8"/>
        <v>#REF!</v>
      </c>
      <c r="I58" s="9" t="e">
        <f>+B58/H58</f>
        <v>#REF!</v>
      </c>
      <c r="J58" s="30" t="e">
        <f t="shared" si="7"/>
        <v>#REF!</v>
      </c>
      <c r="K58" s="2" t="e">
        <f t="shared" si="9"/>
        <v>#REF!</v>
      </c>
      <c r="R58" s="2">
        <f>+U58-U57</f>
        <v>0.22918773274890558</v>
      </c>
      <c r="S58" s="479" t="s">
        <v>27</v>
      </c>
      <c r="T58" s="433">
        <v>2023</v>
      </c>
      <c r="U58" s="436">
        <v>0.83278810445546492</v>
      </c>
      <c r="V58" s="436">
        <v>6.4124684043070798E-2</v>
      </c>
      <c r="W58" s="436">
        <v>0.138825777012726</v>
      </c>
      <c r="X58" s="436">
        <v>4.6266005803081385E-2</v>
      </c>
      <c r="Y58" s="436">
        <v>6.9371249101140217E-2</v>
      </c>
      <c r="Z58" s="436">
        <v>1.3879801740924414E-2</v>
      </c>
      <c r="AA58" s="529">
        <v>1.1652556221564079</v>
      </c>
      <c r="AB58" s="2">
        <f>+SUM(U58:Z58)-SUM(U57:Z57)</f>
        <v>0.3232436931059629</v>
      </c>
      <c r="AD58" s="944" t="s">
        <v>179</v>
      </c>
      <c r="AE58" s="944"/>
      <c r="AF58" s="944"/>
      <c r="AG58" s="944"/>
      <c r="AH58" s="944"/>
      <c r="AI58" s="944"/>
      <c r="AJ58" s="944"/>
    </row>
    <row r="59" spans="1:36" hidden="1" x14ac:dyDescent="0.35">
      <c r="A59" s="494" t="s">
        <v>13</v>
      </c>
      <c r="B59" s="411" t="e">
        <f>+D32/B32</f>
        <v>#REF!</v>
      </c>
      <c r="C59" s="411" t="e">
        <f>(VLOOKUP('Figure 4 2023'!$A59,$A$28:$O$50,6,FALSE)+(VLOOKUP('Figure 4 2023'!$A59,$A$28:$O$51,11,FALSE)))</f>
        <v>#REF!</v>
      </c>
      <c r="D59" s="411" t="e">
        <f>VLOOKUP('Figure 4 2023'!$A59,$A$28:$Q$50,16,FALSE)</f>
        <v>#REF!</v>
      </c>
      <c r="E59" s="411" t="e">
        <f>VLOOKUP('Figure 4 2023'!$A59,$A$28:$Q$50,17,FALSE)</f>
        <v>#REF!</v>
      </c>
      <c r="F59" s="411" t="e">
        <f>VLOOKUP('Figure 4 2023'!$A59,$A$28:$U$50,20,FALSE)</f>
        <v>#REF!</v>
      </c>
      <c r="G59" s="411" t="e">
        <f>VLOOKUP('Figure 4 2023'!$A59,$A$28:$U$50,21,FALSE)</f>
        <v>#REF!</v>
      </c>
      <c r="H59" s="495" t="e">
        <f t="shared" si="8"/>
        <v>#REF!</v>
      </c>
      <c r="I59" s="9" t="e">
        <f t="shared" si="10"/>
        <v>#REF!</v>
      </c>
      <c r="J59" s="30" t="e">
        <f t="shared" si="7"/>
        <v>#REF!</v>
      </c>
      <c r="K59" s="2" t="e">
        <f t="shared" si="9"/>
        <v>#REF!</v>
      </c>
      <c r="R59" s="514">
        <f>+R58/AB58</f>
        <v>0.7090246078638115</v>
      </c>
      <c r="S59" s="479" t="s">
        <v>20</v>
      </c>
      <c r="T59" s="433">
        <v>2013</v>
      </c>
      <c r="U59" s="436">
        <v>0.44313576244271946</v>
      </c>
      <c r="V59" s="436">
        <v>0.10746042239235946</v>
      </c>
      <c r="W59" s="436">
        <v>3.6442085727197322E-2</v>
      </c>
      <c r="X59" s="436">
        <v>3.6442085727197322E-2</v>
      </c>
      <c r="Y59" s="436">
        <v>1.4637870764613248E-2</v>
      </c>
      <c r="Z59" s="436">
        <v>8.782722458767947E-3</v>
      </c>
      <c r="AA59" s="529">
        <v>0.64690094951285471</v>
      </c>
      <c r="AC59" t="s">
        <v>180</v>
      </c>
      <c r="AD59" s="424" t="s">
        <v>60</v>
      </c>
      <c r="AE59" s="424" t="s">
        <v>181</v>
      </c>
      <c r="AF59" s="424" t="s">
        <v>82</v>
      </c>
      <c r="AG59" s="453" t="s">
        <v>83</v>
      </c>
      <c r="AH59" s="453" t="s">
        <v>182</v>
      </c>
      <c r="AI59" s="453" t="s">
        <v>183</v>
      </c>
      <c r="AJ59" s="453" t="s">
        <v>183</v>
      </c>
    </row>
    <row r="60" spans="1:36" x14ac:dyDescent="0.35">
      <c r="A60" s="496" t="s">
        <v>18</v>
      </c>
      <c r="B60" s="416" t="e">
        <f>+D36/B36</f>
        <v>#REF!</v>
      </c>
      <c r="C60" s="416" t="e">
        <f>(VLOOKUP('Figure 4 2023'!$A60,$A$28:$O$50,6,FALSE)+(VLOOKUP('Figure 4 2023'!$A60,$A$28:$O$51,11,FALSE)))</f>
        <v>#REF!</v>
      </c>
      <c r="D60" s="416" t="e">
        <f>VLOOKUP('Figure 4 2023'!$A60,$A$28:$Q$50,16,FALSE)</f>
        <v>#REF!</v>
      </c>
      <c r="E60" s="416" t="e">
        <f>VLOOKUP('Figure 4 2023'!$A60,$A$28:$Q$50,17,FALSE)</f>
        <v>#REF!</v>
      </c>
      <c r="F60" s="416" t="e">
        <f>VLOOKUP('Figure 4 2023'!$A60,$A$28:$U$50,20,FALSE)</f>
        <v>#REF!</v>
      </c>
      <c r="G60" s="416" t="e">
        <f>VLOOKUP('Figure 4 2023'!$A60,$A$28:$U$50,21,FALSE)</f>
        <v>#REF!</v>
      </c>
      <c r="H60" s="497" t="e">
        <f t="shared" si="8"/>
        <v>#REF!</v>
      </c>
      <c r="I60" s="9" t="e">
        <f t="shared" si="10"/>
        <v>#REF!</v>
      </c>
      <c r="J60" s="30" t="e">
        <f t="shared" si="7"/>
        <v>#REF!</v>
      </c>
      <c r="K60" s="2" t="e">
        <f t="shared" si="9"/>
        <v>#REF!</v>
      </c>
      <c r="R60" s="2">
        <f>+U60-U59</f>
        <v>0.1038616938955399</v>
      </c>
      <c r="S60" s="479" t="s">
        <v>13</v>
      </c>
      <c r="T60" s="433">
        <v>2023</v>
      </c>
      <c r="U60" s="436">
        <v>0.54699745633825936</v>
      </c>
      <c r="V60" s="436">
        <v>0.13357677883780295</v>
      </c>
      <c r="W60" s="436">
        <v>9.1166242723043231E-2</v>
      </c>
      <c r="X60" s="436">
        <v>3.038874757434774E-2</v>
      </c>
      <c r="Y60" s="436">
        <v>4.5564888112977001E-2</v>
      </c>
      <c r="Z60" s="436">
        <v>2.7349872816912969E-2</v>
      </c>
      <c r="AA60" s="529">
        <v>0.87504398640334313</v>
      </c>
      <c r="AB60" s="2">
        <f>+SUM(U60:Z60)-SUM(U59:Z59)</f>
        <v>0.22814303689048843</v>
      </c>
      <c r="AC60" t="s">
        <v>20</v>
      </c>
      <c r="AD60" s="424"/>
      <c r="AE60" s="424"/>
      <c r="AF60" s="424"/>
    </row>
    <row r="61" spans="1:36" hidden="1" x14ac:dyDescent="0.35">
      <c r="A61" s="494" t="s">
        <v>17</v>
      </c>
      <c r="B61" s="411" t="e">
        <f>+D37/B37</f>
        <v>#REF!</v>
      </c>
      <c r="C61" s="411" t="e">
        <f>(VLOOKUP('Figure 4 2023'!$A61,$A$28:$O$50,6,FALSE)+(VLOOKUP('Figure 4 2023'!$A61,$A$28:$O$51,11,FALSE)))</f>
        <v>#REF!</v>
      </c>
      <c r="D61" s="411" t="e">
        <f>VLOOKUP('Figure 4 2023'!$A61,$A$28:$Q$50,16,FALSE)</f>
        <v>#REF!</v>
      </c>
      <c r="E61" s="411" t="e">
        <f>VLOOKUP('Figure 4 2023'!$A61,$A$28:$Q$50,17,FALSE)</f>
        <v>#REF!</v>
      </c>
      <c r="F61" s="411" t="e">
        <f>VLOOKUP('Figure 4 2023'!$A61,$A$28:$U$50,20,FALSE)</f>
        <v>#REF!</v>
      </c>
      <c r="G61" s="411" t="e">
        <f>VLOOKUP('Figure 4 2023'!$A61,$A$28:$U$50,21,FALSE)</f>
        <v>#REF!</v>
      </c>
      <c r="H61" s="495" t="e">
        <f t="shared" si="8"/>
        <v>#REF!</v>
      </c>
      <c r="I61" s="9" t="e">
        <f t="shared" si="10"/>
        <v>#REF!</v>
      </c>
      <c r="J61" s="30" t="e">
        <f t="shared" si="7"/>
        <v>#REF!</v>
      </c>
      <c r="K61" s="2" t="e">
        <f t="shared" si="9"/>
        <v>#REF!</v>
      </c>
      <c r="R61" s="514">
        <f>+R60/AB60</f>
        <v>0.45524814305594974</v>
      </c>
      <c r="S61" s="479" t="s">
        <v>23</v>
      </c>
      <c r="T61" s="433">
        <v>2013</v>
      </c>
      <c r="U61" s="436">
        <v>0.43611853942482925</v>
      </c>
      <c r="V61" s="436">
        <v>0.10647565299861668</v>
      </c>
      <c r="W61" s="436">
        <v>3.584535940478048E-2</v>
      </c>
      <c r="X61" s="436">
        <v>3.584535940478048E-2</v>
      </c>
      <c r="Y61" s="436">
        <v>3.1065978150809755E-2</v>
      </c>
      <c r="Z61" s="436">
        <v>0</v>
      </c>
      <c r="AA61" s="529">
        <v>0.64535088938381679</v>
      </c>
      <c r="AC61" t="s">
        <v>21</v>
      </c>
      <c r="AD61" s="424"/>
      <c r="AE61" s="424"/>
      <c r="AF61" s="424"/>
    </row>
    <row r="62" spans="1:36" x14ac:dyDescent="0.35">
      <c r="A62" s="496" t="s">
        <v>16</v>
      </c>
      <c r="B62" s="416" t="e">
        <f>+D44/B44</f>
        <v>#REF!</v>
      </c>
      <c r="C62" s="416" t="e">
        <f>(VLOOKUP('Figure 4 2023'!$A62,$A$28:$O$50,6,FALSE)+(VLOOKUP('Figure 4 2023'!$A62,$A$28:$O$51,11,FALSE)))</f>
        <v>#REF!</v>
      </c>
      <c r="D62" s="416" t="e">
        <f>VLOOKUP('Figure 4 2023'!$A62,$A$28:$Q$50,16,FALSE)</f>
        <v>#REF!</v>
      </c>
      <c r="E62" s="416" t="e">
        <f>VLOOKUP('Figure 4 2023'!$A62,$A$28:$Q$50,17,FALSE)</f>
        <v>#REF!</v>
      </c>
      <c r="F62" s="416" t="e">
        <f>VLOOKUP('Figure 4 2023'!$A62,$A$28:$U$50,20,FALSE)</f>
        <v>#REF!</v>
      </c>
      <c r="G62" s="416" t="e">
        <f>VLOOKUP('Figure 4 2023'!$A62,$A$28:$U$50,21,FALSE)</f>
        <v>#REF!</v>
      </c>
      <c r="H62" s="497" t="e">
        <f t="shared" si="8"/>
        <v>#REF!</v>
      </c>
      <c r="I62" s="9" t="e">
        <f t="shared" si="10"/>
        <v>#REF!</v>
      </c>
      <c r="J62" s="30" t="e">
        <f t="shared" si="7"/>
        <v>#REF!</v>
      </c>
      <c r="K62" s="2" t="e">
        <f t="shared" si="9"/>
        <v>#REF!</v>
      </c>
      <c r="R62" s="2">
        <f>+U62-U61</f>
        <v>5.9528636910243016E-2</v>
      </c>
      <c r="S62" s="479" t="s">
        <v>23</v>
      </c>
      <c r="T62" s="433">
        <v>2023</v>
      </c>
      <c r="U62" s="436">
        <v>0.49564717633507227</v>
      </c>
      <c r="V62" s="436">
        <v>0.15662450772188283</v>
      </c>
      <c r="W62" s="436">
        <v>4.130393136125602E-2</v>
      </c>
      <c r="X62" s="436">
        <v>4.130393136125602E-2</v>
      </c>
      <c r="Y62" s="436">
        <v>3.5785726131392213E-2</v>
      </c>
      <c r="Z62" s="436">
        <v>0</v>
      </c>
      <c r="AA62" s="529">
        <v>0.77066527291085929</v>
      </c>
      <c r="AB62" s="2">
        <f>+SUM(U62:Z62)-SUM(U61:Z61)</f>
        <v>0.12531438352704249</v>
      </c>
      <c r="AC62" t="s">
        <v>13</v>
      </c>
      <c r="AD62" s="424"/>
      <c r="AE62" s="424"/>
      <c r="AF62" s="424"/>
    </row>
    <row r="63" spans="1:36" hidden="1" x14ac:dyDescent="0.35">
      <c r="A63" s="494" t="s">
        <v>11</v>
      </c>
      <c r="B63" s="411" t="e">
        <f>+D31/B31</f>
        <v>#REF!</v>
      </c>
      <c r="C63" s="411" t="e">
        <f>(VLOOKUP('Figure 4 2023'!$A63,$A$28:$O$50,6,FALSE)+(VLOOKUP('Figure 4 2023'!$A63,$A$28:$O$51,11,FALSE)))</f>
        <v>#REF!</v>
      </c>
      <c r="D63" s="411" t="e">
        <f>VLOOKUP('Figure 4 2023'!$A63,$A$28:$Q$50,16,FALSE)</f>
        <v>#REF!</v>
      </c>
      <c r="E63" s="411" t="e">
        <f>VLOOKUP('Figure 4 2023'!$A63,$A$28:$Q$50,17,FALSE)</f>
        <v>#REF!</v>
      </c>
      <c r="F63" s="411" t="e">
        <f>VLOOKUP('Figure 4 2023'!$A63,$A$28:$U$50,20,FALSE)</f>
        <v>#REF!</v>
      </c>
      <c r="G63" s="411" t="e">
        <f>VLOOKUP('Figure 4 2023'!$A63,$A$28:$U$50,21,FALSE)</f>
        <v>#REF!</v>
      </c>
      <c r="H63" s="495" t="e">
        <f t="shared" si="8"/>
        <v>#REF!</v>
      </c>
      <c r="I63" s="9" t="e">
        <f t="shared" si="10"/>
        <v>#REF!</v>
      </c>
      <c r="J63" s="30" t="e">
        <f t="shared" si="7"/>
        <v>#REF!</v>
      </c>
      <c r="K63" s="2" t="e">
        <f t="shared" si="9"/>
        <v>#REF!</v>
      </c>
      <c r="R63" s="514">
        <f>+R62/AB62</f>
        <v>0.47503435148285994</v>
      </c>
      <c r="S63" s="478" t="s">
        <v>21</v>
      </c>
      <c r="T63" s="433">
        <v>2013</v>
      </c>
      <c r="U63" s="436">
        <v>0.43111527077335021</v>
      </c>
      <c r="V63" s="436">
        <v>7.5445172385336295E-2</v>
      </c>
      <c r="W63" s="436">
        <v>7.0868263688769903E-2</v>
      </c>
      <c r="X63" s="436">
        <v>1.7717065922192476E-2</v>
      </c>
      <c r="Y63" s="436">
        <v>3.5434131844384952E-2</v>
      </c>
      <c r="Z63" s="436">
        <v>0</v>
      </c>
      <c r="AA63" s="529">
        <v>0.63057990461403379</v>
      </c>
      <c r="AB63" s="7"/>
      <c r="AC63" t="s">
        <v>18</v>
      </c>
      <c r="AD63" s="429"/>
      <c r="AE63" s="429"/>
      <c r="AF63" s="429"/>
    </row>
    <row r="64" spans="1:36" x14ac:dyDescent="0.35">
      <c r="A64" s="494" t="s">
        <v>25</v>
      </c>
      <c r="B64" s="411" t="e">
        <f>+D47/B47</f>
        <v>#REF!</v>
      </c>
      <c r="C64" s="411" t="e">
        <f>(VLOOKUP('Figure 4 2023'!$A64,$A$28:$O$50,6,FALSE)+(VLOOKUP('Figure 4 2023'!$A64,$A$28:$O$51,11,FALSE)))</f>
        <v>#REF!</v>
      </c>
      <c r="D64" s="411" t="e">
        <f>VLOOKUP('Figure 4 2023'!$A64,$A$28:$Q$50,16,FALSE)</f>
        <v>#REF!</v>
      </c>
      <c r="E64" s="411" t="e">
        <f>VLOOKUP('Figure 4 2023'!$A64,$A$28:$Q$50,17,FALSE)</f>
        <v>#REF!</v>
      </c>
      <c r="F64" s="411" t="e">
        <f>VLOOKUP('Figure 4 2023'!$A64,$A$28:$U$50,20,FALSE)</f>
        <v>#REF!</v>
      </c>
      <c r="G64" s="411" t="e">
        <f>VLOOKUP('Figure 4 2023'!$A64,$A$28:$U$50,21,FALSE)</f>
        <v>#REF!</v>
      </c>
      <c r="H64" s="495" t="e">
        <f t="shared" si="8"/>
        <v>#REF!</v>
      </c>
      <c r="I64" s="9" t="e">
        <f t="shared" si="10"/>
        <v>#REF!</v>
      </c>
      <c r="J64" s="30" t="e">
        <f t="shared" si="7"/>
        <v>#REF!</v>
      </c>
      <c r="K64" s="2" t="e">
        <f t="shared" si="9"/>
        <v>#REF!</v>
      </c>
      <c r="R64" s="2">
        <f>+U64-U63</f>
        <v>-2.7037511426888705E-2</v>
      </c>
      <c r="S64" s="478" t="s">
        <v>17</v>
      </c>
      <c r="T64" s="433">
        <v>2023</v>
      </c>
      <c r="U64" s="436">
        <v>0.40407775934646151</v>
      </c>
      <c r="V64" s="436">
        <v>7.7793825173028838E-2</v>
      </c>
      <c r="W64" s="436">
        <v>6.7480985810859082E-2</v>
      </c>
      <c r="X64" s="436">
        <v>1.6971265892551386E-2</v>
      </c>
      <c r="Y64" s="436">
        <v>3.3538454025756309E-2</v>
      </c>
      <c r="Z64" s="436">
        <v>0</v>
      </c>
      <c r="AA64" s="529">
        <v>0.59986229024865712</v>
      </c>
      <c r="AB64" s="2">
        <f>+SUM(U64:Z64)-SUM(U63:Z63)</f>
        <v>-3.0717614365376678E-2</v>
      </c>
      <c r="AC64" t="s">
        <v>17</v>
      </c>
      <c r="AD64" s="424"/>
      <c r="AE64" s="424"/>
      <c r="AF64" s="424"/>
    </row>
    <row r="65" spans="1:32" hidden="1" x14ac:dyDescent="0.35">
      <c r="A65" s="494" t="s">
        <v>19</v>
      </c>
      <c r="B65" s="411" t="e">
        <f>+D43/B43</f>
        <v>#REF!</v>
      </c>
      <c r="C65" s="411" t="e">
        <f>(VLOOKUP('Figure 4 2023'!$A65,$A$28:$O$50,6,FALSE)+(VLOOKUP('Figure 4 2023'!$A65,$A$28:$O$51,11,FALSE)))</f>
        <v>#REF!</v>
      </c>
      <c r="D65" s="411" t="e">
        <f>VLOOKUP('Figure 4 2023'!$A65,$A$28:$Q$50,16,FALSE)</f>
        <v>#REF!</v>
      </c>
      <c r="E65" s="411" t="e">
        <f>VLOOKUP('Figure 4 2023'!$A65,$A$28:$Q$50,17,FALSE)</f>
        <v>#REF!</v>
      </c>
      <c r="F65" s="411" t="e">
        <f>VLOOKUP('Figure 4 2023'!$A65,$A$28:$U$50,20,FALSE)</f>
        <v>#REF!</v>
      </c>
      <c r="G65" s="411" t="e">
        <f>VLOOKUP('Figure 4 2023'!$A65,$A$28:$U$50,21,FALSE)</f>
        <v>#REF!</v>
      </c>
      <c r="H65" s="495" t="e">
        <f t="shared" si="8"/>
        <v>#REF!</v>
      </c>
      <c r="I65" s="9" t="e">
        <f t="shared" si="10"/>
        <v>#REF!</v>
      </c>
      <c r="J65" s="30" t="e">
        <f t="shared" si="7"/>
        <v>#REF!</v>
      </c>
      <c r="K65" s="2" t="e">
        <f t="shared" si="9"/>
        <v>#REF!</v>
      </c>
      <c r="R65" s="514">
        <f>+R64/AB64</f>
        <v>0.8801956787817482</v>
      </c>
      <c r="S65" s="478" t="s">
        <v>13</v>
      </c>
      <c r="T65" s="433">
        <v>2013</v>
      </c>
      <c r="U65" s="450">
        <v>0.33260979240199495</v>
      </c>
      <c r="V65" s="437">
        <v>8.122331130456717E-2</v>
      </c>
      <c r="W65" s="437">
        <v>5.4675582312656706E-2</v>
      </c>
      <c r="X65" s="437">
        <v>1.8225194104218904E-2</v>
      </c>
      <c r="Y65" s="437">
        <v>2.733779115632835E-2</v>
      </c>
      <c r="Z65" s="437">
        <v>1.6402674693797008E-2</v>
      </c>
      <c r="AA65" s="529">
        <v>0.53047434597356302</v>
      </c>
      <c r="AC65" t="s">
        <v>11</v>
      </c>
      <c r="AD65" s="424"/>
      <c r="AE65" s="424"/>
      <c r="AF65" s="424"/>
    </row>
    <row r="66" spans="1:32" x14ac:dyDescent="0.35">
      <c r="A66" s="494" t="s">
        <v>15</v>
      </c>
      <c r="B66" s="411" t="e">
        <f>+D35/B35</f>
        <v>#REF!</v>
      </c>
      <c r="C66" s="411" t="e">
        <f>(VLOOKUP('Figure 4 2023'!$A66,$A$28:$O$50,6,FALSE)+(VLOOKUP('Figure 4 2023'!$A66,$A$28:$O$51,11,FALSE)))</f>
        <v>#REF!</v>
      </c>
      <c r="D66" s="411" t="e">
        <f>VLOOKUP('Figure 4 2023'!$A66,$A$28:$Q$50,16,FALSE)</f>
        <v>#REF!</v>
      </c>
      <c r="E66" s="411" t="e">
        <f>VLOOKUP('Figure 4 2023'!$A66,$A$28:$Q$50,17,FALSE)</f>
        <v>#REF!</v>
      </c>
      <c r="F66" s="411" t="e">
        <f>VLOOKUP('Figure 4 2023'!$A66,$A$28:$U$50,20,FALSE)</f>
        <v>#REF!</v>
      </c>
      <c r="G66" s="411" t="e">
        <f>VLOOKUP('Figure 4 2023'!$A66,$A$28:$U$50,21,FALSE)</f>
        <v>#REF!</v>
      </c>
      <c r="H66" s="495" t="e">
        <f t="shared" si="8"/>
        <v>#REF!</v>
      </c>
      <c r="I66" s="9" t="e">
        <f t="shared" si="10"/>
        <v>#REF!</v>
      </c>
      <c r="J66" s="30" t="e">
        <f t="shared" si="7"/>
        <v>#REF!</v>
      </c>
      <c r="K66" s="2" t="e">
        <f t="shared" si="9"/>
        <v>#REF!</v>
      </c>
      <c r="R66" s="2">
        <f>+U66-U65</f>
        <v>2.6389184056931358E-2</v>
      </c>
      <c r="S66" s="478" t="s">
        <v>21</v>
      </c>
      <c r="T66" s="433">
        <v>2023</v>
      </c>
      <c r="U66" s="436">
        <v>0.35899897645892631</v>
      </c>
      <c r="V66" s="436">
        <v>6.2824820880312104E-2</v>
      </c>
      <c r="W66" s="436">
        <v>5.995282906864069E-2</v>
      </c>
      <c r="X66" s="436">
        <v>1.5077957011274904E-2</v>
      </c>
      <c r="Y66" s="436">
        <v>2.9916581371577194E-2</v>
      </c>
      <c r="Z66" s="436">
        <v>0</v>
      </c>
      <c r="AA66" s="529">
        <v>0.52677116479073116</v>
      </c>
      <c r="AB66" s="2">
        <f>+SUM(U66:Z66)-SUM(U65:Z65)</f>
        <v>-3.7031811828318606E-3</v>
      </c>
      <c r="AC66" t="s">
        <v>25</v>
      </c>
      <c r="AD66" s="424"/>
      <c r="AE66" s="424"/>
      <c r="AF66" s="424"/>
    </row>
    <row r="67" spans="1:32" hidden="1" x14ac:dyDescent="0.35">
      <c r="A67" s="494" t="s">
        <v>29</v>
      </c>
      <c r="B67" s="411" t="e">
        <f>+D41/B41</f>
        <v>#REF!</v>
      </c>
      <c r="C67" s="411" t="e">
        <f>(VLOOKUP('Figure 4 2023'!$A67,$A$28:$O$50,6,FALSE)+(VLOOKUP('Figure 4 2023'!$A67,$A$28:$O$51,11,FALSE)))</f>
        <v>#REF!</v>
      </c>
      <c r="D67" s="411" t="e">
        <f>VLOOKUP('Figure 4 2023'!$A67,$A$28:$Q$50,16,FALSE)</f>
        <v>#REF!</v>
      </c>
      <c r="E67" s="411" t="e">
        <f>VLOOKUP('Figure 4 2023'!$A67,$A$28:$Q$50,17,FALSE)</f>
        <v>#REF!</v>
      </c>
      <c r="F67" s="411" t="e">
        <f>VLOOKUP('Figure 4 2023'!$A67,$A$28:$U$50,20,FALSE)</f>
        <v>#REF!</v>
      </c>
      <c r="G67" s="411" t="e">
        <f>VLOOKUP('Figure 4 2023'!$A67,$A$28:$U$50,21,FALSE)</f>
        <v>#REF!</v>
      </c>
      <c r="H67" s="495" t="e">
        <f t="shared" si="8"/>
        <v>#REF!</v>
      </c>
      <c r="I67" s="9" t="e">
        <f t="shared" si="10"/>
        <v>#REF!</v>
      </c>
      <c r="J67" s="30" t="e">
        <f t="shared" si="7"/>
        <v>#REF!</v>
      </c>
      <c r="K67" s="2" t="e">
        <f t="shared" si="9"/>
        <v>#REF!</v>
      </c>
      <c r="R67" s="514">
        <f>+R66/AB66</f>
        <v>-7.1260850479779334</v>
      </c>
      <c r="S67" s="478" t="s">
        <v>18</v>
      </c>
      <c r="T67" s="433">
        <v>2013</v>
      </c>
      <c r="U67" s="451">
        <v>0.28651801085937356</v>
      </c>
      <c r="V67" s="436">
        <v>0.11052334146293877</v>
      </c>
      <c r="W67" s="436">
        <v>2.3549425550085497E-2</v>
      </c>
      <c r="X67" s="436">
        <v>1.0989731923373233E-2</v>
      </c>
      <c r="Y67" s="436">
        <v>1.6641594055393751E-2</v>
      </c>
      <c r="Z67" s="436">
        <v>4.7098851100170992E-3</v>
      </c>
      <c r="AA67" s="529">
        <v>0.45293198896118181</v>
      </c>
      <c r="AC67" t="s">
        <v>19</v>
      </c>
      <c r="AD67" s="424"/>
      <c r="AE67" s="424"/>
      <c r="AF67" s="425"/>
    </row>
    <row r="68" spans="1:32" x14ac:dyDescent="0.35">
      <c r="A68" s="494" t="s">
        <v>22</v>
      </c>
      <c r="B68" s="411" t="e">
        <f>+D50/B50</f>
        <v>#REF!</v>
      </c>
      <c r="C68" s="411" t="e">
        <f>(VLOOKUP('Figure 4 2023'!$A68,$A$28:$O$50,6,FALSE)+(VLOOKUP('Figure 4 2023'!$A68,$A$28:$O$51,11,FALSE)))</f>
        <v>#REF!</v>
      </c>
      <c r="D68" s="411" t="e">
        <f>VLOOKUP('Figure 4 2023'!$A68,$A$28:$Q$50,16,FALSE)</f>
        <v>#REF!</v>
      </c>
      <c r="E68" s="411" t="e">
        <f>VLOOKUP('Figure 4 2023'!$A68,$A$28:$Q$50,17,FALSE)</f>
        <v>#REF!</v>
      </c>
      <c r="F68" s="411" t="e">
        <f>VLOOKUP('Figure 4 2023'!$A68,$A$28:$U$50,20,FALSE)</f>
        <v>#REF!</v>
      </c>
      <c r="G68" s="411" t="e">
        <f>VLOOKUP('Figure 4 2023'!$A68,$A$28:$U$50,21,FALSE)</f>
        <v>#REF!</v>
      </c>
      <c r="H68" s="495" t="e">
        <f t="shared" si="8"/>
        <v>#REF!</v>
      </c>
      <c r="I68" s="9" t="e">
        <f t="shared" si="10"/>
        <v>#REF!</v>
      </c>
      <c r="J68" s="30" t="e">
        <f t="shared" si="7"/>
        <v>#REF!</v>
      </c>
      <c r="K68" s="2" t="e">
        <f t="shared" si="9"/>
        <v>#REF!</v>
      </c>
      <c r="R68" s="2">
        <f>+U68-U67</f>
        <v>6.9818463240863216E-2</v>
      </c>
      <c r="S68" s="478" t="s">
        <v>20</v>
      </c>
      <c r="T68" s="433">
        <v>2023</v>
      </c>
      <c r="U68" s="436">
        <v>0.35633647410023678</v>
      </c>
      <c r="V68" s="436">
        <v>0.100262344904368</v>
      </c>
      <c r="W68" s="436">
        <v>2.9575927350319654E-2</v>
      </c>
      <c r="X68" s="436">
        <v>1.1759103645307814E-2</v>
      </c>
      <c r="Y68" s="436">
        <v>1.4859230969979874E-2</v>
      </c>
      <c r="Z68" s="436">
        <v>8.9084118525059215E-3</v>
      </c>
      <c r="AA68" s="529">
        <v>0.52170149282271794</v>
      </c>
      <c r="AB68" s="2">
        <f>+SUM(U68:Z68)-SUM(U67:Z67)</f>
        <v>6.876950386153613E-2</v>
      </c>
      <c r="AC68" t="s">
        <v>14</v>
      </c>
      <c r="AD68" s="424"/>
      <c r="AE68" s="424"/>
      <c r="AF68" s="424"/>
    </row>
    <row r="69" spans="1:32" hidden="1" x14ac:dyDescent="0.35">
      <c r="A69" s="494" t="s">
        <v>12</v>
      </c>
      <c r="B69" s="411" t="e">
        <f>+D33/B33</f>
        <v>#REF!</v>
      </c>
      <c r="C69" s="411" t="e">
        <f>(VLOOKUP('Figure 4 2023'!$A69,$A$28:$O$50,6,FALSE)+(VLOOKUP('Figure 4 2023'!$A69,$A$28:$O$51,11,FALSE)))</f>
        <v>#REF!</v>
      </c>
      <c r="D69" s="411" t="e">
        <f>VLOOKUP('Figure 4 2023'!$A69,$A$28:$Q$50,16,FALSE)</f>
        <v>#REF!</v>
      </c>
      <c r="E69" s="411" t="e">
        <f>VLOOKUP('Figure 4 2023'!$A69,$A$28:$Q$50,17,FALSE)</f>
        <v>#REF!</v>
      </c>
      <c r="F69" s="411" t="e">
        <f>VLOOKUP('Figure 4 2023'!$A69,$A$28:$U$50,20,FALSE)</f>
        <v>#REF!</v>
      </c>
      <c r="G69" s="411" t="e">
        <f>VLOOKUP('Figure 4 2023'!$A69,$A$28:$U$50,21,FALSE)</f>
        <v>#REF!</v>
      </c>
      <c r="H69" s="495" t="e">
        <f t="shared" si="8"/>
        <v>#REF!</v>
      </c>
      <c r="I69" s="9" t="e">
        <f t="shared" si="10"/>
        <v>#REF!</v>
      </c>
      <c r="J69" s="30" t="e">
        <f t="shared" si="7"/>
        <v>#REF!</v>
      </c>
      <c r="K69" s="2" t="e">
        <f t="shared" si="9"/>
        <v>#REF!</v>
      </c>
      <c r="R69" s="514">
        <f>+R68/AB68</f>
        <v>1.0152532637350287</v>
      </c>
      <c r="S69" s="478" t="s">
        <v>17</v>
      </c>
      <c r="T69" s="433">
        <v>2013</v>
      </c>
      <c r="U69" s="450">
        <v>0.2913081495303475</v>
      </c>
      <c r="V69" s="437">
        <v>6.9677351151677419E-2</v>
      </c>
      <c r="W69" s="437">
        <v>4.8218814705365737E-2</v>
      </c>
      <c r="X69" s="437">
        <v>1.1971567788918391E-2</v>
      </c>
      <c r="Y69" s="437">
        <v>2.3943135577836779E-2</v>
      </c>
      <c r="Z69" s="437">
        <v>0</v>
      </c>
      <c r="AA69" s="529">
        <v>0.44511901875414583</v>
      </c>
      <c r="AC69" t="s">
        <v>26</v>
      </c>
      <c r="AD69" s="424"/>
      <c r="AE69" s="424"/>
      <c r="AF69" s="424"/>
    </row>
    <row r="70" spans="1:32" x14ac:dyDescent="0.35">
      <c r="A70" s="494" t="s">
        <v>14</v>
      </c>
      <c r="B70" s="411" t="e">
        <f>+D49/B49</f>
        <v>#REF!</v>
      </c>
      <c r="C70" s="411" t="e">
        <f>(VLOOKUP('Figure 4 2023'!$A70,$A$28:$O$50,6,FALSE)+(VLOOKUP('Figure 4 2023'!$A70,$A$28:$O$51,11,FALSE)))</f>
        <v>#REF!</v>
      </c>
      <c r="D70" s="411" t="e">
        <f>VLOOKUP('Figure 4 2023'!$A70,$A$28:$Q$50,16,FALSE)</f>
        <v>#REF!</v>
      </c>
      <c r="E70" s="411" t="e">
        <f>VLOOKUP('Figure 4 2023'!$A70,$A$28:$Q$50,17,FALSE)</f>
        <v>#REF!</v>
      </c>
      <c r="F70" s="411" t="e">
        <f>VLOOKUP('Figure 4 2023'!$A70,$A$28:$U$50,20,FALSE)</f>
        <v>#REF!</v>
      </c>
      <c r="G70" s="411" t="e">
        <f>VLOOKUP('Figure 4 2023'!$A70,$A$28:$U$50,21,FALSE)</f>
        <v>#REF!</v>
      </c>
      <c r="H70" s="495" t="e">
        <f t="shared" si="8"/>
        <v>#REF!</v>
      </c>
      <c r="I70" s="9" t="e">
        <f t="shared" si="10"/>
        <v>#REF!</v>
      </c>
      <c r="J70" s="30" t="e">
        <f t="shared" si="7"/>
        <v>#REF!</v>
      </c>
      <c r="K70" s="2" t="e">
        <f t="shared" si="9"/>
        <v>#REF!</v>
      </c>
      <c r="R70" s="2">
        <f>+U70-U69</f>
        <v>3.596982565869794E-2</v>
      </c>
      <c r="S70" s="456" t="s">
        <v>25</v>
      </c>
      <c r="T70" s="433">
        <v>2023</v>
      </c>
      <c r="U70" s="436">
        <v>0.32727797518904544</v>
      </c>
      <c r="V70" s="436">
        <v>8.018310392131614E-2</v>
      </c>
      <c r="W70" s="436">
        <v>1.7345732685019408E-2</v>
      </c>
      <c r="X70" s="436">
        <v>1.3745674957939911E-2</v>
      </c>
      <c r="Y70" s="436">
        <v>2.7164071940690773E-2</v>
      </c>
      <c r="Z70" s="436">
        <v>0</v>
      </c>
      <c r="AA70" s="529">
        <v>0.46571655869401168</v>
      </c>
      <c r="AB70" s="2">
        <f>+SUM(U72:Z72)-SUM(U71:Z71)</f>
        <v>1.2106120647232654E-2</v>
      </c>
      <c r="AC70" t="s">
        <v>24</v>
      </c>
      <c r="AD70" s="424"/>
      <c r="AE70" s="424"/>
      <c r="AF70" s="424"/>
    </row>
    <row r="71" spans="1:32" hidden="1" x14ac:dyDescent="0.35">
      <c r="A71" s="494" t="s">
        <v>28</v>
      </c>
      <c r="B71" s="411" t="e">
        <f>+D34/B34</f>
        <v>#REF!</v>
      </c>
      <c r="C71" s="411" t="e">
        <f>(VLOOKUP('Figure 4 2023'!$A71,$A$28:$O$50,6,FALSE)+(VLOOKUP('Figure 4 2023'!$A71,$A$28:$O$51,11,FALSE)))</f>
        <v>#REF!</v>
      </c>
      <c r="D71" s="411" t="e">
        <f>VLOOKUP('Figure 4 2023'!$A71,$A$28:$Q$50,16,FALSE)</f>
        <v>#REF!</v>
      </c>
      <c r="E71" s="411" t="e">
        <f>VLOOKUP('Figure 4 2023'!$A71,$A$28:$Q$50,17,FALSE)</f>
        <v>#REF!</v>
      </c>
      <c r="F71" s="411" t="e">
        <f>VLOOKUP('Figure 4 2023'!$A71,$A$28:$U$50,20,FALSE)</f>
        <v>#REF!</v>
      </c>
      <c r="G71" s="411" t="e">
        <f>VLOOKUP('Figure 4 2023'!$A71,$A$28:$U$50,21,FALSE)</f>
        <v>#REF!</v>
      </c>
      <c r="H71" s="495" t="e">
        <f t="shared" si="8"/>
        <v>#REF!</v>
      </c>
      <c r="I71" s="9" t="e">
        <f t="shared" si="10"/>
        <v>#REF!</v>
      </c>
      <c r="J71" s="30" t="e">
        <f t="shared" si="7"/>
        <v>#REF!</v>
      </c>
      <c r="K71" s="2" t="e">
        <f t="shared" si="9"/>
        <v>#REF!</v>
      </c>
      <c r="R71" s="514">
        <f>+R70/AB70</f>
        <v>2.97120991165079</v>
      </c>
      <c r="S71" s="479" t="s">
        <v>16</v>
      </c>
      <c r="T71" s="433">
        <v>2013</v>
      </c>
      <c r="U71" s="436">
        <v>0.26411503835122818</v>
      </c>
      <c r="V71" s="436">
        <v>8.1778819708151956E-2</v>
      </c>
      <c r="W71" s="436">
        <v>4.3416170687873124E-2</v>
      </c>
      <c r="X71" s="436">
        <v>2.1708085343936562E-2</v>
      </c>
      <c r="Y71" s="436">
        <v>3.2562128015904843E-2</v>
      </c>
      <c r="Z71" s="436">
        <v>0</v>
      </c>
      <c r="AA71" s="529">
        <v>0.44358024210709468</v>
      </c>
      <c r="AB71" s="7"/>
      <c r="AD71" s="424"/>
      <c r="AE71" s="424"/>
      <c r="AF71" s="424"/>
    </row>
    <row r="72" spans="1:32" x14ac:dyDescent="0.35">
      <c r="A72" s="494" t="s">
        <v>26</v>
      </c>
      <c r="B72" s="411" t="e">
        <f>+D46/B46</f>
        <v>#REF!</v>
      </c>
      <c r="C72" s="411" t="e">
        <f>(VLOOKUP('Figure 4 2023'!$A72,$A$28:$O$50,6,FALSE)+(VLOOKUP('Figure 4 2023'!$A72,$A$28:$O$51,11,FALSE)))</f>
        <v>#REF!</v>
      </c>
      <c r="D72" s="411" t="e">
        <f>VLOOKUP('Figure 4 2023'!$A72,$A$28:$Q$50,16,FALSE)</f>
        <v>#REF!</v>
      </c>
      <c r="E72" s="411" t="e">
        <f>VLOOKUP('Figure 4 2023'!$A72,$A$28:$Q$50,17,FALSE)</f>
        <v>#REF!</v>
      </c>
      <c r="F72" s="411" t="e">
        <f>VLOOKUP('Figure 4 2023'!$A72,$A$28:$U$50,20,FALSE)</f>
        <v>#REF!</v>
      </c>
      <c r="G72" s="411" t="e">
        <f>VLOOKUP('Figure 4 2023'!$A72,$A$28:$U$50,21,FALSE)</f>
        <v>#REF!</v>
      </c>
      <c r="H72" s="495" t="e">
        <f t="shared" si="8"/>
        <v>#REF!</v>
      </c>
      <c r="I72" s="9" t="e">
        <f t="shared" si="10"/>
        <v>#REF!</v>
      </c>
      <c r="J72" s="30" t="e">
        <f t="shared" si="7"/>
        <v>#REF!</v>
      </c>
      <c r="K72" s="2" t="e">
        <f t="shared" si="9"/>
        <v>#REF!</v>
      </c>
      <c r="R72" s="2">
        <f>+U72-U71</f>
        <v>8.522617088772072E-2</v>
      </c>
      <c r="S72" s="433" t="s">
        <v>29</v>
      </c>
      <c r="T72" s="433">
        <v>2023</v>
      </c>
      <c r="U72" s="436">
        <v>0.3493412092389489</v>
      </c>
      <c r="V72" s="436">
        <v>7.3720566141452171E-2</v>
      </c>
      <c r="W72" s="436">
        <v>0</v>
      </c>
      <c r="X72" s="436">
        <v>1.3585491470403568E-2</v>
      </c>
      <c r="Y72" s="436">
        <v>1.3589373039395112E-2</v>
      </c>
      <c r="Z72" s="436">
        <v>5.4497228641276025E-3</v>
      </c>
      <c r="AA72" s="529">
        <v>0.45568636275432733</v>
      </c>
      <c r="AB72" s="2">
        <f>+SUM(U74:Z74)-SUM(U73:Z73)</f>
        <v>3.3279008363969576E-2</v>
      </c>
      <c r="AD72" s="424"/>
      <c r="AE72" s="424"/>
      <c r="AF72" s="424"/>
    </row>
    <row r="73" spans="1:32" hidden="1" x14ac:dyDescent="0.35">
      <c r="A73" s="494" t="s">
        <v>24</v>
      </c>
      <c r="B73" s="411" t="e">
        <f>+D40/B40</f>
        <v>#REF!</v>
      </c>
      <c r="C73" s="411" t="e">
        <f>(VLOOKUP('Figure 4 2023'!$A73,$A$28:$O$50,6,FALSE)+(VLOOKUP('Figure 4 2023'!$A73,$A$28:$O$51,11,FALSE)))</f>
        <v>#REF!</v>
      </c>
      <c r="D73" s="411" t="e">
        <f>VLOOKUP('Figure 4 2023'!$A73,$A$28:$Q$50,16,FALSE)</f>
        <v>#REF!</v>
      </c>
      <c r="E73" s="411" t="e">
        <f>VLOOKUP('Figure 4 2023'!$A73,$A$28:$Q$50,17,FALSE)</f>
        <v>#REF!</v>
      </c>
      <c r="F73" s="411" t="e">
        <f>VLOOKUP('Figure 4 2023'!$A73,$A$28:$U$50,20,FALSE)</f>
        <v>#REF!</v>
      </c>
      <c r="G73" s="411" t="e">
        <f>VLOOKUP('Figure 4 2023'!$A73,$A$28:$U$50,21,FALSE)</f>
        <v>#REF!</v>
      </c>
      <c r="H73" s="495" t="e">
        <f t="shared" si="8"/>
        <v>#REF!</v>
      </c>
      <c r="I73" s="9" t="e">
        <f t="shared" si="10"/>
        <v>#REF!</v>
      </c>
      <c r="J73" s="30" t="e">
        <f t="shared" si="7"/>
        <v>#REF!</v>
      </c>
      <c r="K73" s="2" t="e">
        <f t="shared" si="9"/>
        <v>#REF!</v>
      </c>
      <c r="R73" s="514">
        <f>+R72/AB72</f>
        <v>2.5609588469587079</v>
      </c>
      <c r="S73" s="479" t="s">
        <v>125</v>
      </c>
      <c r="T73" s="433">
        <v>2013</v>
      </c>
      <c r="U73" s="436">
        <v>0.26074798104474833</v>
      </c>
      <c r="V73" s="436">
        <v>6.5284771080030876E-2</v>
      </c>
      <c r="W73" s="436">
        <v>2.8542526912594096E-2</v>
      </c>
      <c r="X73" s="436">
        <v>1.40790317148558E-2</v>
      </c>
      <c r="Y73" s="436">
        <v>1.9011771795526822E-2</v>
      </c>
      <c r="Z73" s="436">
        <v>3.1408888046782859E-3</v>
      </c>
      <c r="AA73" s="529">
        <v>0.3908069713524342</v>
      </c>
      <c r="AD73" s="424"/>
      <c r="AE73" s="424"/>
      <c r="AF73" s="424"/>
    </row>
    <row r="74" spans="1:32" x14ac:dyDescent="0.35">
      <c r="A74" s="498" t="s">
        <v>31</v>
      </c>
      <c r="B74" s="411" t="e">
        <f>+D48/B48</f>
        <v>#REF!</v>
      </c>
      <c r="C74" s="499" t="e">
        <f>(VLOOKUP('Figure 4 2023'!$A74,$A$28:$O$50,6,FALSE)+(VLOOKUP('Figure 4 2023'!$A74,$A$28:$O$51,11,FALSE)))</f>
        <v>#REF!</v>
      </c>
      <c r="D74" s="499" t="e">
        <f>VLOOKUP('Figure 4 2023'!$A74,$A$28:$Q$50,16,FALSE)</f>
        <v>#REF!</v>
      </c>
      <c r="E74" s="499" t="e">
        <f>VLOOKUP('Figure 4 2023'!$A74,$A$28:$Q$50,17,FALSE)</f>
        <v>#REF!</v>
      </c>
      <c r="F74" s="499" t="e">
        <f>VLOOKUP('Figure 4 2023'!$A74,$A$28:$U$50,20,FALSE)</f>
        <v>#REF!</v>
      </c>
      <c r="G74" s="499" t="e">
        <f>VLOOKUP('Figure 4 2023'!$A74,$A$28:$U$50,21,FALSE)</f>
        <v>#REF!</v>
      </c>
      <c r="H74" s="500" t="e">
        <f t="shared" si="8"/>
        <v>#REF!</v>
      </c>
      <c r="I74" s="9" t="e">
        <f t="shared" si="10"/>
        <v>#REF!</v>
      </c>
      <c r="J74" s="30" t="e">
        <f t="shared" si="7"/>
        <v>#REF!</v>
      </c>
      <c r="K74" s="2" t="e">
        <f t="shared" si="9"/>
        <v>#REF!</v>
      </c>
      <c r="R74" s="2">
        <f>+U74-U73</f>
        <v>2.2168799370796854E-2</v>
      </c>
      <c r="S74" s="479" t="s">
        <v>125</v>
      </c>
      <c r="T74" s="433">
        <v>2023</v>
      </c>
      <c r="U74" s="436">
        <v>0.28291678041554519</v>
      </c>
      <c r="V74" s="436">
        <v>7.1122312634201129E-2</v>
      </c>
      <c r="W74" s="436">
        <v>2.9969471303096018E-2</v>
      </c>
      <c r="X74" s="436">
        <v>1.522758203192108E-2</v>
      </c>
      <c r="Y74" s="436">
        <v>1.9904044900265268E-2</v>
      </c>
      <c r="Z74" s="436">
        <v>4.9457884313750446E-3</v>
      </c>
      <c r="AA74" s="529">
        <v>0.42408597971640377</v>
      </c>
      <c r="AB74" s="2">
        <f>+SUM(U76:Z76)-SUM(U75:Z75)</f>
        <v>4.7527952416964392E-2</v>
      </c>
      <c r="AD74" s="424"/>
      <c r="AE74" s="424"/>
      <c r="AF74" s="424"/>
    </row>
    <row r="75" spans="1:32" hidden="1" x14ac:dyDescent="0.35">
      <c r="A75" s="530" t="s">
        <v>125</v>
      </c>
      <c r="B75" s="2" t="e">
        <f>+AVERAGE(B55:B74)</f>
        <v>#REF!</v>
      </c>
      <c r="C75" s="2" t="e">
        <f t="shared" ref="C75:H75" si="11">+AVERAGE(C55:C74)</f>
        <v>#REF!</v>
      </c>
      <c r="D75" s="2" t="e">
        <f t="shared" si="11"/>
        <v>#REF!</v>
      </c>
      <c r="E75" s="2" t="e">
        <f t="shared" si="11"/>
        <v>#REF!</v>
      </c>
      <c r="F75" s="2" t="e">
        <f t="shared" si="11"/>
        <v>#REF!</v>
      </c>
      <c r="G75" s="2" t="e">
        <f t="shared" si="11"/>
        <v>#REF!</v>
      </c>
      <c r="H75" s="2" t="e">
        <f t="shared" si="11"/>
        <v>#REF!</v>
      </c>
      <c r="R75" s="514">
        <f>+R72/AB72</f>
        <v>2.5609588469587079</v>
      </c>
      <c r="S75" s="478" t="s">
        <v>11</v>
      </c>
      <c r="T75" s="433">
        <v>2013</v>
      </c>
      <c r="U75" s="451">
        <v>0.20378783125476982</v>
      </c>
      <c r="V75" s="436">
        <v>9.8139194626868959E-2</v>
      </c>
      <c r="W75" s="436">
        <v>1.6749684760666014E-2</v>
      </c>
      <c r="X75" s="436">
        <v>7.8165195549774712E-3</v>
      </c>
      <c r="Y75" s="436">
        <v>1.674968476066601E-2</v>
      </c>
      <c r="Z75" s="436">
        <v>6.6998739042664051E-3</v>
      </c>
      <c r="AA75" s="529">
        <v>0.34994278886221469</v>
      </c>
    </row>
    <row r="76" spans="1:32" x14ac:dyDescent="0.35">
      <c r="A76" s="12"/>
      <c r="B76" s="64" t="e">
        <f>+VAR(B55:B74)</f>
        <v>#REF!</v>
      </c>
      <c r="C76" s="7"/>
      <c r="D76" s="7"/>
      <c r="E76" s="7"/>
      <c r="F76" s="7"/>
      <c r="G76" s="7"/>
      <c r="H76" s="64" t="e">
        <f>+VAR(H55:H74)</f>
        <v>#REF!</v>
      </c>
      <c r="I76" s="64"/>
      <c r="J76" s="7"/>
      <c r="O76" s="427"/>
      <c r="P76" s="427"/>
      <c r="Q76" s="22"/>
      <c r="R76" s="2">
        <f>+U76-U75</f>
        <v>3.9637413118625259E-2</v>
      </c>
      <c r="S76" s="478" t="s">
        <v>18</v>
      </c>
      <c r="T76" s="433">
        <v>2023</v>
      </c>
      <c r="U76" s="436">
        <v>0.24342524437339508</v>
      </c>
      <c r="V76" s="436">
        <v>0.10584729851985181</v>
      </c>
      <c r="W76" s="436">
        <v>2.020429528299179E-2</v>
      </c>
      <c r="X76" s="436">
        <v>9.4935845305624093E-3</v>
      </c>
      <c r="Y76" s="436">
        <v>4.1382291543477171E-3</v>
      </c>
      <c r="Z76" s="436">
        <v>1.4362089418030308E-2</v>
      </c>
      <c r="AA76" s="529">
        <v>0.39747074127917909</v>
      </c>
      <c r="AB76" s="2">
        <f>+SUM(U76:Z76)-SUM(U75:Z75)</f>
        <v>4.7527952416964392E-2</v>
      </c>
      <c r="AC76" s="22"/>
    </row>
    <row r="77" spans="1:32" ht="18.5" hidden="1" x14ac:dyDescent="0.45">
      <c r="A77" s="21"/>
      <c r="B77" s="31"/>
      <c r="C77" s="31"/>
      <c r="D77" s="31"/>
      <c r="E77" s="31"/>
      <c r="F77" s="31"/>
      <c r="G77" s="31"/>
      <c r="H77" s="31"/>
      <c r="O77" s="427"/>
      <c r="P77" s="427"/>
      <c r="Q77" s="22"/>
      <c r="R77" s="514">
        <f>+R76/AB74</f>
        <v>0.83398108066774779</v>
      </c>
      <c r="S77" s="456" t="s">
        <v>25</v>
      </c>
      <c r="T77" s="433">
        <v>2013</v>
      </c>
      <c r="U77" s="450">
        <v>0.23729936830079326</v>
      </c>
      <c r="V77" s="437">
        <v>5.813834523369435E-2</v>
      </c>
      <c r="W77" s="437">
        <v>9.7520288342791746E-3</v>
      </c>
      <c r="X77" s="437">
        <v>1.560324613484668E-2</v>
      </c>
      <c r="Y77" s="437">
        <v>1.9504057668558349E-2</v>
      </c>
      <c r="Z77" s="437">
        <v>0</v>
      </c>
      <c r="AA77" s="529">
        <v>0.34029704617217182</v>
      </c>
      <c r="AC77" s="22"/>
    </row>
    <row r="78" spans="1:32" x14ac:dyDescent="0.35">
      <c r="O78" s="427"/>
      <c r="P78" s="427"/>
      <c r="Q78" s="428"/>
      <c r="R78" s="2">
        <f>+U78-U77</f>
        <v>-9.8103858082294049E-3</v>
      </c>
      <c r="S78" s="478" t="s">
        <v>16</v>
      </c>
      <c r="T78" s="433">
        <v>2023</v>
      </c>
      <c r="U78" s="436">
        <v>0.22748898249256386</v>
      </c>
      <c r="V78" s="436">
        <v>7.8343154396778164E-2</v>
      </c>
      <c r="W78" s="436">
        <v>3.7922413381510395E-2</v>
      </c>
      <c r="X78" s="436">
        <v>1.894983224163057E-2</v>
      </c>
      <c r="Y78" s="436">
        <v>2.8436122811570482E-2</v>
      </c>
      <c r="Z78" s="436">
        <v>0</v>
      </c>
      <c r="AA78" s="529">
        <v>0.39114050532405348</v>
      </c>
      <c r="AB78" s="2">
        <f>+SUM(U78:Z78)-SUM(U77:Z77)</f>
        <v>5.0843459151881654E-2</v>
      </c>
      <c r="AC78" s="424"/>
    </row>
    <row r="79" spans="1:32" hidden="1" x14ac:dyDescent="0.35">
      <c r="O79" s="427"/>
      <c r="P79" s="427"/>
      <c r="Q79" s="428"/>
      <c r="R79" s="514">
        <f>+R78/AB76</f>
        <v>-0.2064129698279982</v>
      </c>
      <c r="S79" s="456" t="s">
        <v>19</v>
      </c>
      <c r="T79" s="433">
        <v>2013</v>
      </c>
      <c r="U79" s="451">
        <v>0.22329257793682972</v>
      </c>
      <c r="V79" s="436">
        <v>6.3314457533866192E-2</v>
      </c>
      <c r="W79" s="436">
        <v>1.8352814624944907E-2</v>
      </c>
      <c r="X79" s="436">
        <v>1.8352814624944907E-2</v>
      </c>
      <c r="Y79" s="436">
        <v>1.4559899602456294E-2</v>
      </c>
      <c r="Z79" s="436">
        <v>0</v>
      </c>
      <c r="AA79" s="529">
        <v>0.33787256432304202</v>
      </c>
      <c r="AB79" s="7"/>
      <c r="AC79" s="424"/>
    </row>
    <row r="80" spans="1:32" x14ac:dyDescent="0.35">
      <c r="C80" s="31"/>
      <c r="D80" s="31"/>
      <c r="E80" s="31"/>
      <c r="F80" s="31"/>
      <c r="G80" s="31"/>
      <c r="H80" s="31"/>
      <c r="I80" s="31"/>
      <c r="J80" s="31"/>
      <c r="O80" s="427"/>
      <c r="P80" s="427"/>
      <c r="Q80" s="428"/>
      <c r="R80" s="2">
        <f>+U80-U79</f>
        <v>6.8699664571097441E-3</v>
      </c>
      <c r="S80" s="456" t="s">
        <v>15</v>
      </c>
      <c r="T80" s="433">
        <v>2023</v>
      </c>
      <c r="U80" s="436">
        <v>0.23016254439393946</v>
      </c>
      <c r="V80" s="436">
        <v>7.6754605304490922E-2</v>
      </c>
      <c r="W80" s="436">
        <v>1.9180212032828287E-2</v>
      </c>
      <c r="X80" s="436">
        <v>9.5901060164141436E-3</v>
      </c>
      <c r="Y80" s="436">
        <v>1.40629314624697E-2</v>
      </c>
      <c r="Z80" s="436">
        <v>9.6668268645454562E-4</v>
      </c>
      <c r="AA80" s="529">
        <v>0.350717081896597</v>
      </c>
      <c r="AB80" s="2">
        <f>+SUM(U82:Z82)-SUM(U81:Z81)</f>
        <v>-2.6359231610968037E-2</v>
      </c>
      <c r="AC80" s="424"/>
    </row>
    <row r="81" spans="2:29" hidden="1" x14ac:dyDescent="0.35">
      <c r="C81" s="31"/>
      <c r="D81" s="31"/>
      <c r="E81" s="31"/>
      <c r="F81" s="31"/>
      <c r="G81" s="31"/>
      <c r="H81" s="31"/>
      <c r="O81" s="427"/>
      <c r="P81" s="427"/>
      <c r="Q81" s="428"/>
      <c r="R81" s="514">
        <f>+R80/AB78</f>
        <v>0.13511996570861751</v>
      </c>
      <c r="S81" s="433" t="s">
        <v>15</v>
      </c>
      <c r="T81" s="433">
        <v>2013</v>
      </c>
      <c r="U81" s="436">
        <v>0.21508332584110071</v>
      </c>
      <c r="V81" s="436">
        <v>7.376768806963889E-2</v>
      </c>
      <c r="W81" s="436">
        <v>1.7678081575980883E-2</v>
      </c>
      <c r="X81" s="436">
        <v>8.8390407879904414E-3</v>
      </c>
      <c r="Y81" s="436">
        <v>1.2963926489052643E-2</v>
      </c>
      <c r="Z81" s="436">
        <v>8.8390407879904414E-4</v>
      </c>
      <c r="AA81" s="529">
        <v>0.3292159668425626</v>
      </c>
      <c r="AB81" s="428"/>
      <c r="AC81" s="424"/>
    </row>
    <row r="82" spans="2:29" x14ac:dyDescent="0.35">
      <c r="B82" s="31"/>
      <c r="C82" s="31"/>
      <c r="D82" s="31"/>
      <c r="E82" s="31"/>
      <c r="F82" s="31"/>
      <c r="G82" s="31"/>
      <c r="H82" s="31"/>
      <c r="O82" s="427"/>
      <c r="P82" s="427"/>
      <c r="Q82" s="428"/>
      <c r="R82" s="2">
        <f>+U82-U81</f>
        <v>-3.7320204015829805E-2</v>
      </c>
      <c r="S82" s="479" t="s">
        <v>11</v>
      </c>
      <c r="T82" s="433">
        <v>2023</v>
      </c>
      <c r="U82" s="436">
        <v>0.1777631218252709</v>
      </c>
      <c r="V82" s="436">
        <v>8.2643779914448962E-2</v>
      </c>
      <c r="W82" s="436">
        <v>1.4807668048045064E-2</v>
      </c>
      <c r="X82" s="436">
        <v>6.9149854390030373E-3</v>
      </c>
      <c r="Y82" s="436">
        <v>1.4807668048045064E-2</v>
      </c>
      <c r="Z82" s="436">
        <v>5.9195119567815209E-3</v>
      </c>
      <c r="AA82" s="529">
        <v>0.30285673523159456</v>
      </c>
      <c r="AB82" s="2">
        <f>+SUM(U84:Z84)-SUM(U83:Z83)</f>
        <v>-4.3090008124166967E-3</v>
      </c>
      <c r="AC82" s="424"/>
    </row>
    <row r="83" spans="2:29" hidden="1" x14ac:dyDescent="0.35">
      <c r="O83" s="427"/>
      <c r="P83" s="427"/>
      <c r="Q83" s="428"/>
      <c r="R83" s="514">
        <f>+R82/AB80</f>
        <v>1.4158304978928493</v>
      </c>
      <c r="S83" s="433" t="s">
        <v>29</v>
      </c>
      <c r="T83" s="433">
        <v>2013</v>
      </c>
      <c r="U83" s="436">
        <v>0.21637842937200005</v>
      </c>
      <c r="V83" s="436">
        <v>4.0286958818699252E-2</v>
      </c>
      <c r="W83" s="436">
        <v>0</v>
      </c>
      <c r="X83" s="436">
        <v>8.2994466060493152E-3</v>
      </c>
      <c r="Y83" s="436">
        <v>8.2994466060493169E-3</v>
      </c>
      <c r="Z83" s="436">
        <v>3.3197786424197261E-3</v>
      </c>
      <c r="AA83" s="529">
        <v>0.27658406004521763</v>
      </c>
      <c r="AC83" s="424"/>
    </row>
    <row r="84" spans="2:29" x14ac:dyDescent="0.35">
      <c r="G84" s="32"/>
      <c r="O84" s="427"/>
      <c r="P84" s="427"/>
      <c r="Q84" s="428"/>
      <c r="R84" s="2">
        <f>+U84-U83</f>
        <v>-5.7782707552674367E-2</v>
      </c>
      <c r="S84" s="433" t="s">
        <v>12</v>
      </c>
      <c r="T84" s="433">
        <v>2023</v>
      </c>
      <c r="U84" s="436">
        <v>0.15859572181932569</v>
      </c>
      <c r="V84" s="436">
        <v>7.3801324249349237E-2</v>
      </c>
      <c r="W84" s="436">
        <v>1.3216310151610474E-2</v>
      </c>
      <c r="X84" s="436">
        <v>1.7621746868813966E-2</v>
      </c>
      <c r="Y84" s="436">
        <v>5.0750630982184224E-3</v>
      </c>
      <c r="Z84" s="436">
        <v>3.964893045483143E-3</v>
      </c>
      <c r="AA84" s="529">
        <v>0.27227505923280093</v>
      </c>
      <c r="AB84" s="2">
        <f>+SUM(U86:Z86)-SUM(U85:Z85)</f>
        <v>1.8906674939975776E-3</v>
      </c>
      <c r="AC84" s="424"/>
    </row>
    <row r="85" spans="2:29" hidden="1" x14ac:dyDescent="0.35">
      <c r="G85" s="32"/>
      <c r="O85" s="427"/>
      <c r="P85" s="427"/>
      <c r="Q85" s="428"/>
      <c r="R85" s="514" t="e">
        <f>+R96/AB94</f>
        <v>#DIV/0!</v>
      </c>
      <c r="S85" s="455" t="s">
        <v>22</v>
      </c>
      <c r="T85" s="448">
        <v>2013</v>
      </c>
      <c r="U85" s="517">
        <v>0.18819818749349776</v>
      </c>
      <c r="V85" s="516">
        <v>4.0937810734523107E-2</v>
      </c>
      <c r="W85" s="516">
        <v>1.5468344177547761E-2</v>
      </c>
      <c r="X85" s="516">
        <v>9.7966179791135824E-3</v>
      </c>
      <c r="Y85" s="516">
        <v>1.546834417754776E-2</v>
      </c>
      <c r="Z85" s="516">
        <v>0</v>
      </c>
      <c r="AA85" s="529">
        <v>0.26986930456222996</v>
      </c>
      <c r="AC85" s="424"/>
    </row>
    <row r="86" spans="2:29" x14ac:dyDescent="0.35">
      <c r="G86" s="32"/>
      <c r="O86" s="427"/>
      <c r="P86" s="427"/>
      <c r="Q86" s="428"/>
      <c r="R86" s="2">
        <f>+U86-U85</f>
        <v>-5.1304608327155943E-3</v>
      </c>
      <c r="S86" s="456" t="s">
        <v>19</v>
      </c>
      <c r="T86" s="433">
        <v>2023</v>
      </c>
      <c r="U86" s="436">
        <v>0.18306772666078217</v>
      </c>
      <c r="V86" s="436">
        <v>4.6078146800518874E-2</v>
      </c>
      <c r="W86" s="436">
        <v>1.525564388839851E-2</v>
      </c>
      <c r="X86" s="436">
        <v>1.525564388839851E-2</v>
      </c>
      <c r="Y86" s="436">
        <v>0</v>
      </c>
      <c r="Z86" s="436">
        <v>1.2102810818129486E-2</v>
      </c>
      <c r="AA86" s="529">
        <v>0.27175997205622754</v>
      </c>
      <c r="AB86" s="2">
        <f>+SUM(U88:Z88)-SUM(U87:Z87)</f>
        <v>5.7894416437200835E-3</v>
      </c>
      <c r="AC86" s="424"/>
    </row>
    <row r="87" spans="2:29" hidden="1" x14ac:dyDescent="0.35">
      <c r="G87" s="32"/>
      <c r="O87" s="427"/>
      <c r="P87" s="427"/>
      <c r="Q87" s="428"/>
      <c r="R87" s="514">
        <f>+R84/AB82</f>
        <v>13.409769472813588</v>
      </c>
      <c r="S87" s="456" t="s">
        <v>12</v>
      </c>
      <c r="T87" s="433">
        <v>2013</v>
      </c>
      <c r="U87" s="436">
        <v>0.15517232954099469</v>
      </c>
      <c r="V87" s="436">
        <v>7.0864864688187423E-2</v>
      </c>
      <c r="W87" s="436">
        <v>1.275389009925984E-2</v>
      </c>
      <c r="X87" s="436">
        <v>1.7005186799013122E-2</v>
      </c>
      <c r="Y87" s="436">
        <v>4.8974937981157785E-3</v>
      </c>
      <c r="Z87" s="436">
        <v>3.5710892277927555E-3</v>
      </c>
      <c r="AA87" s="529">
        <v>0.26426485415336359</v>
      </c>
      <c r="AC87" s="424"/>
    </row>
    <row r="88" spans="2:29" x14ac:dyDescent="0.35">
      <c r="G88" s="9"/>
      <c r="O88" s="427"/>
      <c r="P88" s="427"/>
      <c r="Q88" s="428"/>
      <c r="R88" s="2">
        <f>+U88-U87</f>
        <v>3.7680823639517524E-2</v>
      </c>
      <c r="S88" s="455" t="s">
        <v>28</v>
      </c>
      <c r="T88" s="448">
        <v>2023</v>
      </c>
      <c r="U88" s="516">
        <v>0.19285315318051222</v>
      </c>
      <c r="V88" s="516">
        <v>4.9880279249332221E-2</v>
      </c>
      <c r="W88" s="516">
        <v>0</v>
      </c>
      <c r="X88" s="516">
        <v>8.0355480491880096E-3</v>
      </c>
      <c r="Y88" s="516">
        <v>1.6064667659936669E-2</v>
      </c>
      <c r="Z88" s="516">
        <v>3.2206476581145543E-3</v>
      </c>
      <c r="AA88" s="529">
        <v>0.27005429579708368</v>
      </c>
      <c r="AB88" s="2">
        <f>+SUM(U90:Z90)-SUM(U89:Z89)</f>
        <v>3.9659125341230783E-2</v>
      </c>
      <c r="AC88" s="424"/>
    </row>
    <row r="89" spans="2:29" hidden="1" x14ac:dyDescent="0.35">
      <c r="G89" s="32"/>
      <c r="O89" s="427"/>
      <c r="P89" s="427"/>
      <c r="Q89" s="428"/>
      <c r="R89" s="514">
        <f>+R88/AB86</f>
        <v>6.5085419213769304</v>
      </c>
      <c r="S89" s="456" t="s">
        <v>14</v>
      </c>
      <c r="T89" s="433">
        <v>2013</v>
      </c>
      <c r="U89" s="450">
        <v>0.13173998974395107</v>
      </c>
      <c r="V89" s="437">
        <v>5.1576205984756845E-2</v>
      </c>
      <c r="W89" s="437">
        <v>1.0827944362516526E-2</v>
      </c>
      <c r="X89" s="437">
        <v>7.5795610537615684E-3</v>
      </c>
      <c r="Y89" s="437">
        <v>1.2921346939269721E-2</v>
      </c>
      <c r="Z89" s="437">
        <v>0</v>
      </c>
      <c r="AA89" s="529">
        <v>0.21464504808425572</v>
      </c>
      <c r="AB89" s="7"/>
      <c r="AC89" s="424"/>
    </row>
    <row r="90" spans="2:29" x14ac:dyDescent="0.35">
      <c r="G90" s="32"/>
      <c r="O90" s="427"/>
      <c r="P90" s="427"/>
      <c r="Q90" s="428"/>
      <c r="R90" s="2">
        <f>+U90-U89</f>
        <v>4.2717745883325026E-2</v>
      </c>
      <c r="S90" s="456" t="s">
        <v>26</v>
      </c>
      <c r="T90" s="433">
        <v>2023</v>
      </c>
      <c r="U90" s="431">
        <v>0.17445773562727609</v>
      </c>
      <c r="V90" s="431">
        <v>4.2686940109600578E-2</v>
      </c>
      <c r="W90" s="431">
        <v>1.4479992057063917E-2</v>
      </c>
      <c r="X90" s="431">
        <v>8.7228867813638044E-3</v>
      </c>
      <c r="Y90" s="431">
        <v>1.116529508014567E-2</v>
      </c>
      <c r="Z90" s="431">
        <v>2.7913237700364175E-3</v>
      </c>
      <c r="AA90" s="529">
        <v>0.2543041734254865</v>
      </c>
      <c r="AB90" s="2">
        <f>+SUM(U92:Z92)-SUM(U91:Z91)</f>
        <v>4.0744154422885898E-2</v>
      </c>
      <c r="AC90" s="424"/>
    </row>
    <row r="91" spans="2:29" hidden="1" x14ac:dyDescent="0.35">
      <c r="G91" s="32"/>
      <c r="O91" s="427"/>
      <c r="P91" s="427"/>
      <c r="Q91" s="428"/>
      <c r="R91" s="514">
        <f>+R90/AB88</f>
        <v>1.077122743272263</v>
      </c>
      <c r="S91" s="455" t="s">
        <v>28</v>
      </c>
      <c r="T91" s="448">
        <v>2013</v>
      </c>
      <c r="U91" s="516">
        <v>0.14874173741316807</v>
      </c>
      <c r="V91" s="516">
        <v>3.5236917593179512E-2</v>
      </c>
      <c r="W91" s="516">
        <v>0</v>
      </c>
      <c r="X91" s="516">
        <v>6.1126741402671809E-3</v>
      </c>
      <c r="Y91" s="516">
        <v>1.2225348280534362E-2</v>
      </c>
      <c r="Z91" s="516">
        <v>2.4450696561068722E-3</v>
      </c>
      <c r="AA91" s="529">
        <v>0.20476174708325601</v>
      </c>
      <c r="AB91" s="428"/>
      <c r="AC91" s="424"/>
    </row>
    <row r="92" spans="2:29" x14ac:dyDescent="0.35">
      <c r="G92" s="32"/>
      <c r="O92" s="427"/>
      <c r="P92" s="427"/>
      <c r="Q92" s="428"/>
      <c r="R92" s="2">
        <f>+U92-U91</f>
        <v>1.1984503428268956E-3</v>
      </c>
      <c r="S92" s="456" t="s">
        <v>14</v>
      </c>
      <c r="T92" s="433">
        <v>2023</v>
      </c>
      <c r="U92" s="437">
        <v>0.14994018775599496</v>
      </c>
      <c r="V92" s="437">
        <v>5.9520092613605774E-2</v>
      </c>
      <c r="W92" s="437">
        <v>1.2445035583747582E-2</v>
      </c>
      <c r="X92" s="437">
        <v>8.6965308898477086E-3</v>
      </c>
      <c r="Y92" s="437">
        <v>1.4904054662945898E-2</v>
      </c>
      <c r="Z92" s="437">
        <v>0</v>
      </c>
      <c r="AA92" s="529">
        <v>0.2455059015061419</v>
      </c>
      <c r="AB92" s="2">
        <f>+SUM(U94:Z94)-SUM(U93:Z93)</f>
        <v>3.5466543447262855E-3</v>
      </c>
      <c r="AC92" s="424"/>
    </row>
    <row r="93" spans="2:29" hidden="1" x14ac:dyDescent="0.35">
      <c r="G93" s="32"/>
      <c r="O93" s="427"/>
      <c r="P93" s="427"/>
      <c r="Q93" s="428"/>
      <c r="R93" s="514">
        <f>+R92/AB90</f>
        <v>2.9414043800936724E-2</v>
      </c>
      <c r="S93" s="456" t="s">
        <v>26</v>
      </c>
      <c r="T93" s="433">
        <v>2013</v>
      </c>
      <c r="U93" s="451">
        <v>0.13173998974395107</v>
      </c>
      <c r="V93" s="436">
        <v>4.9600106138597576E-2</v>
      </c>
      <c r="W93" s="436">
        <v>1.0833880735522293E-2</v>
      </c>
      <c r="X93" s="436">
        <v>7.583716514865604E-3</v>
      </c>
      <c r="Y93" s="436">
        <v>1.0060713785705708E-2</v>
      </c>
      <c r="Z93" s="436">
        <v>2.4495650956500854E-3</v>
      </c>
      <c r="AA93" s="529">
        <v>0.21226797201429237</v>
      </c>
      <c r="AC93" s="424"/>
    </row>
    <row r="94" spans="2:29" x14ac:dyDescent="0.35">
      <c r="G94" s="32"/>
      <c r="O94" s="427"/>
      <c r="P94" s="427"/>
      <c r="Q94" s="428"/>
      <c r="R94" s="2">
        <f>+U94-U93</f>
        <v>1.1371207681762224E-2</v>
      </c>
      <c r="S94" s="456" t="s">
        <v>24</v>
      </c>
      <c r="T94" s="433">
        <v>2023</v>
      </c>
      <c r="U94" s="431">
        <v>0.14311119742571329</v>
      </c>
      <c r="V94" s="431">
        <v>4.3565989137430122E-2</v>
      </c>
      <c r="W94" s="431">
        <v>6.0106702918799586E-3</v>
      </c>
      <c r="X94" s="431">
        <v>8.0142270558399443E-3</v>
      </c>
      <c r="Y94" s="431">
        <v>1.5112542448155323E-2</v>
      </c>
      <c r="Z94" s="431">
        <v>0</v>
      </c>
      <c r="AA94" s="529">
        <v>0.21581462635901866</v>
      </c>
      <c r="AC94" s="424"/>
    </row>
    <row r="95" spans="2:29" hidden="1" x14ac:dyDescent="0.35">
      <c r="G95" s="32"/>
      <c r="O95" s="427"/>
      <c r="P95" s="427"/>
      <c r="Q95" s="428"/>
      <c r="R95" s="514">
        <f>+R94/AB92</f>
        <v>3.2061787184507269</v>
      </c>
      <c r="S95" s="456" t="s">
        <v>24</v>
      </c>
      <c r="T95" s="433">
        <v>2013</v>
      </c>
      <c r="U95" s="452">
        <v>7.6062978674430043E-2</v>
      </c>
      <c r="V95" s="437">
        <v>3.0566689449278702E-2</v>
      </c>
      <c r="W95" s="437">
        <v>3.1258758359354812E-3</v>
      </c>
      <c r="X95" s="437">
        <v>2.9174841135397827E-3</v>
      </c>
      <c r="Y95" s="437">
        <v>7.9188854510365524E-3</v>
      </c>
      <c r="Z95" s="437">
        <v>0</v>
      </c>
      <c r="AA95" s="529">
        <v>0.12059191352422058</v>
      </c>
      <c r="AC95" s="424"/>
    </row>
    <row r="96" spans="2:29" x14ac:dyDescent="0.35">
      <c r="G96" s="32"/>
      <c r="O96" s="427"/>
      <c r="P96" s="427"/>
      <c r="Q96" s="428"/>
      <c r="R96" s="427"/>
      <c r="S96" s="456" t="s">
        <v>31</v>
      </c>
      <c r="T96" s="433">
        <v>2023</v>
      </c>
      <c r="U96" s="431">
        <v>0.10341574930995291</v>
      </c>
      <c r="V96" s="431">
        <v>1.3650878908913784E-2</v>
      </c>
      <c r="W96" s="431">
        <v>0</v>
      </c>
      <c r="X96" s="431">
        <v>4.0217235842759467E-3</v>
      </c>
      <c r="Y96" s="431">
        <v>4.3089895545813713E-3</v>
      </c>
      <c r="Z96" s="431">
        <v>0</v>
      </c>
      <c r="AA96" s="529">
        <v>0.12539734135772401</v>
      </c>
      <c r="AB96" s="2"/>
    </row>
    <row r="97" spans="7:30" ht="18.5" hidden="1" x14ac:dyDescent="0.45">
      <c r="G97" s="32"/>
      <c r="R97" s="514">
        <f>+R86/AB84</f>
        <v>-2.7135711853107933</v>
      </c>
      <c r="S97" s="456" t="s">
        <v>31</v>
      </c>
      <c r="T97" s="433">
        <v>2013</v>
      </c>
      <c r="U97" s="452">
        <v>9.7757846915806731E-2</v>
      </c>
      <c r="V97" s="437">
        <v>1.3167961721156521E-2</v>
      </c>
      <c r="W97" s="437"/>
      <c r="X97" s="437">
        <v>3.749616046085738E-3</v>
      </c>
      <c r="Y97" s="437">
        <v>4.4459733117873743E-3</v>
      </c>
      <c r="Z97" s="437">
        <v>0</v>
      </c>
      <c r="AA97" s="529">
        <v>0.11912139799483637</v>
      </c>
      <c r="AB97" s="526">
        <f>+AVERAGE(AB58:AB94)</f>
        <v>5.3516451425389445E-2</v>
      </c>
    </row>
    <row r="98" spans="7:30" x14ac:dyDescent="0.35">
      <c r="G98" s="32"/>
      <c r="R98" s="2">
        <f>+U98-U97</f>
        <v>-9.5168734932043197E-2</v>
      </c>
      <c r="S98" s="455" t="s">
        <v>22</v>
      </c>
      <c r="T98" s="448">
        <v>2023</v>
      </c>
      <c r="U98" s="516">
        <v>2.5891119837635275E-3</v>
      </c>
      <c r="V98" s="516">
        <v>5.6313185646856721E-4</v>
      </c>
      <c r="W98" s="516">
        <v>2.1575933198029394E-4</v>
      </c>
      <c r="X98" s="516">
        <v>1.3664757692085285E-4</v>
      </c>
      <c r="Y98" s="516">
        <v>2.15759331980294E-4</v>
      </c>
      <c r="Z98" s="516">
        <v>0</v>
      </c>
      <c r="AA98" s="529">
        <v>3.7204100811135355E-3</v>
      </c>
      <c r="AB98" s="2">
        <f>+SUM(U100:Z100)-SUM(U99:Z99)</f>
        <v>0</v>
      </c>
    </row>
    <row r="99" spans="7:30" ht="18.5" x14ac:dyDescent="0.45">
      <c r="G99" s="32"/>
      <c r="R99" s="515" t="e">
        <f>+AVERAGE(R97,R85,R95,R93,R91,R89,R87,R83,R81,R79,R77,R75,R71,R69,R67,R65,R63,R61,R59)</f>
        <v>#DIV/0!</v>
      </c>
      <c r="S99" s="9"/>
      <c r="T99" s="540"/>
      <c r="U99" s="9"/>
      <c r="V99" s="9"/>
      <c r="W99" s="9"/>
      <c r="X99" s="9"/>
      <c r="Y99" s="9"/>
      <c r="Z99" s="9"/>
    </row>
    <row r="100" spans="7:30" ht="18.5" x14ac:dyDescent="0.45">
      <c r="G100" s="32"/>
      <c r="R100" s="515"/>
      <c r="S100" s="9"/>
      <c r="T100" s="540"/>
      <c r="U100" s="9"/>
      <c r="V100" s="9"/>
      <c r="W100" s="9"/>
      <c r="X100" s="9"/>
      <c r="Y100" s="9"/>
      <c r="Z100" s="9"/>
    </row>
    <row r="101" spans="7:30" x14ac:dyDescent="0.35">
      <c r="G101" s="32"/>
      <c r="S101" s="9"/>
      <c r="T101" s="540"/>
      <c r="U101" s="9"/>
      <c r="V101" s="9"/>
      <c r="W101" s="9"/>
      <c r="X101" s="9"/>
      <c r="Y101" s="9"/>
      <c r="Z101" s="9"/>
      <c r="AD101" t="s">
        <v>454</v>
      </c>
    </row>
    <row r="102" spans="7:30" ht="18.5" x14ac:dyDescent="0.45">
      <c r="G102" s="32"/>
      <c r="R102" s="515"/>
      <c r="S102" s="9"/>
      <c r="T102" s="540"/>
      <c r="U102" s="9"/>
      <c r="V102" s="9"/>
      <c r="W102" s="9"/>
      <c r="X102" s="9"/>
      <c r="Y102" s="9"/>
      <c r="Z102" s="9"/>
    </row>
    <row r="103" spans="7:30" ht="18.5" x14ac:dyDescent="0.45">
      <c r="G103" s="32"/>
      <c r="R103" s="515"/>
      <c r="T103" s="9"/>
      <c r="U103" s="31"/>
      <c r="V103" s="31"/>
      <c r="W103" s="31"/>
      <c r="X103" s="31"/>
      <c r="Y103" s="31"/>
      <c r="Z103" s="31"/>
    </row>
    <row r="104" spans="7:30" ht="18.5" x14ac:dyDescent="0.45">
      <c r="G104" s="32"/>
      <c r="R104" s="515"/>
      <c r="T104" s="9"/>
      <c r="U104" s="64"/>
      <c r="V104" s="64"/>
      <c r="W104" s="64"/>
      <c r="X104" s="64"/>
      <c r="Y104" s="64"/>
      <c r="Z104" s="64"/>
    </row>
    <row r="105" spans="7:30" ht="18.5" x14ac:dyDescent="0.45">
      <c r="G105" s="32"/>
      <c r="R105" s="515"/>
      <c r="T105" s="9"/>
    </row>
    <row r="106" spans="7:30" ht="18.5" x14ac:dyDescent="0.45">
      <c r="G106" s="32"/>
      <c r="R106" s="515"/>
      <c r="T106" s="9"/>
    </row>
    <row r="107" spans="7:30" ht="18.5" x14ac:dyDescent="0.45">
      <c r="G107" s="32"/>
      <c r="R107" s="515"/>
      <c r="T107" s="9"/>
    </row>
    <row r="108" spans="7:30" ht="18.5" x14ac:dyDescent="0.45">
      <c r="G108" s="32"/>
      <c r="R108" s="515"/>
      <c r="T108" s="9"/>
    </row>
    <row r="109" spans="7:30" ht="18.5" x14ac:dyDescent="0.45">
      <c r="G109" s="32"/>
      <c r="R109" s="515"/>
      <c r="T109" s="9"/>
    </row>
    <row r="110" spans="7:30" ht="18.5" x14ac:dyDescent="0.45">
      <c r="G110" s="32"/>
      <c r="R110" s="515"/>
      <c r="T110" s="9"/>
    </row>
    <row r="111" spans="7:30" ht="18.5" x14ac:dyDescent="0.45">
      <c r="G111" s="32"/>
      <c r="R111" s="515"/>
      <c r="T111" s="9"/>
    </row>
    <row r="112" spans="7:30" ht="18.5" x14ac:dyDescent="0.45">
      <c r="G112" s="32"/>
      <c r="R112" s="515"/>
      <c r="T112" s="9"/>
    </row>
    <row r="113" spans="1:27" ht="18.5" x14ac:dyDescent="0.45">
      <c r="G113" s="32"/>
      <c r="R113" s="515"/>
      <c r="T113" s="9"/>
    </row>
    <row r="114" spans="1:27" ht="18.5" x14ac:dyDescent="0.45">
      <c r="G114" s="32"/>
      <c r="R114" s="515"/>
      <c r="T114" s="9"/>
    </row>
    <row r="115" spans="1:27" ht="18.5" x14ac:dyDescent="0.45">
      <c r="G115" s="32"/>
      <c r="R115" s="515"/>
      <c r="T115" s="9"/>
    </row>
    <row r="116" spans="1:27" ht="18.5" x14ac:dyDescent="0.45">
      <c r="G116" s="32"/>
      <c r="R116" s="515"/>
      <c r="T116" s="9"/>
    </row>
    <row r="117" spans="1:27" ht="18.5" x14ac:dyDescent="0.45">
      <c r="G117" s="32"/>
      <c r="R117" s="515"/>
      <c r="T117" s="9"/>
    </row>
    <row r="118" spans="1:27" ht="18.5" x14ac:dyDescent="0.45">
      <c r="G118" s="32"/>
      <c r="R118" s="515"/>
      <c r="T118" s="9"/>
    </row>
    <row r="119" spans="1:27" ht="18.5" x14ac:dyDescent="0.45">
      <c r="G119" s="32"/>
      <c r="R119" s="515"/>
      <c r="T119" s="9"/>
    </row>
    <row r="120" spans="1:27" ht="18.5" x14ac:dyDescent="0.45">
      <c r="G120" s="32"/>
      <c r="R120" s="515"/>
      <c r="T120" s="9"/>
    </row>
    <row r="121" spans="1:27" ht="18.5" x14ac:dyDescent="0.45">
      <c r="G121" s="32"/>
      <c r="R121" s="515"/>
      <c r="T121" s="9"/>
    </row>
    <row r="122" spans="1:27" ht="18.5" x14ac:dyDescent="0.45">
      <c r="G122" s="32"/>
      <c r="R122" s="515"/>
      <c r="T122" s="9"/>
    </row>
    <row r="123" spans="1:27" ht="18.5" x14ac:dyDescent="0.45">
      <c r="G123" s="32"/>
      <c r="R123" s="515"/>
      <c r="T123" s="9"/>
    </row>
    <row r="124" spans="1:27" ht="18.5" x14ac:dyDescent="0.45">
      <c r="G124" s="32"/>
      <c r="R124" s="515"/>
      <c r="T124" s="9"/>
    </row>
    <row r="125" spans="1:27" ht="18.5" x14ac:dyDescent="0.45">
      <c r="G125" s="32"/>
      <c r="R125" s="515"/>
      <c r="T125" s="9"/>
    </row>
    <row r="126" spans="1:27" x14ac:dyDescent="0.35">
      <c r="G126" s="32"/>
    </row>
    <row r="127" spans="1:27" x14ac:dyDescent="0.35">
      <c r="A127" s="482"/>
      <c r="B127" s="482"/>
      <c r="C127" s="482"/>
      <c r="D127" s="482"/>
      <c r="E127" s="482"/>
      <c r="F127" s="482"/>
      <c r="G127" s="481"/>
      <c r="H127" s="482"/>
    </row>
    <row r="128" spans="1:27" ht="16" hidden="1" x14ac:dyDescent="0.4">
      <c r="A128" s="482"/>
      <c r="B128" s="482"/>
      <c r="C128" s="482"/>
      <c r="D128" s="482"/>
      <c r="E128" s="482"/>
      <c r="F128" s="482"/>
      <c r="G128" s="481"/>
      <c r="H128" s="482"/>
      <c r="U128" s="480" t="s">
        <v>60</v>
      </c>
      <c r="V128" s="480" t="s">
        <v>68</v>
      </c>
      <c r="W128" s="480" t="s">
        <v>82</v>
      </c>
      <c r="X128" s="480" t="s">
        <v>83</v>
      </c>
      <c r="Y128" s="480" t="s">
        <v>84</v>
      </c>
      <c r="Z128" s="480" t="s">
        <v>85</v>
      </c>
      <c r="AA128" s="527"/>
    </row>
    <row r="129" spans="1:29" ht="15" hidden="1" thickBot="1" x14ac:dyDescent="0.4">
      <c r="A129" s="482"/>
      <c r="B129" s="482"/>
      <c r="C129" s="482"/>
      <c r="D129" s="482"/>
      <c r="E129" s="482"/>
      <c r="F129" s="482"/>
      <c r="G129" s="481"/>
      <c r="H129" s="482"/>
      <c r="S129" s="509" t="s">
        <v>27</v>
      </c>
      <c r="T129" s="507"/>
      <c r="U129" s="508" t="e">
        <f t="shared" ref="U129:Z129" si="12">+B55</f>
        <v>#REF!</v>
      </c>
      <c r="V129" s="508" t="e">
        <f t="shared" si="12"/>
        <v>#REF!</v>
      </c>
      <c r="W129" s="508" t="e">
        <f t="shared" si="12"/>
        <v>#REF!</v>
      </c>
      <c r="X129" s="508" t="e">
        <f t="shared" si="12"/>
        <v>#REF!</v>
      </c>
      <c r="Y129" s="508" t="e">
        <f t="shared" si="12"/>
        <v>#REF!</v>
      </c>
      <c r="Z129" s="508" t="e">
        <f t="shared" si="12"/>
        <v>#REF!</v>
      </c>
      <c r="AA129" s="513"/>
      <c r="AB129" s="2" t="e">
        <f>SUM(U129:Z129)</f>
        <v>#REF!</v>
      </c>
    </row>
    <row r="130" spans="1:29" ht="38.25" hidden="1" customHeight="1" thickBot="1" x14ac:dyDescent="0.4">
      <c r="A130" s="483"/>
      <c r="B130" s="484"/>
      <c r="C130" s="484"/>
      <c r="D130" s="485"/>
      <c r="E130" s="485"/>
      <c r="F130" s="485"/>
      <c r="G130" s="485"/>
      <c r="H130" s="484"/>
      <c r="S130" s="509" t="s">
        <v>13</v>
      </c>
      <c r="T130" s="507"/>
      <c r="U130" s="508" t="e">
        <f t="shared" ref="U130:Z130" si="13">+B59</f>
        <v>#REF!</v>
      </c>
      <c r="V130" s="508" t="e">
        <f t="shared" si="13"/>
        <v>#REF!</v>
      </c>
      <c r="W130" s="508" t="e">
        <f t="shared" si="13"/>
        <v>#REF!</v>
      </c>
      <c r="X130" s="508" t="e">
        <f t="shared" si="13"/>
        <v>#REF!</v>
      </c>
      <c r="Y130" s="508" t="e">
        <f t="shared" si="13"/>
        <v>#REF!</v>
      </c>
      <c r="Z130" s="508" t="e">
        <f t="shared" si="13"/>
        <v>#REF!</v>
      </c>
      <c r="AA130" s="513"/>
      <c r="AB130" s="2" t="e">
        <f t="shared" ref="AB130:AB142" si="14">SUM(U130:Z130)</f>
        <v>#REF!</v>
      </c>
      <c r="AC130" s="513" t="e">
        <f>+AB130&lt;AB129</f>
        <v>#REF!</v>
      </c>
    </row>
    <row r="131" spans="1:29" ht="15" hidden="1" thickBot="1" x14ac:dyDescent="0.4">
      <c r="A131" s="356"/>
      <c r="B131" s="360"/>
      <c r="C131" s="360"/>
      <c r="D131" s="360"/>
      <c r="E131" s="360"/>
      <c r="F131" s="360"/>
      <c r="G131" s="360"/>
      <c r="H131" s="360"/>
      <c r="S131" s="509" t="s">
        <v>23</v>
      </c>
      <c r="T131" s="507"/>
      <c r="U131" s="508" t="e">
        <f t="shared" ref="U131:Z131" si="15">+B57</f>
        <v>#REF!</v>
      </c>
      <c r="V131" s="508" t="e">
        <f t="shared" si="15"/>
        <v>#REF!</v>
      </c>
      <c r="W131" s="508" t="e">
        <f t="shared" si="15"/>
        <v>#REF!</v>
      </c>
      <c r="X131" s="508" t="e">
        <f t="shared" si="15"/>
        <v>#REF!</v>
      </c>
      <c r="Y131" s="508" t="e">
        <f t="shared" si="15"/>
        <v>#REF!</v>
      </c>
      <c r="Z131" s="508" t="e">
        <f t="shared" si="15"/>
        <v>#REF!</v>
      </c>
      <c r="AA131" s="513"/>
      <c r="AB131" s="2" t="e">
        <f t="shared" si="14"/>
        <v>#REF!</v>
      </c>
      <c r="AC131" s="513" t="e">
        <f t="shared" ref="AC131:AC146" si="16">+AB131&lt;AB130</f>
        <v>#REF!</v>
      </c>
    </row>
    <row r="132" spans="1:29" ht="15" hidden="1" thickBot="1" x14ac:dyDescent="0.4">
      <c r="A132" s="356"/>
      <c r="B132" s="360"/>
      <c r="C132" s="360"/>
      <c r="D132" s="360"/>
      <c r="E132" s="360"/>
      <c r="F132" s="360"/>
      <c r="G132" s="360"/>
      <c r="H132" s="360"/>
      <c r="S132" s="509" t="s">
        <v>17</v>
      </c>
      <c r="T132" s="507"/>
      <c r="U132" s="508" t="e">
        <f t="shared" ref="U132:Z132" si="17">+B61</f>
        <v>#REF!</v>
      </c>
      <c r="V132" s="508" t="e">
        <f t="shared" si="17"/>
        <v>#REF!</v>
      </c>
      <c r="W132" s="508" t="e">
        <f t="shared" si="17"/>
        <v>#REF!</v>
      </c>
      <c r="X132" s="508" t="e">
        <f t="shared" si="17"/>
        <v>#REF!</v>
      </c>
      <c r="Y132" s="508" t="e">
        <f t="shared" si="17"/>
        <v>#REF!</v>
      </c>
      <c r="Z132" s="508" t="e">
        <f t="shared" si="17"/>
        <v>#REF!</v>
      </c>
      <c r="AA132" s="513"/>
      <c r="AB132" s="2" t="e">
        <f t="shared" si="14"/>
        <v>#REF!</v>
      </c>
      <c r="AC132" s="513" t="e">
        <f t="shared" si="16"/>
        <v>#REF!</v>
      </c>
    </row>
    <row r="133" spans="1:29" ht="15" hidden="1" thickBot="1" x14ac:dyDescent="0.4">
      <c r="A133" s="356"/>
      <c r="B133" s="360"/>
      <c r="C133" s="360"/>
      <c r="D133" s="360"/>
      <c r="E133" s="360"/>
      <c r="F133" s="360"/>
      <c r="G133" s="360"/>
      <c r="H133" s="360"/>
      <c r="S133" s="512" t="s">
        <v>20</v>
      </c>
      <c r="T133" s="507"/>
      <c r="U133" s="508" t="e">
        <f t="shared" ref="U133:Z133" si="18">+B56</f>
        <v>#REF!</v>
      </c>
      <c r="V133" s="508" t="e">
        <f t="shared" si="18"/>
        <v>#REF!</v>
      </c>
      <c r="W133" s="508" t="e">
        <f t="shared" si="18"/>
        <v>#REF!</v>
      </c>
      <c r="X133" s="508" t="e">
        <f t="shared" si="18"/>
        <v>#REF!</v>
      </c>
      <c r="Y133" s="508" t="e">
        <f t="shared" si="18"/>
        <v>#REF!</v>
      </c>
      <c r="Z133" s="508" t="e">
        <f t="shared" si="18"/>
        <v>#REF!</v>
      </c>
      <c r="AA133" s="513"/>
      <c r="AB133" s="2" t="e">
        <f t="shared" si="14"/>
        <v>#REF!</v>
      </c>
      <c r="AC133" s="513" t="e">
        <f t="shared" si="16"/>
        <v>#REF!</v>
      </c>
    </row>
    <row r="134" spans="1:29" ht="15" hidden="1" thickBot="1" x14ac:dyDescent="0.4">
      <c r="A134" s="356"/>
      <c r="B134" s="360"/>
      <c r="C134" s="360"/>
      <c r="D134" s="360"/>
      <c r="E134" s="360"/>
      <c r="F134" s="360"/>
      <c r="G134" s="360"/>
      <c r="H134" s="360"/>
      <c r="S134" s="509" t="s">
        <v>21</v>
      </c>
      <c r="T134" s="507"/>
      <c r="U134" s="508" t="e">
        <f t="shared" ref="U134:Z134" si="19">+B58</f>
        <v>#REF!</v>
      </c>
      <c r="V134" s="508" t="e">
        <f t="shared" si="19"/>
        <v>#REF!</v>
      </c>
      <c r="W134" s="508" t="e">
        <f t="shared" si="19"/>
        <v>#REF!</v>
      </c>
      <c r="X134" s="508" t="e">
        <f t="shared" si="19"/>
        <v>#REF!</v>
      </c>
      <c r="Y134" s="508" t="e">
        <f t="shared" si="19"/>
        <v>#REF!</v>
      </c>
      <c r="Z134" s="508" t="e">
        <f t="shared" si="19"/>
        <v>#REF!</v>
      </c>
      <c r="AA134" s="513"/>
      <c r="AB134" s="2" t="e">
        <f t="shared" si="14"/>
        <v>#REF!</v>
      </c>
      <c r="AC134" s="513" t="e">
        <f t="shared" si="16"/>
        <v>#REF!</v>
      </c>
    </row>
    <row r="135" spans="1:29" ht="15" hidden="1" thickBot="1" x14ac:dyDescent="0.4">
      <c r="A135" s="356"/>
      <c r="B135" s="360"/>
      <c r="C135" s="360"/>
      <c r="D135" s="360"/>
      <c r="E135" s="360"/>
      <c r="F135" s="360"/>
      <c r="G135" s="360"/>
      <c r="H135" s="360"/>
      <c r="S135" s="509" t="s">
        <v>25</v>
      </c>
      <c r="T135" s="507"/>
      <c r="U135" s="508" t="e">
        <f t="shared" ref="U135:Z135" si="20">+B64</f>
        <v>#REF!</v>
      </c>
      <c r="V135" s="508" t="e">
        <f t="shared" si="20"/>
        <v>#REF!</v>
      </c>
      <c r="W135" s="508" t="e">
        <f t="shared" si="20"/>
        <v>#REF!</v>
      </c>
      <c r="X135" s="508" t="e">
        <f t="shared" si="20"/>
        <v>#REF!</v>
      </c>
      <c r="Y135" s="508" t="e">
        <f t="shared" si="20"/>
        <v>#REF!</v>
      </c>
      <c r="Z135" s="508" t="e">
        <f t="shared" si="20"/>
        <v>#REF!</v>
      </c>
      <c r="AA135" s="513"/>
      <c r="AB135" s="2" t="e">
        <f t="shared" si="14"/>
        <v>#REF!</v>
      </c>
      <c r="AC135" s="513" t="e">
        <f t="shared" si="16"/>
        <v>#REF!</v>
      </c>
    </row>
    <row r="136" spans="1:29" ht="15" hidden="1" thickBot="1" x14ac:dyDescent="0.4">
      <c r="A136" s="356"/>
      <c r="B136" s="360"/>
      <c r="C136" s="360"/>
      <c r="D136" s="360"/>
      <c r="E136" s="360"/>
      <c r="F136" s="360"/>
      <c r="G136" s="360"/>
      <c r="H136" s="360"/>
      <c r="S136" s="509" t="s">
        <v>29</v>
      </c>
      <c r="T136" s="507"/>
      <c r="U136" s="508" t="e">
        <f t="shared" ref="U136:Z136" si="21">+B67</f>
        <v>#REF!</v>
      </c>
      <c r="V136" s="508" t="e">
        <f t="shared" si="21"/>
        <v>#REF!</v>
      </c>
      <c r="W136" s="508" t="e">
        <f t="shared" si="21"/>
        <v>#REF!</v>
      </c>
      <c r="X136" s="508" t="e">
        <f t="shared" si="21"/>
        <v>#REF!</v>
      </c>
      <c r="Y136" s="508" t="e">
        <f t="shared" si="21"/>
        <v>#REF!</v>
      </c>
      <c r="Z136" s="508" t="e">
        <f t="shared" si="21"/>
        <v>#REF!</v>
      </c>
      <c r="AA136" s="513"/>
      <c r="AB136" s="2" t="e">
        <f t="shared" si="14"/>
        <v>#REF!</v>
      </c>
      <c r="AC136" s="513" t="e">
        <f t="shared" si="16"/>
        <v>#REF!</v>
      </c>
    </row>
    <row r="137" spans="1:29" ht="15" hidden="1" thickBot="1" x14ac:dyDescent="0.4">
      <c r="A137" s="356"/>
      <c r="B137" s="360"/>
      <c r="C137" s="360"/>
      <c r="D137" s="360"/>
      <c r="E137" s="360"/>
      <c r="F137" s="360"/>
      <c r="G137" s="360"/>
      <c r="H137" s="360"/>
      <c r="S137" s="509" t="s">
        <v>16</v>
      </c>
      <c r="T137" s="507"/>
      <c r="U137" s="508" t="e">
        <f t="shared" ref="U137:Z137" si="22">+B62</f>
        <v>#REF!</v>
      </c>
      <c r="V137" s="508" t="e">
        <f t="shared" si="22"/>
        <v>#REF!</v>
      </c>
      <c r="W137" s="508" t="e">
        <f t="shared" si="22"/>
        <v>#REF!</v>
      </c>
      <c r="X137" s="508" t="e">
        <f t="shared" si="22"/>
        <v>#REF!</v>
      </c>
      <c r="Y137" s="508" t="e">
        <f t="shared" si="22"/>
        <v>#REF!</v>
      </c>
      <c r="Z137" s="508" t="e">
        <f t="shared" si="22"/>
        <v>#REF!</v>
      </c>
      <c r="AA137" s="513"/>
      <c r="AB137" s="2" t="e">
        <f t="shared" si="14"/>
        <v>#REF!</v>
      </c>
      <c r="AC137" s="513" t="e">
        <f t="shared" si="16"/>
        <v>#REF!</v>
      </c>
    </row>
    <row r="138" spans="1:29" ht="15" hidden="1" thickBot="1" x14ac:dyDescent="0.4">
      <c r="A138" s="356"/>
      <c r="B138" s="360"/>
      <c r="C138" s="360"/>
      <c r="D138" s="360"/>
      <c r="E138" s="360"/>
      <c r="F138" s="360"/>
      <c r="G138" s="360"/>
      <c r="H138" s="360"/>
      <c r="S138" s="509" t="s">
        <v>18</v>
      </c>
      <c r="T138" s="507"/>
      <c r="U138" s="508" t="e">
        <f t="shared" ref="U138:Z138" si="23">+B60</f>
        <v>#REF!</v>
      </c>
      <c r="V138" s="508" t="e">
        <f t="shared" si="23"/>
        <v>#REF!</v>
      </c>
      <c r="W138" s="508" t="e">
        <f t="shared" si="23"/>
        <v>#REF!</v>
      </c>
      <c r="X138" s="508" t="e">
        <f t="shared" si="23"/>
        <v>#REF!</v>
      </c>
      <c r="Y138" s="508" t="e">
        <f t="shared" si="23"/>
        <v>#REF!</v>
      </c>
      <c r="Z138" s="508" t="e">
        <f t="shared" si="23"/>
        <v>#REF!</v>
      </c>
      <c r="AA138" s="513"/>
      <c r="AB138" s="2" t="e">
        <f t="shared" si="14"/>
        <v>#REF!</v>
      </c>
      <c r="AC138" s="513" t="e">
        <f t="shared" si="16"/>
        <v>#REF!</v>
      </c>
    </row>
    <row r="139" spans="1:29" ht="15" hidden="1" thickBot="1" x14ac:dyDescent="0.4">
      <c r="A139" s="356"/>
      <c r="B139" s="360"/>
      <c r="C139" s="360"/>
      <c r="D139" s="360"/>
      <c r="E139" s="360"/>
      <c r="F139" s="360"/>
      <c r="G139" s="360"/>
      <c r="H139" s="360"/>
      <c r="S139" s="509" t="s">
        <v>15</v>
      </c>
      <c r="T139" s="507"/>
      <c r="U139" s="508" t="e">
        <f t="shared" ref="U139:Z139" si="24">+B66</f>
        <v>#REF!</v>
      </c>
      <c r="V139" s="508" t="e">
        <f t="shared" si="24"/>
        <v>#REF!</v>
      </c>
      <c r="W139" s="508" t="e">
        <f t="shared" si="24"/>
        <v>#REF!</v>
      </c>
      <c r="X139" s="508" t="e">
        <f t="shared" si="24"/>
        <v>#REF!</v>
      </c>
      <c r="Y139" s="508" t="e">
        <f t="shared" si="24"/>
        <v>#REF!</v>
      </c>
      <c r="Z139" s="508" t="e">
        <f t="shared" si="24"/>
        <v>#REF!</v>
      </c>
      <c r="AA139" s="513"/>
      <c r="AB139" s="2" t="e">
        <f t="shared" si="14"/>
        <v>#REF!</v>
      </c>
      <c r="AC139" s="513" t="e">
        <f t="shared" si="16"/>
        <v>#REF!</v>
      </c>
    </row>
    <row r="140" spans="1:29" ht="15" hidden="1" thickBot="1" x14ac:dyDescent="0.4">
      <c r="A140" s="356"/>
      <c r="B140" s="360"/>
      <c r="C140" s="360"/>
      <c r="D140" s="360"/>
      <c r="E140" s="360"/>
      <c r="F140" s="360"/>
      <c r="G140" s="360"/>
      <c r="H140" s="360"/>
      <c r="S140" s="509" t="s">
        <v>12</v>
      </c>
      <c r="T140" s="507"/>
      <c r="U140" s="508" t="e">
        <f t="shared" ref="U140:Z140" si="25">+B69</f>
        <v>#REF!</v>
      </c>
      <c r="V140" s="508" t="e">
        <f t="shared" si="25"/>
        <v>#REF!</v>
      </c>
      <c r="W140" s="508" t="e">
        <f t="shared" si="25"/>
        <v>#REF!</v>
      </c>
      <c r="X140" s="508" t="e">
        <f t="shared" si="25"/>
        <v>#REF!</v>
      </c>
      <c r="Y140" s="508" t="e">
        <f t="shared" si="25"/>
        <v>#REF!</v>
      </c>
      <c r="Z140" s="508" t="e">
        <f t="shared" si="25"/>
        <v>#REF!</v>
      </c>
      <c r="AA140" s="513"/>
      <c r="AB140" s="2" t="e">
        <f t="shared" si="14"/>
        <v>#REF!</v>
      </c>
      <c r="AC140" s="513" t="e">
        <f t="shared" si="16"/>
        <v>#REF!</v>
      </c>
    </row>
    <row r="141" spans="1:29" ht="15" hidden="1" thickBot="1" x14ac:dyDescent="0.4">
      <c r="A141" s="482"/>
      <c r="B141" s="482"/>
      <c r="C141" s="482"/>
      <c r="D141" s="482"/>
      <c r="E141" s="482"/>
      <c r="F141" s="482"/>
      <c r="G141" s="482"/>
      <c r="H141" s="482"/>
      <c r="S141" s="509" t="s">
        <v>11</v>
      </c>
      <c r="T141" s="507"/>
      <c r="U141" s="508" t="e">
        <f t="shared" ref="U141:Z141" si="26">+B63</f>
        <v>#REF!</v>
      </c>
      <c r="V141" s="508" t="e">
        <f t="shared" si="26"/>
        <v>#REF!</v>
      </c>
      <c r="W141" s="508" t="e">
        <f t="shared" si="26"/>
        <v>#REF!</v>
      </c>
      <c r="X141" s="508" t="e">
        <f t="shared" si="26"/>
        <v>#REF!</v>
      </c>
      <c r="Y141" s="508" t="e">
        <f t="shared" si="26"/>
        <v>#REF!</v>
      </c>
      <c r="Z141" s="508" t="e">
        <f t="shared" si="26"/>
        <v>#REF!</v>
      </c>
      <c r="AA141" s="513"/>
      <c r="AB141" s="2" t="e">
        <f t="shared" si="14"/>
        <v>#REF!</v>
      </c>
      <c r="AC141" s="513" t="e">
        <f t="shared" si="16"/>
        <v>#REF!</v>
      </c>
    </row>
    <row r="142" spans="1:29" ht="15" hidden="1" thickBot="1" x14ac:dyDescent="0.4">
      <c r="A142" s="483"/>
      <c r="B142" s="484"/>
      <c r="C142" s="485"/>
      <c r="D142" s="485"/>
      <c r="E142" s="485"/>
      <c r="F142" s="482"/>
      <c r="G142" s="482"/>
      <c r="H142" s="482"/>
      <c r="S142" s="509" t="s">
        <v>19</v>
      </c>
      <c r="T142" s="507"/>
      <c r="U142" s="508" t="e">
        <f t="shared" ref="U142:Z142" si="27">+B65</f>
        <v>#REF!</v>
      </c>
      <c r="V142" s="508" t="e">
        <f t="shared" si="27"/>
        <v>#REF!</v>
      </c>
      <c r="W142" s="508" t="e">
        <f t="shared" si="27"/>
        <v>#REF!</v>
      </c>
      <c r="X142" s="508" t="e">
        <f t="shared" si="27"/>
        <v>#REF!</v>
      </c>
      <c r="Y142" s="508" t="e">
        <f t="shared" si="27"/>
        <v>#REF!</v>
      </c>
      <c r="Z142" s="508" t="e">
        <f t="shared" si="27"/>
        <v>#REF!</v>
      </c>
      <c r="AA142" s="513"/>
      <c r="AB142" s="2" t="e">
        <f t="shared" si="14"/>
        <v>#REF!</v>
      </c>
      <c r="AC142" s="513" t="e">
        <f t="shared" si="16"/>
        <v>#REF!</v>
      </c>
    </row>
    <row r="143" spans="1:29" ht="15" hidden="1" thickBot="1" x14ac:dyDescent="0.4">
      <c r="A143" s="356"/>
      <c r="B143" s="488"/>
      <c r="C143" s="488"/>
      <c r="D143" s="356"/>
      <c r="E143" s="356"/>
      <c r="F143" s="482"/>
      <c r="G143" s="482"/>
      <c r="H143" s="482"/>
      <c r="S143" s="511" t="s">
        <v>28</v>
      </c>
      <c r="T143" s="507"/>
      <c r="U143" s="510" t="e">
        <f t="shared" ref="U143:Z143" si="28">+B71</f>
        <v>#REF!</v>
      </c>
      <c r="V143" s="510" t="e">
        <f t="shared" si="28"/>
        <v>#REF!</v>
      </c>
      <c r="W143" s="510" t="e">
        <f t="shared" si="28"/>
        <v>#REF!</v>
      </c>
      <c r="X143" s="510" t="e">
        <f t="shared" si="28"/>
        <v>#REF!</v>
      </c>
      <c r="Y143" s="510" t="e">
        <f t="shared" si="28"/>
        <v>#REF!</v>
      </c>
      <c r="Z143" s="510" t="e">
        <f t="shared" si="28"/>
        <v>#REF!</v>
      </c>
      <c r="AA143" s="528"/>
      <c r="AB143" s="2" t="e">
        <f>SUM(U146:Z146)</f>
        <v>#REF!</v>
      </c>
      <c r="AC143" s="513" t="e">
        <f t="shared" si="16"/>
        <v>#REF!</v>
      </c>
    </row>
    <row r="144" spans="1:29" ht="15" hidden="1" thickBot="1" x14ac:dyDescent="0.4">
      <c r="A144" s="356"/>
      <c r="B144" s="488"/>
      <c r="C144" s="488"/>
      <c r="D144" s="356"/>
      <c r="E144" s="356"/>
      <c r="F144" s="482"/>
      <c r="G144" s="482"/>
      <c r="H144" s="482"/>
      <c r="S144" s="509" t="s">
        <v>14</v>
      </c>
      <c r="T144" s="507"/>
      <c r="U144" s="508" t="e">
        <f t="shared" ref="U144:Z144" si="29">+B70</f>
        <v>#REF!</v>
      </c>
      <c r="V144" s="508" t="e">
        <f t="shared" si="29"/>
        <v>#REF!</v>
      </c>
      <c r="W144" s="508" t="e">
        <f t="shared" si="29"/>
        <v>#REF!</v>
      </c>
      <c r="X144" s="508" t="e">
        <f t="shared" si="29"/>
        <v>#REF!</v>
      </c>
      <c r="Y144" s="508" t="e">
        <f t="shared" si="29"/>
        <v>#REF!</v>
      </c>
      <c r="Z144" s="508" t="e">
        <f t="shared" si="29"/>
        <v>#REF!</v>
      </c>
      <c r="AA144" s="513"/>
      <c r="AB144" s="2" t="e">
        <f>SUM(U143:Z143)</f>
        <v>#REF!</v>
      </c>
      <c r="AC144" s="513" t="e">
        <f t="shared" si="16"/>
        <v>#REF!</v>
      </c>
    </row>
    <row r="145" spans="1:29" ht="15" hidden="1" thickBot="1" x14ac:dyDescent="0.4">
      <c r="A145" s="356"/>
      <c r="B145" s="488"/>
      <c r="C145" s="488"/>
      <c r="D145" s="356"/>
      <c r="E145" s="356"/>
      <c r="F145" s="482"/>
      <c r="G145" s="482"/>
      <c r="H145" s="482"/>
      <c r="S145" s="509" t="s">
        <v>24</v>
      </c>
      <c r="T145" s="507"/>
      <c r="U145" s="508" t="e">
        <f t="shared" ref="U145:Z145" si="30">+B73</f>
        <v>#REF!</v>
      </c>
      <c r="V145" s="508" t="e">
        <f t="shared" si="30"/>
        <v>#REF!</v>
      </c>
      <c r="W145" s="508" t="e">
        <f t="shared" si="30"/>
        <v>#REF!</v>
      </c>
      <c r="X145" s="508" t="e">
        <f t="shared" si="30"/>
        <v>#REF!</v>
      </c>
      <c r="Y145" s="508" t="e">
        <f t="shared" si="30"/>
        <v>#REF!</v>
      </c>
      <c r="Z145" s="508" t="e">
        <f t="shared" si="30"/>
        <v>#REF!</v>
      </c>
      <c r="AA145" s="513"/>
      <c r="AB145" s="2" t="e">
        <f>SUM(U144:Z144)</f>
        <v>#REF!</v>
      </c>
      <c r="AC145" s="513" t="e">
        <f t="shared" si="16"/>
        <v>#REF!</v>
      </c>
    </row>
    <row r="146" spans="1:29" s="482" customFormat="1" ht="15" hidden="1" thickBot="1" x14ac:dyDescent="0.4">
      <c r="A146" s="356"/>
      <c r="B146" s="488"/>
      <c r="C146" s="488"/>
      <c r="D146" s="356"/>
      <c r="E146" s="356"/>
      <c r="S146" s="509" t="s">
        <v>26</v>
      </c>
      <c r="T146" s="507"/>
      <c r="U146" s="508" t="e">
        <f t="shared" ref="U146:Z146" si="31">+B72</f>
        <v>#REF!</v>
      </c>
      <c r="V146" s="508" t="e">
        <f t="shared" si="31"/>
        <v>#REF!</v>
      </c>
      <c r="W146" s="508" t="e">
        <f t="shared" si="31"/>
        <v>#REF!</v>
      </c>
      <c r="X146" s="508" t="e">
        <f t="shared" si="31"/>
        <v>#REF!</v>
      </c>
      <c r="Y146" s="508" t="e">
        <f t="shared" si="31"/>
        <v>#REF!</v>
      </c>
      <c r="Z146" s="508" t="e">
        <f t="shared" si="31"/>
        <v>#REF!</v>
      </c>
      <c r="AA146" s="513"/>
      <c r="AB146" s="2" t="e">
        <f>SUM(U145:Z145)</f>
        <v>#REF!</v>
      </c>
      <c r="AC146" s="513" t="e">
        <f t="shared" si="16"/>
        <v>#REF!</v>
      </c>
    </row>
    <row r="147" spans="1:29" s="482" customFormat="1" x14ac:dyDescent="0.35">
      <c r="A147" s="486"/>
      <c r="B147" s="487"/>
      <c r="C147" s="487"/>
      <c r="D147" s="486"/>
      <c r="E147" s="486"/>
    </row>
    <row r="148" spans="1:29" s="482" customFormat="1" x14ac:dyDescent="0.35">
      <c r="A148" s="356"/>
      <c r="B148" s="488"/>
      <c r="C148" s="488"/>
      <c r="D148" s="356"/>
      <c r="E148" s="356"/>
    </row>
    <row r="149" spans="1:29" s="482" customFormat="1" x14ac:dyDescent="0.35">
      <c r="A149" s="486"/>
      <c r="B149" s="487"/>
      <c r="C149" s="487"/>
      <c r="D149" s="486"/>
      <c r="E149" s="486"/>
    </row>
    <row r="150" spans="1:29" s="482" customFormat="1" x14ac:dyDescent="0.35">
      <c r="A150" s="356"/>
      <c r="B150" s="488"/>
      <c r="C150" s="488"/>
      <c r="D150" s="356"/>
      <c r="E150" s="356"/>
    </row>
    <row r="151" spans="1:29" s="482" customFormat="1" x14ac:dyDescent="0.35">
      <c r="A151" s="486"/>
      <c r="B151" s="487"/>
      <c r="C151" s="487"/>
      <c r="D151" s="486"/>
      <c r="E151" s="486"/>
    </row>
    <row r="152" spans="1:29" s="482" customFormat="1" x14ac:dyDescent="0.35">
      <c r="A152" s="356"/>
      <c r="B152" s="488"/>
      <c r="C152" s="488"/>
      <c r="D152" s="356"/>
      <c r="E152" s="356"/>
    </row>
    <row r="153" spans="1:29" s="482" customFormat="1" x14ac:dyDescent="0.35">
      <c r="A153" s="486"/>
      <c r="B153" s="487"/>
      <c r="C153" s="487"/>
      <c r="D153" s="486"/>
      <c r="E153" s="486"/>
    </row>
    <row r="154" spans="1:29" s="482" customFormat="1" x14ac:dyDescent="0.35">
      <c r="A154" s="356"/>
      <c r="B154" s="488"/>
      <c r="C154" s="488"/>
      <c r="D154" s="356"/>
      <c r="E154" s="356"/>
    </row>
    <row r="155" spans="1:29" s="482" customFormat="1" x14ac:dyDescent="0.35">
      <c r="A155" s="486"/>
      <c r="B155" s="487"/>
      <c r="C155" s="487"/>
      <c r="D155" s="486"/>
      <c r="E155" s="486"/>
    </row>
    <row r="156" spans="1:29" s="482" customFormat="1" x14ac:dyDescent="0.35">
      <c r="A156" s="356"/>
      <c r="B156" s="488"/>
      <c r="C156" s="488"/>
      <c r="D156" s="356"/>
      <c r="E156" s="356"/>
    </row>
    <row r="157" spans="1:29" s="482" customFormat="1" x14ac:dyDescent="0.35">
      <c r="D157" s="489"/>
      <c r="E157" s="489"/>
    </row>
    <row r="158" spans="1:29" s="482" customFormat="1" x14ac:dyDescent="0.35">
      <c r="D158" s="489"/>
      <c r="E158" s="489"/>
    </row>
    <row r="159" spans="1:29" s="482" customFormat="1" x14ac:dyDescent="0.35"/>
    <row r="160" spans="1:29" s="482" customFormat="1" x14ac:dyDescent="0.35"/>
    <row r="161" s="482" customFormat="1" x14ac:dyDescent="0.35"/>
    <row r="162" s="482" customFormat="1" x14ac:dyDescent="0.35"/>
    <row r="163" s="482" customFormat="1" x14ac:dyDescent="0.35"/>
    <row r="164" s="482" customFormat="1" x14ac:dyDescent="0.35"/>
    <row r="165" s="482" customFormat="1" x14ac:dyDescent="0.35"/>
    <row r="166" s="482" customFormat="1" x14ac:dyDescent="0.35"/>
    <row r="167" s="482" customFormat="1" x14ac:dyDescent="0.35"/>
    <row r="168" s="482" customFormat="1" x14ac:dyDescent="0.35"/>
    <row r="169" s="482" customFormat="1" x14ac:dyDescent="0.35"/>
    <row r="170" s="482" customFormat="1" x14ac:dyDescent="0.35"/>
    <row r="171" s="482" customFormat="1" x14ac:dyDescent="0.35"/>
    <row r="172" s="482" customFormat="1" x14ac:dyDescent="0.35"/>
    <row r="173" s="482" customFormat="1" x14ac:dyDescent="0.35"/>
    <row r="174" s="482" customFormat="1" x14ac:dyDescent="0.35"/>
    <row r="175" s="482" customFormat="1" x14ac:dyDescent="0.35"/>
    <row r="176" s="482" customFormat="1" x14ac:dyDescent="0.35"/>
    <row r="177" s="482" customFormat="1" x14ac:dyDescent="0.35"/>
    <row r="178" s="482" customFormat="1" x14ac:dyDescent="0.35"/>
    <row r="179" s="482" customFormat="1" x14ac:dyDescent="0.35"/>
    <row r="180" s="482" customFormat="1" x14ac:dyDescent="0.35"/>
    <row r="181" s="482" customFormat="1" x14ac:dyDescent="0.35"/>
    <row r="182" s="482" customFormat="1" x14ac:dyDescent="0.35"/>
    <row r="183" s="482" customFormat="1" x14ac:dyDescent="0.35"/>
    <row r="184" s="482" customFormat="1" x14ac:dyDescent="0.35"/>
    <row r="185" s="482" customFormat="1" x14ac:dyDescent="0.35"/>
    <row r="186" s="482" customFormat="1" x14ac:dyDescent="0.35"/>
    <row r="187" s="482" customFormat="1" x14ac:dyDescent="0.35"/>
    <row r="188" s="482" customFormat="1" x14ac:dyDescent="0.35"/>
    <row r="189" s="482" customFormat="1" x14ac:dyDescent="0.35"/>
    <row r="190" s="482" customFormat="1" x14ac:dyDescent="0.35"/>
    <row r="191" s="482" customFormat="1" x14ac:dyDescent="0.35"/>
    <row r="192" s="482" customFormat="1" x14ac:dyDescent="0.35"/>
    <row r="193" s="482" customFormat="1" x14ac:dyDescent="0.35"/>
    <row r="194" s="482" customFormat="1" x14ac:dyDescent="0.35"/>
    <row r="195" s="482" customFormat="1" x14ac:dyDescent="0.35"/>
    <row r="196" s="482" customFormat="1" x14ac:dyDescent="0.35"/>
    <row r="197" s="482" customFormat="1" x14ac:dyDescent="0.35"/>
    <row r="198" s="482" customFormat="1" x14ac:dyDescent="0.35"/>
    <row r="199" s="482" customFormat="1" x14ac:dyDescent="0.35"/>
    <row r="200" s="482" customFormat="1" x14ac:dyDescent="0.35"/>
    <row r="201" s="482" customFormat="1" x14ac:dyDescent="0.35"/>
    <row r="202" s="482" customFormat="1" x14ac:dyDescent="0.35"/>
    <row r="203" s="482" customFormat="1" x14ac:dyDescent="0.35"/>
    <row r="204" s="482" customFormat="1" x14ac:dyDescent="0.35"/>
    <row r="205" s="482" customFormat="1" x14ac:dyDescent="0.35"/>
    <row r="206" s="482" customFormat="1" x14ac:dyDescent="0.35"/>
    <row r="207" s="482" customFormat="1" x14ac:dyDescent="0.35"/>
    <row r="208" s="482" customFormat="1" x14ac:dyDescent="0.35"/>
    <row r="209" s="482" customFormat="1" x14ac:dyDescent="0.35"/>
    <row r="210" s="482" customFormat="1" x14ac:dyDescent="0.35"/>
    <row r="211" s="482" customFormat="1" x14ac:dyDescent="0.35"/>
    <row r="212" s="482" customFormat="1" x14ac:dyDescent="0.35"/>
    <row r="213" s="482" customFormat="1" x14ac:dyDescent="0.35"/>
    <row r="214" s="482" customFormat="1" x14ac:dyDescent="0.35"/>
    <row r="215" s="482" customFormat="1" x14ac:dyDescent="0.35"/>
    <row r="216" s="482" customFormat="1" x14ac:dyDescent="0.35"/>
    <row r="217" s="482" customFormat="1" x14ac:dyDescent="0.35"/>
    <row r="218" s="482" customFormat="1" x14ac:dyDescent="0.35"/>
    <row r="219" s="482" customFormat="1" x14ac:dyDescent="0.35"/>
    <row r="220" s="482" customFormat="1" x14ac:dyDescent="0.35"/>
    <row r="221" s="482" customFormat="1" x14ac:dyDescent="0.35"/>
    <row r="222" s="482" customFormat="1" x14ac:dyDescent="0.35"/>
    <row r="223" s="482" customFormat="1" x14ac:dyDescent="0.35"/>
    <row r="224" s="482" customFormat="1" x14ac:dyDescent="0.35"/>
    <row r="225" s="482" customFormat="1" x14ac:dyDescent="0.35"/>
    <row r="226" s="482" customFormat="1" x14ac:dyDescent="0.35"/>
    <row r="227" s="482" customFormat="1" x14ac:dyDescent="0.35"/>
    <row r="228" s="482" customFormat="1" x14ac:dyDescent="0.35"/>
    <row r="229" s="482" customFormat="1" x14ac:dyDescent="0.35"/>
    <row r="230" s="482" customFormat="1" x14ac:dyDescent="0.35"/>
    <row r="231" s="482" customFormat="1" x14ac:dyDescent="0.35"/>
    <row r="232" s="482" customFormat="1" x14ac:dyDescent="0.35"/>
    <row r="233" s="482" customFormat="1" x14ac:dyDescent="0.35"/>
    <row r="234" s="482" customFormat="1" x14ac:dyDescent="0.35"/>
    <row r="235" s="482" customFormat="1" x14ac:dyDescent="0.35"/>
    <row r="236" s="482" customFormat="1" x14ac:dyDescent="0.35"/>
    <row r="237" s="482" customFormat="1" x14ac:dyDescent="0.35"/>
    <row r="238" s="482" customFormat="1" x14ac:dyDescent="0.35"/>
    <row r="239" s="482" customFormat="1" x14ac:dyDescent="0.35"/>
    <row r="240" s="482" customFormat="1" x14ac:dyDescent="0.35"/>
    <row r="241" s="482" customFormat="1" x14ac:dyDescent="0.35"/>
    <row r="242" s="482" customFormat="1" x14ac:dyDescent="0.35"/>
    <row r="243" s="482" customFormat="1" x14ac:dyDescent="0.35"/>
    <row r="244" s="482" customFormat="1" x14ac:dyDescent="0.35"/>
    <row r="245" s="482" customFormat="1" x14ac:dyDescent="0.35"/>
    <row r="246" s="482" customFormat="1" x14ac:dyDescent="0.35"/>
    <row r="247" s="482" customFormat="1" x14ac:dyDescent="0.35"/>
    <row r="248" s="482" customFormat="1" x14ac:dyDescent="0.35"/>
    <row r="249" s="482" customFormat="1" x14ac:dyDescent="0.35"/>
    <row r="250" s="482" customFormat="1" x14ac:dyDescent="0.35"/>
    <row r="251" s="482" customFormat="1" x14ac:dyDescent="0.35"/>
    <row r="252" s="482" customFormat="1" x14ac:dyDescent="0.35"/>
    <row r="253" s="482" customFormat="1" x14ac:dyDescent="0.35"/>
    <row r="254" s="482" customFormat="1" x14ac:dyDescent="0.35"/>
    <row r="255" s="482" customFormat="1" x14ac:dyDescent="0.35"/>
    <row r="256" s="482" customFormat="1" x14ac:dyDescent="0.35"/>
    <row r="257" s="482" customFormat="1" x14ac:dyDescent="0.35"/>
    <row r="258" s="482" customFormat="1" x14ac:dyDescent="0.35"/>
    <row r="259" s="482" customFormat="1" x14ac:dyDescent="0.35"/>
    <row r="260" s="482" customFormat="1" x14ac:dyDescent="0.35"/>
    <row r="261" s="482" customFormat="1" x14ac:dyDescent="0.35"/>
    <row r="262" s="482" customFormat="1" x14ac:dyDescent="0.35"/>
    <row r="263" s="482" customFormat="1" x14ac:dyDescent="0.35"/>
    <row r="264" s="482" customFormat="1" x14ac:dyDescent="0.35"/>
    <row r="265" s="482" customFormat="1" x14ac:dyDescent="0.35"/>
    <row r="266" s="482" customFormat="1" x14ac:dyDescent="0.35"/>
    <row r="267" s="482" customFormat="1" x14ac:dyDescent="0.35"/>
    <row r="268" s="482" customFormat="1" x14ac:dyDescent="0.35"/>
    <row r="269" s="482" customFormat="1" x14ac:dyDescent="0.35"/>
    <row r="270" s="482" customFormat="1" x14ac:dyDescent="0.35"/>
    <row r="271" s="482" customFormat="1" x14ac:dyDescent="0.35"/>
    <row r="272" s="482" customFormat="1" x14ac:dyDescent="0.35"/>
    <row r="273" s="482" customFormat="1" x14ac:dyDescent="0.35"/>
    <row r="274" s="482" customFormat="1" x14ac:dyDescent="0.35"/>
    <row r="275" s="482" customFormat="1" x14ac:dyDescent="0.35"/>
    <row r="276" s="482" customFormat="1" x14ac:dyDescent="0.35"/>
    <row r="277" s="482" customFormat="1" x14ac:dyDescent="0.35"/>
    <row r="278" s="482" customFormat="1" x14ac:dyDescent="0.35"/>
    <row r="279" s="482" customFormat="1" x14ac:dyDescent="0.35"/>
    <row r="280" s="482" customFormat="1" x14ac:dyDescent="0.35"/>
    <row r="281" s="482" customFormat="1" x14ac:dyDescent="0.35"/>
    <row r="282" s="482" customFormat="1" x14ac:dyDescent="0.35"/>
    <row r="283" s="482" customFormat="1" x14ac:dyDescent="0.35"/>
    <row r="284" s="482" customFormat="1" x14ac:dyDescent="0.35"/>
    <row r="285" s="482" customFormat="1" x14ac:dyDescent="0.35"/>
    <row r="286" s="482" customFormat="1" x14ac:dyDescent="0.35"/>
    <row r="287" s="482" customFormat="1" x14ac:dyDescent="0.35"/>
    <row r="288" s="482" customFormat="1" x14ac:dyDescent="0.35"/>
    <row r="289" s="482" customFormat="1" x14ac:dyDescent="0.35"/>
    <row r="290" s="482" customFormat="1" x14ac:dyDescent="0.35"/>
    <row r="291" s="482" customFormat="1" x14ac:dyDescent="0.35"/>
    <row r="292" s="482" customFormat="1" x14ac:dyDescent="0.35"/>
    <row r="293" s="482" customFormat="1" x14ac:dyDescent="0.35"/>
    <row r="294" s="482" customFormat="1" x14ac:dyDescent="0.35"/>
    <row r="295" s="482" customFormat="1" x14ac:dyDescent="0.35"/>
    <row r="296" s="482" customFormat="1" x14ac:dyDescent="0.35"/>
    <row r="297" s="482" customFormat="1" x14ac:dyDescent="0.35"/>
    <row r="298" s="482" customFormat="1" x14ac:dyDescent="0.35"/>
    <row r="299" s="482" customFormat="1" x14ac:dyDescent="0.35"/>
    <row r="300" s="482" customFormat="1" x14ac:dyDescent="0.35"/>
    <row r="301" s="482" customFormat="1" x14ac:dyDescent="0.35"/>
    <row r="302" s="482" customFormat="1" x14ac:dyDescent="0.35"/>
    <row r="303" s="482" customFormat="1" x14ac:dyDescent="0.35"/>
    <row r="304" s="482" customFormat="1" x14ac:dyDescent="0.35"/>
    <row r="305" s="482" customFormat="1" x14ac:dyDescent="0.35"/>
    <row r="306" s="482" customFormat="1" x14ac:dyDescent="0.35"/>
    <row r="307" s="482" customFormat="1" x14ac:dyDescent="0.35"/>
    <row r="308" s="482" customFormat="1" x14ac:dyDescent="0.35"/>
    <row r="309" s="482" customFormat="1" x14ac:dyDescent="0.35"/>
    <row r="310" s="482" customFormat="1" x14ac:dyDescent="0.35"/>
    <row r="311" s="482" customFormat="1" x14ac:dyDescent="0.35"/>
    <row r="312" s="482" customFormat="1" x14ac:dyDescent="0.35"/>
    <row r="313" s="482" customFormat="1" x14ac:dyDescent="0.35"/>
    <row r="314" s="482" customFormat="1" x14ac:dyDescent="0.35"/>
    <row r="315" s="482" customFormat="1" x14ac:dyDescent="0.35"/>
    <row r="316" s="482" customFormat="1" x14ac:dyDescent="0.35"/>
    <row r="317" s="482" customFormat="1" x14ac:dyDescent="0.35"/>
    <row r="318" s="482" customFormat="1" x14ac:dyDescent="0.35"/>
    <row r="319" s="482" customFormat="1" x14ac:dyDescent="0.35"/>
    <row r="320" s="482" customFormat="1" x14ac:dyDescent="0.35"/>
    <row r="321" s="482" customFormat="1" x14ac:dyDescent="0.35"/>
    <row r="322" s="482" customFormat="1" x14ac:dyDescent="0.35"/>
    <row r="323" s="482" customFormat="1" x14ac:dyDescent="0.35"/>
    <row r="324" s="482" customFormat="1" x14ac:dyDescent="0.35"/>
    <row r="325" s="482" customFormat="1" x14ac:dyDescent="0.35"/>
    <row r="326" s="482" customFormat="1" x14ac:dyDescent="0.35"/>
    <row r="327" s="482" customFormat="1" x14ac:dyDescent="0.35"/>
    <row r="328" s="482" customFormat="1" x14ac:dyDescent="0.35"/>
    <row r="329" s="482" customFormat="1" x14ac:dyDescent="0.35"/>
    <row r="330" s="482" customFormat="1" x14ac:dyDescent="0.35"/>
    <row r="331" s="482" customFormat="1" x14ac:dyDescent="0.35"/>
    <row r="332" s="482" customFormat="1" x14ac:dyDescent="0.35"/>
    <row r="333" s="482" customFormat="1" x14ac:dyDescent="0.35"/>
    <row r="334" s="482" customFormat="1" x14ac:dyDescent="0.35"/>
    <row r="335" s="482" customFormat="1" x14ac:dyDescent="0.35"/>
    <row r="336" s="482" customFormat="1" x14ac:dyDescent="0.35"/>
    <row r="337" s="482" customFormat="1" x14ac:dyDescent="0.35"/>
    <row r="338" s="482" customFormat="1" x14ac:dyDescent="0.35"/>
    <row r="339" s="482" customFormat="1" x14ac:dyDescent="0.35"/>
    <row r="340" s="482" customFormat="1" x14ac:dyDescent="0.35"/>
    <row r="341" s="482" customFormat="1" x14ac:dyDescent="0.35"/>
    <row r="342" s="482" customFormat="1" x14ac:dyDescent="0.35"/>
    <row r="343" s="482" customFormat="1" x14ac:dyDescent="0.35"/>
    <row r="344" s="482" customFormat="1" x14ac:dyDescent="0.35"/>
    <row r="345" s="482" customFormat="1" x14ac:dyDescent="0.35"/>
    <row r="346" s="482" customFormat="1" x14ac:dyDescent="0.35"/>
    <row r="347" s="482" customFormat="1" x14ac:dyDescent="0.35"/>
    <row r="348" s="482" customFormat="1" x14ac:dyDescent="0.35"/>
    <row r="349" s="482" customFormat="1" x14ac:dyDescent="0.35"/>
    <row r="350" s="482" customFormat="1" x14ac:dyDescent="0.35"/>
    <row r="351" s="482" customFormat="1" x14ac:dyDescent="0.35"/>
    <row r="352" s="482" customFormat="1" x14ac:dyDescent="0.35"/>
    <row r="353" s="482" customFormat="1" x14ac:dyDescent="0.35"/>
    <row r="354" s="482" customFormat="1" x14ac:dyDescent="0.35"/>
    <row r="355" s="482" customFormat="1" x14ac:dyDescent="0.35"/>
    <row r="356" s="482" customFormat="1" x14ac:dyDescent="0.35"/>
    <row r="357" s="482" customFormat="1" x14ac:dyDescent="0.35"/>
    <row r="358" s="482" customFormat="1" x14ac:dyDescent="0.35"/>
    <row r="359" s="482" customFormat="1" x14ac:dyDescent="0.35"/>
    <row r="360" s="482" customFormat="1" x14ac:dyDescent="0.35"/>
    <row r="361" s="482" customFormat="1" x14ac:dyDescent="0.35"/>
    <row r="362" s="482" customFormat="1" x14ac:dyDescent="0.35"/>
    <row r="363" s="482" customFormat="1" x14ac:dyDescent="0.35"/>
    <row r="364" s="482" customFormat="1" x14ac:dyDescent="0.35"/>
    <row r="365" s="482" customFormat="1" x14ac:dyDescent="0.35"/>
    <row r="366" s="482" customFormat="1" x14ac:dyDescent="0.35"/>
    <row r="367" s="482" customFormat="1" x14ac:dyDescent="0.35"/>
    <row r="368" s="482" customFormat="1" x14ac:dyDescent="0.35"/>
    <row r="369" s="482" customFormat="1" x14ac:dyDescent="0.35"/>
    <row r="370" s="482" customFormat="1" x14ac:dyDescent="0.35"/>
    <row r="371" s="482" customFormat="1" x14ac:dyDescent="0.35"/>
    <row r="372" s="482" customFormat="1" x14ac:dyDescent="0.35"/>
    <row r="373" s="482" customFormat="1" x14ac:dyDescent="0.35"/>
    <row r="374" s="482" customFormat="1" x14ac:dyDescent="0.35"/>
    <row r="375" s="482" customFormat="1" x14ac:dyDescent="0.35"/>
    <row r="376" s="482" customFormat="1" x14ac:dyDescent="0.35"/>
    <row r="377" s="482" customFormat="1" x14ac:dyDescent="0.35"/>
    <row r="378" s="482" customFormat="1" x14ac:dyDescent="0.35"/>
    <row r="379" s="482" customFormat="1" x14ac:dyDescent="0.35"/>
    <row r="380" s="482" customFormat="1" x14ac:dyDescent="0.35"/>
    <row r="381" s="482" customFormat="1" x14ac:dyDescent="0.35"/>
    <row r="382" s="482" customFormat="1" x14ac:dyDescent="0.35"/>
    <row r="383" s="482" customFormat="1" x14ac:dyDescent="0.35"/>
    <row r="384" s="482" customFormat="1" x14ac:dyDescent="0.35"/>
    <row r="385" s="482" customFormat="1" x14ac:dyDescent="0.35"/>
    <row r="386" s="482" customFormat="1" x14ac:dyDescent="0.35"/>
    <row r="387" s="482" customFormat="1" x14ac:dyDescent="0.35"/>
    <row r="388" s="482" customFormat="1" x14ac:dyDescent="0.35"/>
    <row r="389" s="482" customFormat="1" x14ac:dyDescent="0.35"/>
    <row r="390" s="482" customFormat="1" x14ac:dyDescent="0.35"/>
    <row r="391" s="482" customFormat="1" x14ac:dyDescent="0.35"/>
    <row r="392" s="482" customFormat="1" x14ac:dyDescent="0.35"/>
    <row r="393" s="482" customFormat="1" x14ac:dyDescent="0.35"/>
    <row r="394" s="482" customFormat="1" x14ac:dyDescent="0.35"/>
    <row r="395" s="482" customFormat="1" x14ac:dyDescent="0.35"/>
    <row r="396" s="482" customFormat="1" x14ac:dyDescent="0.35"/>
    <row r="397" s="482" customFormat="1" x14ac:dyDescent="0.35"/>
    <row r="398" s="482" customFormat="1" x14ac:dyDescent="0.35"/>
    <row r="399" s="482" customFormat="1" x14ac:dyDescent="0.35"/>
    <row r="400" s="482" customFormat="1" x14ac:dyDescent="0.35"/>
    <row r="401" s="482" customFormat="1" x14ac:dyDescent="0.35"/>
    <row r="402" s="482" customFormat="1" x14ac:dyDescent="0.35"/>
    <row r="403" s="482" customFormat="1" x14ac:dyDescent="0.35"/>
    <row r="404" s="482" customFormat="1" x14ac:dyDescent="0.35"/>
    <row r="405" s="482" customFormat="1" x14ac:dyDescent="0.35"/>
    <row r="406" s="482" customFormat="1" x14ac:dyDescent="0.35"/>
  </sheetData>
  <autoFilter ref="R56:AB99" xr:uid="{D4CD8055-50F4-4E04-BD9E-E0C23C65D6C1}">
    <filterColumn colId="2">
      <filters blank="1">
        <filter val="2023"/>
      </filters>
    </filterColumn>
    <sortState xmlns:xlrd2="http://schemas.microsoft.com/office/spreadsheetml/2017/richdata2" ref="R58:AB99">
      <sortCondition descending="1" ref="AA56:AA99"/>
    </sortState>
  </autoFilter>
  <mergeCells count="12">
    <mergeCell ref="D53:E53"/>
    <mergeCell ref="F53:G53"/>
    <mergeCell ref="AD58:AJ58"/>
    <mergeCell ref="A28:A29"/>
    <mergeCell ref="B28:D29"/>
    <mergeCell ref="F28:O28"/>
    <mergeCell ref="P28:Q29"/>
    <mergeCell ref="R28:U28"/>
    <mergeCell ref="F29:J29"/>
    <mergeCell ref="K29:O29"/>
    <mergeCell ref="R29:S29"/>
    <mergeCell ref="T29:U29"/>
  </mergeCells>
  <pageMargins left="0.7" right="0.7" top="0.75" bottom="0.75" header="0.3" footer="0.3"/>
  <pageSetup paperSize="9" orientation="portrait" r:id="rId1"/>
  <drawing r:id="rId2"/>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A2:AO24"/>
  <sheetViews>
    <sheetView workbookViewId="0"/>
  </sheetViews>
  <sheetFormatPr defaultColWidth="9.1796875" defaultRowHeight="14.5" x14ac:dyDescent="0.35"/>
  <cols>
    <col min="1" max="1" width="28.90625" customWidth="1"/>
  </cols>
  <sheetData>
    <row r="2" spans="1:41" x14ac:dyDescent="0.35">
      <c r="B2" t="s">
        <v>11</v>
      </c>
      <c r="D2" t="s">
        <v>13</v>
      </c>
      <c r="F2" t="s">
        <v>12</v>
      </c>
      <c r="H2" t="s">
        <v>28</v>
      </c>
      <c r="J2" t="s">
        <v>15</v>
      </c>
      <c r="L2" t="s">
        <v>18</v>
      </c>
      <c r="N2" t="s">
        <v>17</v>
      </c>
      <c r="P2" t="s">
        <v>21</v>
      </c>
      <c r="R2" t="s">
        <v>27</v>
      </c>
      <c r="T2" t="s">
        <v>24</v>
      </c>
      <c r="V2" t="s">
        <v>29</v>
      </c>
      <c r="X2" t="s">
        <v>23</v>
      </c>
      <c r="Z2" t="s">
        <v>19</v>
      </c>
      <c r="AB2" t="s">
        <v>16</v>
      </c>
      <c r="AD2" t="s">
        <v>20</v>
      </c>
      <c r="AF2" t="s">
        <v>26</v>
      </c>
      <c r="AH2" t="s">
        <v>25</v>
      </c>
      <c r="AJ2" t="s">
        <v>31</v>
      </c>
      <c r="AL2" t="s">
        <v>14</v>
      </c>
      <c r="AN2" t="s">
        <v>22</v>
      </c>
    </row>
    <row r="3" spans="1:41" x14ac:dyDescent="0.35">
      <c r="B3" t="s">
        <v>60</v>
      </c>
      <c r="C3" t="s">
        <v>455</v>
      </c>
      <c r="D3" t="s">
        <v>60</v>
      </c>
      <c r="E3" t="s">
        <v>455</v>
      </c>
      <c r="F3" t="s">
        <v>60</v>
      </c>
      <c r="G3" t="s">
        <v>455</v>
      </c>
      <c r="H3" t="s">
        <v>60</v>
      </c>
      <c r="I3" t="s">
        <v>455</v>
      </c>
      <c r="J3" t="s">
        <v>60</v>
      </c>
      <c r="K3" t="s">
        <v>455</v>
      </c>
      <c r="L3" t="s">
        <v>60</v>
      </c>
      <c r="M3" t="s">
        <v>455</v>
      </c>
      <c r="N3" t="s">
        <v>60</v>
      </c>
      <c r="O3" t="s">
        <v>455</v>
      </c>
      <c r="P3" t="s">
        <v>60</v>
      </c>
      <c r="Q3" t="s">
        <v>455</v>
      </c>
      <c r="R3" t="s">
        <v>60</v>
      </c>
      <c r="S3" t="s">
        <v>455</v>
      </c>
      <c r="T3" t="s">
        <v>60</v>
      </c>
      <c r="U3" t="s">
        <v>455</v>
      </c>
      <c r="V3" t="s">
        <v>60</v>
      </c>
      <c r="W3" t="s">
        <v>455</v>
      </c>
      <c r="X3" t="s">
        <v>60</v>
      </c>
      <c r="Y3" t="s">
        <v>455</v>
      </c>
      <c r="Z3" t="s">
        <v>60</v>
      </c>
      <c r="AA3" t="s">
        <v>455</v>
      </c>
      <c r="AB3" t="s">
        <v>60</v>
      </c>
      <c r="AC3" t="s">
        <v>455</v>
      </c>
      <c r="AD3" t="s">
        <v>60</v>
      </c>
      <c r="AE3" t="s">
        <v>455</v>
      </c>
      <c r="AF3" t="s">
        <v>60</v>
      </c>
      <c r="AG3" t="s">
        <v>455</v>
      </c>
      <c r="AH3" t="s">
        <v>60</v>
      </c>
      <c r="AI3" t="s">
        <v>455</v>
      </c>
      <c r="AJ3" t="s">
        <v>60</v>
      </c>
      <c r="AK3" t="s">
        <v>455</v>
      </c>
      <c r="AL3" t="s">
        <v>60</v>
      </c>
      <c r="AM3" t="s">
        <v>455</v>
      </c>
      <c r="AN3" t="s">
        <v>60</v>
      </c>
      <c r="AO3" t="s">
        <v>455</v>
      </c>
    </row>
    <row r="4" spans="1:41" x14ac:dyDescent="0.35">
      <c r="A4" t="s">
        <v>166</v>
      </c>
      <c r="B4">
        <v>51981.66618883748</v>
      </c>
      <c r="C4">
        <v>51981.66618883748</v>
      </c>
      <c r="D4">
        <v>13399.558925638197</v>
      </c>
      <c r="E4">
        <v>13399.558925638197</v>
      </c>
      <c r="F4">
        <v>31854.20927605778</v>
      </c>
      <c r="G4">
        <v>31854.20927605778</v>
      </c>
      <c r="H4">
        <v>48876.098568060908</v>
      </c>
      <c r="I4">
        <v>48876.098568060908</v>
      </c>
      <c r="J4">
        <v>27980.629828159501</v>
      </c>
      <c r="K4">
        <v>27980.629828159501</v>
      </c>
      <c r="L4">
        <v>32573.579999449135</v>
      </c>
      <c r="M4">
        <v>32573.579999449135</v>
      </c>
      <c r="N4">
        <v>23817.328246283825</v>
      </c>
      <c r="O4">
        <v>23817.328246283825</v>
      </c>
      <c r="P4">
        <v>17578.982060432587</v>
      </c>
      <c r="Q4">
        <v>17578.982060432587</v>
      </c>
      <c r="R4">
        <v>11887.30867229441</v>
      </c>
      <c r="S4">
        <v>11887.30867229441</v>
      </c>
      <c r="T4">
        <v>39897.407089304121</v>
      </c>
      <c r="U4">
        <v>39897.407089304121</v>
      </c>
      <c r="V4">
        <v>21078.640412240045</v>
      </c>
      <c r="W4">
        <v>21078.640412240045</v>
      </c>
      <c r="X4">
        <v>11153.537145024622</v>
      </c>
      <c r="Y4">
        <v>11153.537145024622</v>
      </c>
      <c r="Z4">
        <v>41758.326275234329</v>
      </c>
      <c r="AA4">
        <v>41758.326275234329</v>
      </c>
      <c r="AB4">
        <v>22374.300986377995</v>
      </c>
      <c r="AC4">
        <v>22374.300986377995</v>
      </c>
      <c r="AD4">
        <v>18500.406599785332</v>
      </c>
      <c r="AE4">
        <v>18500.406599785332</v>
      </c>
      <c r="AF4">
        <v>32257.388273899738</v>
      </c>
      <c r="AG4">
        <v>32257.388273899738</v>
      </c>
      <c r="AH4">
        <v>19369.410535282801</v>
      </c>
      <c r="AI4">
        <v>19369.410535282801</v>
      </c>
      <c r="AJ4">
        <v>69279.42526894639</v>
      </c>
      <c r="AK4">
        <v>69279.42526894639</v>
      </c>
      <c r="AL4">
        <v>41717.517890633171</v>
      </c>
      <c r="AM4">
        <v>41717.517890633171</v>
      </c>
      <c r="AN4">
        <v>43705.439247906645</v>
      </c>
      <c r="AO4">
        <v>43705.439247906645</v>
      </c>
    </row>
    <row r="5" spans="1:41" x14ac:dyDescent="0.35">
      <c r="A5" t="s">
        <v>89</v>
      </c>
      <c r="B5">
        <v>3.6579999999999999</v>
      </c>
      <c r="C5">
        <v>3.6579999999999999</v>
      </c>
      <c r="D5">
        <v>3.2309999999999999</v>
      </c>
      <c r="E5">
        <v>3.2309999999999999</v>
      </c>
      <c r="F5">
        <v>1.6459999999999999</v>
      </c>
      <c r="G5">
        <v>1.6459999999999999</v>
      </c>
      <c r="H5">
        <v>346.63400000000001</v>
      </c>
      <c r="I5">
        <v>346.63400000000001</v>
      </c>
      <c r="J5">
        <v>1177.5250000000001</v>
      </c>
      <c r="K5">
        <v>1177.5250000000001</v>
      </c>
      <c r="L5">
        <v>362.64100000000002</v>
      </c>
      <c r="M5">
        <v>362.64100000000002</v>
      </c>
      <c r="N5">
        <v>0.55000000000000004</v>
      </c>
      <c r="O5">
        <v>0.55000000000000004</v>
      </c>
      <c r="P5">
        <v>3.742</v>
      </c>
      <c r="Q5">
        <v>3.742</v>
      </c>
      <c r="R5">
        <v>10.058</v>
      </c>
      <c r="S5">
        <v>10.058</v>
      </c>
      <c r="T5">
        <v>7.7889999999999997</v>
      </c>
      <c r="U5">
        <v>7.7889999999999997</v>
      </c>
      <c r="V5">
        <v>56.567</v>
      </c>
      <c r="W5">
        <v>56.567</v>
      </c>
      <c r="X5">
        <v>9.3789999999999996</v>
      </c>
      <c r="Y5">
        <v>9.3789999999999996</v>
      </c>
      <c r="Z5">
        <v>0.59199999999999997</v>
      </c>
      <c r="AA5">
        <v>0.59199999999999997</v>
      </c>
      <c r="AB5">
        <v>1.5229999999999999</v>
      </c>
      <c r="AC5">
        <v>1.5229999999999999</v>
      </c>
      <c r="AD5">
        <v>2273.096</v>
      </c>
      <c r="AE5">
        <v>2273.096</v>
      </c>
      <c r="AF5">
        <v>20.154</v>
      </c>
      <c r="AG5">
        <v>20.154</v>
      </c>
      <c r="AH5">
        <v>0.49299999999999999</v>
      </c>
      <c r="AI5">
        <v>0.49299999999999999</v>
      </c>
      <c r="AJ5">
        <v>3.839</v>
      </c>
      <c r="AK5">
        <v>3.839</v>
      </c>
      <c r="AL5">
        <v>17.292999999999999</v>
      </c>
      <c r="AM5">
        <v>17.292999999999999</v>
      </c>
      <c r="AN5">
        <v>3.9550000000000001</v>
      </c>
      <c r="AO5">
        <v>3.9550000000000001</v>
      </c>
    </row>
    <row r="6" spans="1:41" x14ac:dyDescent="0.35">
      <c r="A6" t="s">
        <v>167</v>
      </c>
      <c r="B6">
        <v>10593.231017632586</v>
      </c>
      <c r="C6">
        <v>19727.546537554674</v>
      </c>
      <c r="D6">
        <v>4456.8245125348194</v>
      </c>
      <c r="E6">
        <v>14653.469925139276</v>
      </c>
      <c r="F6">
        <v>4942.891859052248</v>
      </c>
      <c r="G6">
        <v>12307.757798260936</v>
      </c>
      <c r="H6">
        <v>7269.9158189906357</v>
      </c>
      <c r="I6">
        <v>16599.374989181673</v>
      </c>
      <c r="J6">
        <v>6007.5157639965173</v>
      </c>
      <c r="K6">
        <v>14906.331925012206</v>
      </c>
      <c r="L6">
        <v>9332.9173480108402</v>
      </c>
      <c r="M6">
        <v>15291.431815486942</v>
      </c>
      <c r="N6">
        <v>6938.181818181818</v>
      </c>
      <c r="O6">
        <v>14469.347034801136</v>
      </c>
      <c r="P6">
        <v>7578.5676109032602</v>
      </c>
      <c r="Q6">
        <v>12443.337192260155</v>
      </c>
      <c r="R6">
        <v>8077.2618810896802</v>
      </c>
      <c r="S6">
        <v>11437.47203718433</v>
      </c>
      <c r="T6">
        <v>2780.8385749333997</v>
      </c>
      <c r="U6">
        <v>12403.633379204648</v>
      </c>
      <c r="V6">
        <v>4560.9631056976687</v>
      </c>
      <c r="W6">
        <v>6346.3365345519469</v>
      </c>
      <c r="X6">
        <v>4864.2643291087179</v>
      </c>
      <c r="Y6">
        <v>8450.3214045340665</v>
      </c>
      <c r="Z6">
        <v>9324.3243243243251</v>
      </c>
      <c r="AA6">
        <v>15544.74619272593</v>
      </c>
      <c r="AB6">
        <v>5909.389363099147</v>
      </c>
      <c r="AC6">
        <v>13203.963061186803</v>
      </c>
      <c r="AD6">
        <v>8754.0447037872582</v>
      </c>
      <c r="AE6">
        <v>15409.751281952016</v>
      </c>
      <c r="AF6">
        <v>4096.4572789520689</v>
      </c>
      <c r="AG6">
        <v>11211.71200506103</v>
      </c>
      <c r="AH6">
        <v>4596.3488843813384</v>
      </c>
      <c r="AI6">
        <v>10766.175925852562</v>
      </c>
      <c r="AJ6">
        <v>6772.6074498567341</v>
      </c>
      <c r="AK6">
        <v>12843.122688200052</v>
      </c>
      <c r="AL6">
        <v>5495.8653790551089</v>
      </c>
      <c r="AM6">
        <v>13753.812959000752</v>
      </c>
      <c r="AN6">
        <v>8225.2844500632109</v>
      </c>
      <c r="AO6">
        <v>13777.430665297092</v>
      </c>
    </row>
    <row r="7" spans="1:41" x14ac:dyDescent="0.35">
      <c r="A7" s="14" t="s">
        <v>39</v>
      </c>
      <c r="B7">
        <v>4.0799440462855635E-2</v>
      </c>
      <c r="C7">
        <v>7.5979921432606651E-2</v>
      </c>
      <c r="D7">
        <v>4.2274704614293557E-2</v>
      </c>
      <c r="E7">
        <v>0.13899383090301956</v>
      </c>
      <c r="F7">
        <v>1.3434097571220365E-2</v>
      </c>
      <c r="G7">
        <v>3.7632134556459799E-2</v>
      </c>
      <c r="H7">
        <v>2.8379923498432467E-2</v>
      </c>
      <c r="I7">
        <v>6.4799786413507018E-2</v>
      </c>
      <c r="J7">
        <v>1.7176213118549884E-2</v>
      </c>
      <c r="K7">
        <v>4.2619003264924606E-2</v>
      </c>
      <c r="L7">
        <v>2.8433183918747398E-2</v>
      </c>
      <c r="M7">
        <v>4.6586086319878608E-2</v>
      </c>
      <c r="N7">
        <v>3.2085298120274899E-2</v>
      </c>
      <c r="O7">
        <v>6.4422703632079123E-2</v>
      </c>
      <c r="P7">
        <v>2.0822867578352815E-2</v>
      </c>
      <c r="Q7">
        <v>3.4189305405740632E-2</v>
      </c>
      <c r="R7">
        <v>3.3974308667172264E-2</v>
      </c>
      <c r="S7">
        <v>3.5128056218373095E-2</v>
      </c>
      <c r="T7">
        <v>1.7233974788701169E-3</v>
      </c>
      <c r="U7">
        <v>8.1452912988103192E-3</v>
      </c>
      <c r="V7">
        <v>1.4483831116088251E-2</v>
      </c>
      <c r="W7">
        <v>2.0153477334092739E-2</v>
      </c>
      <c r="X7">
        <v>2.7257408714051828E-2</v>
      </c>
      <c r="Y7">
        <v>4.7352250762797206E-2</v>
      </c>
      <c r="Z7">
        <v>2.7452751876480087E-2</v>
      </c>
      <c r="AA7">
        <v>4.5766968776334051E-2</v>
      </c>
      <c r="AB7">
        <v>3.4334954985659666E-2</v>
      </c>
      <c r="AC7">
        <v>7.6718159776224495E-2</v>
      </c>
      <c r="AD7">
        <v>4.6086553063901421E-2</v>
      </c>
      <c r="AE7">
        <v>8.1126192998530022E-2</v>
      </c>
      <c r="AF7">
        <v>8.1908640793736717E-3</v>
      </c>
      <c r="AG7">
        <v>2.2417811996328026E-2</v>
      </c>
      <c r="AH7">
        <v>2.1950191567823379E-2</v>
      </c>
      <c r="AI7">
        <v>5.141464017850772E-2</v>
      </c>
      <c r="AJ7">
        <v>5.4646552354316964E-3</v>
      </c>
      <c r="AK7">
        <v>8.3993412849425984E-3</v>
      </c>
      <c r="AL7">
        <v>2.5853972987250395E-2</v>
      </c>
      <c r="AM7">
        <v>6.4701495431250131E-2</v>
      </c>
      <c r="AN7">
        <v>1.1291891249609869E-2</v>
      </c>
      <c r="AO7">
        <v>1.8914026586688965E-2</v>
      </c>
    </row>
    <row r="8" spans="1:41" x14ac:dyDescent="0.35">
      <c r="A8" t="s">
        <v>40</v>
      </c>
      <c r="B8">
        <v>2.4259126761697943E-2</v>
      </c>
      <c r="C8">
        <v>4.5177250581549901E-2</v>
      </c>
      <c r="D8">
        <v>4.2274704614293557E-2</v>
      </c>
      <c r="E8">
        <v>0.13899383090301956</v>
      </c>
      <c r="F8">
        <v>1.3434097571220365E-2</v>
      </c>
      <c r="G8">
        <v>3.7632134556459799E-2</v>
      </c>
      <c r="H8">
        <v>1.4874173741316808E-2</v>
      </c>
      <c r="I8">
        <v>3.396215220833701E-2</v>
      </c>
      <c r="J8">
        <v>8.5881065592749422E-3</v>
      </c>
      <c r="K8">
        <v>2.1309501632462303E-2</v>
      </c>
      <c r="L8">
        <v>8.2788005521325578E-3</v>
      </c>
      <c r="M8">
        <v>1.3564323933923216E-2</v>
      </c>
      <c r="N8">
        <v>2.2544590425251358E-2</v>
      </c>
      <c r="O8">
        <v>4.5266322975344483E-2</v>
      </c>
      <c r="P8">
        <v>7.8894094551523099E-3</v>
      </c>
      <c r="Q8">
        <v>1.2953711986025955E-2</v>
      </c>
      <c r="R8">
        <v>6.7948617334344531E-3</v>
      </c>
      <c r="S8">
        <v>7.025611243674618E-3</v>
      </c>
      <c r="T8">
        <v>1.2698718265358757E-3</v>
      </c>
      <c r="U8">
        <v>5.6641276185221204E-3</v>
      </c>
      <c r="V8">
        <v>5.4094607343000006E-3</v>
      </c>
      <c r="W8">
        <v>7.5269756616592872E-3</v>
      </c>
      <c r="X8">
        <v>1.7444741576993172E-2</v>
      </c>
      <c r="Y8">
        <v>3.030544048819021E-2</v>
      </c>
      <c r="Z8">
        <v>2.1985142519465251E-2</v>
      </c>
      <c r="AA8">
        <v>3.6651820398874761E-2</v>
      </c>
      <c r="AB8">
        <v>3.4334954985659666E-2</v>
      </c>
      <c r="AC8">
        <v>7.6718159776224495E-2</v>
      </c>
      <c r="AD8">
        <v>4.6086553063901421E-2</v>
      </c>
      <c r="AE8">
        <v>8.1126192998530022E-2</v>
      </c>
      <c r="AF8">
        <v>3.9442583737923547E-3</v>
      </c>
      <c r="AG8">
        <v>1.0795154434473394E-2</v>
      </c>
      <c r="AH8">
        <v>1.4831210518799579E-2</v>
      </c>
      <c r="AI8">
        <v>3.4739621742234952E-2</v>
      </c>
      <c r="AJ8">
        <v>3.8516532428624121E-3</v>
      </c>
      <c r="AK8">
        <v>6.7863392923733154E-3</v>
      </c>
      <c r="AL8">
        <v>1.9760998461592662E-2</v>
      </c>
      <c r="AM8">
        <v>4.9453372304140222E-2</v>
      </c>
      <c r="AN8">
        <v>7.527927499739912E-3</v>
      </c>
      <c r="AO8">
        <v>1.2609351057792642E-2</v>
      </c>
    </row>
    <row r="9" spans="1:41" x14ac:dyDescent="0.35">
      <c r="A9" t="s">
        <v>41</v>
      </c>
      <c r="B9">
        <v>1.6540313701157688E-2</v>
      </c>
      <c r="C9">
        <v>3.080267085105675E-2</v>
      </c>
      <c r="H9">
        <v>1.0411921618921766E-2</v>
      </c>
      <c r="I9">
        <v>2.3773506545835911E-2</v>
      </c>
      <c r="J9">
        <v>8.5881065592749422E-3</v>
      </c>
      <c r="K9">
        <v>2.1309501632462303E-2</v>
      </c>
      <c r="L9">
        <v>1.7053709002520248E-2</v>
      </c>
      <c r="M9">
        <v>2.7941491249654563E-2</v>
      </c>
      <c r="N9">
        <v>0</v>
      </c>
      <c r="O9">
        <v>0</v>
      </c>
      <c r="P9">
        <v>8.6223054154670048E-3</v>
      </c>
      <c r="Q9">
        <v>1.4157062279809788E-2</v>
      </c>
      <c r="R9">
        <v>1.6987154333586132E-2</v>
      </c>
      <c r="S9">
        <v>1.7564028109186548E-2</v>
      </c>
      <c r="T9">
        <v>4.5352565233424134E-4</v>
      </c>
      <c r="U9">
        <v>2.4811636802881984E-3</v>
      </c>
      <c r="V9">
        <v>0</v>
      </c>
      <c r="W9">
        <v>0</v>
      </c>
      <c r="X9">
        <v>9.812667137058655E-3</v>
      </c>
      <c r="Y9">
        <v>1.7046810274606992E-2</v>
      </c>
      <c r="Z9">
        <v>2.447041949992654E-3</v>
      </c>
      <c r="AA9">
        <v>4.0795069661356256E-3</v>
      </c>
      <c r="AF9">
        <v>4.177890402902007E-3</v>
      </c>
      <c r="AG9">
        <v>1.1434588669267986E-2</v>
      </c>
      <c r="AH9">
        <v>7.1189810490237988E-3</v>
      </c>
      <c r="AI9">
        <v>1.6675018436272775E-2</v>
      </c>
      <c r="AJ9">
        <v>1.6130019925692839E-3</v>
      </c>
      <c r="AK9">
        <v>1.6130019925692839E-3</v>
      </c>
      <c r="AL9">
        <v>5.9282995384777968E-3</v>
      </c>
      <c r="AM9">
        <v>1.4836011691242065E-2</v>
      </c>
      <c r="AN9">
        <v>0</v>
      </c>
      <c r="AO9">
        <v>0</v>
      </c>
    </row>
    <row r="10" spans="1:41" x14ac:dyDescent="0.35">
      <c r="A10" t="s">
        <v>42</v>
      </c>
      <c r="H10">
        <v>8.924504244790084E-4</v>
      </c>
      <c r="I10">
        <v>2.0377291325002207E-3</v>
      </c>
      <c r="L10">
        <v>0</v>
      </c>
      <c r="M10">
        <v>0</v>
      </c>
      <c r="N10">
        <v>6.7905392847142643E-3</v>
      </c>
      <c r="O10">
        <v>1.3634434631127857E-2</v>
      </c>
      <c r="P10">
        <v>4.3111527077335024E-3</v>
      </c>
      <c r="Q10">
        <v>7.078531139904894E-3</v>
      </c>
      <c r="R10">
        <v>0</v>
      </c>
      <c r="S10">
        <v>0</v>
      </c>
      <c r="T10">
        <v>0</v>
      </c>
      <c r="U10">
        <v>0</v>
      </c>
      <c r="V10">
        <v>0</v>
      </c>
      <c r="W10">
        <v>0</v>
      </c>
      <c r="X10">
        <v>0</v>
      </c>
      <c r="Y10">
        <v>0</v>
      </c>
      <c r="Z10">
        <v>0</v>
      </c>
      <c r="AA10">
        <v>0</v>
      </c>
      <c r="AF10">
        <v>0</v>
      </c>
      <c r="AG10">
        <v>0</v>
      </c>
      <c r="AH10">
        <v>0</v>
      </c>
      <c r="AI10">
        <v>0</v>
      </c>
      <c r="AL10">
        <v>0</v>
      </c>
      <c r="AM10">
        <v>0</v>
      </c>
      <c r="AN10">
        <v>9.40990937467489E-4</v>
      </c>
      <c r="AO10">
        <v>1.5761688822240802E-3</v>
      </c>
    </row>
    <row r="11" spans="1:41" x14ac:dyDescent="0.35">
      <c r="A11" t="s">
        <v>43</v>
      </c>
      <c r="H11">
        <v>2.2013777137148871E-3</v>
      </c>
      <c r="I11">
        <v>5.0263985268338782E-3</v>
      </c>
      <c r="L11">
        <v>3.1006743640945907E-3</v>
      </c>
      <c r="M11">
        <v>5.0802711363008299E-3</v>
      </c>
      <c r="N11">
        <v>2.7501684103092773E-3</v>
      </c>
      <c r="O11">
        <v>5.5219460256067813E-3</v>
      </c>
      <c r="P11">
        <v>0</v>
      </c>
      <c r="Q11">
        <v>0</v>
      </c>
      <c r="R11">
        <v>1.019229260015168E-2</v>
      </c>
      <c r="S11">
        <v>1.0538416865511928E-2</v>
      </c>
      <c r="T11">
        <v>0</v>
      </c>
      <c r="U11">
        <v>0</v>
      </c>
      <c r="V11">
        <v>9.0743703817882503E-3</v>
      </c>
      <c r="W11">
        <v>1.2626501672433454E-2</v>
      </c>
      <c r="X11">
        <v>0</v>
      </c>
      <c r="Y11">
        <v>0</v>
      </c>
      <c r="Z11">
        <v>3.0205674070221825E-3</v>
      </c>
      <c r="AA11">
        <v>5.0356414113236639E-3</v>
      </c>
      <c r="AF11">
        <v>6.8715302679309319E-5</v>
      </c>
      <c r="AG11">
        <v>1.8806889258664452E-4</v>
      </c>
      <c r="AH11">
        <v>0</v>
      </c>
      <c r="AI11">
        <v>0</v>
      </c>
      <c r="AL11">
        <v>1.6467498717993883E-4</v>
      </c>
      <c r="AM11">
        <v>4.121114358678352E-4</v>
      </c>
      <c r="AN11">
        <v>2.8229728124024673E-3</v>
      </c>
      <c r="AO11">
        <v>4.7285066466722413E-3</v>
      </c>
    </row>
    <row r="12" spans="1:41" x14ac:dyDescent="0.35">
      <c r="A12" s="14" t="s">
        <v>44</v>
      </c>
      <c r="B12">
        <v>5.7339754164013317E-2</v>
      </c>
      <c r="C12">
        <v>0.10678259228366341</v>
      </c>
      <c r="D12">
        <v>3.8948606690273606E-2</v>
      </c>
      <c r="E12">
        <v>0.16086540146210998</v>
      </c>
      <c r="F12">
        <v>5.7430767116967055E-2</v>
      </c>
      <c r="G12">
        <v>0.14300211131454726</v>
      </c>
      <c r="H12">
        <v>6.856994094747047E-3</v>
      </c>
      <c r="I12">
        <v>1.5656552168043361E-2</v>
      </c>
      <c r="J12">
        <v>5.6460918362466118E-2</v>
      </c>
      <c r="K12">
        <v>0.14210168185862168</v>
      </c>
      <c r="L12">
        <v>8.2090157544191369E-2</v>
      </c>
      <c r="M12">
        <v>0.13449985679741661</v>
      </c>
      <c r="N12">
        <v>3.7592053031402513E-2</v>
      </c>
      <c r="O12">
        <v>7.560382746966357E-2</v>
      </c>
      <c r="P12">
        <v>5.4622304806983484E-2</v>
      </c>
      <c r="Q12">
        <v>8.9684989542595017E-2</v>
      </c>
      <c r="R12">
        <v>1.6987154333586132E-2</v>
      </c>
      <c r="S12">
        <v>6.8148429063643795E-2</v>
      </c>
      <c r="T12">
        <v>2.6286155851123226E-2</v>
      </c>
      <c r="U12">
        <v>6.9304358529856544E-2</v>
      </c>
      <c r="V12">
        <v>2.5803127702611003E-2</v>
      </c>
      <c r="W12">
        <v>3.5903673906114791E-2</v>
      </c>
      <c r="X12">
        <v>7.9218244284564851E-2</v>
      </c>
      <c r="Y12">
        <v>0.13761991125801448</v>
      </c>
      <c r="Z12">
        <v>3.5861705657386105E-2</v>
      </c>
      <c r="AA12">
        <v>5.9785684527088358E-2</v>
      </c>
      <c r="AB12">
        <v>4.744386472249229E-2</v>
      </c>
      <c r="AC12">
        <v>0.10600875975232661</v>
      </c>
      <c r="AD12">
        <v>7.6810921773169061E-2</v>
      </c>
      <c r="AE12">
        <v>0.13521032166421673</v>
      </c>
      <c r="AF12">
        <v>2.2524876218277593E-2</v>
      </c>
      <c r="AG12">
        <v>6.1648982989902061E-2</v>
      </c>
      <c r="AH12">
        <v>3.618815366587097E-2</v>
      </c>
      <c r="AI12">
        <v>8.4764677051053269E-2</v>
      </c>
      <c r="AJ12">
        <v>7.7033064857248241E-3</v>
      </c>
      <c r="AK12">
        <v>1.3572678584746631E-2</v>
      </c>
      <c r="AL12">
        <v>2.5722232997506447E-2</v>
      </c>
      <c r="AM12">
        <v>6.4371806282555871E-2</v>
      </c>
      <c r="AN12">
        <v>2.9645919484913238E-2</v>
      </c>
      <c r="AO12">
        <v>4.9657200634469649E-2</v>
      </c>
    </row>
    <row r="13" spans="1:41" x14ac:dyDescent="0.35">
      <c r="A13" t="s">
        <v>40</v>
      </c>
      <c r="B13">
        <v>2.2428665378769821E-2</v>
      </c>
      <c r="C13">
        <v>4.1768421674032954E-2</v>
      </c>
      <c r="D13">
        <v>0</v>
      </c>
      <c r="E13">
        <v>3.2807355838635616E-2</v>
      </c>
      <c r="F13">
        <v>3.3585243928050908E-2</v>
      </c>
      <c r="G13">
        <v>8.3626965681021778E-2</v>
      </c>
      <c r="J13">
        <v>2.7881934993810427E-2</v>
      </c>
      <c r="K13">
        <v>6.9182902560185819E-2</v>
      </c>
      <c r="L13">
        <v>1.9906329417487271E-2</v>
      </c>
      <c r="M13">
        <v>3.2615340695051329E-2</v>
      </c>
      <c r="N13">
        <v>1.052533589130711E-2</v>
      </c>
      <c r="O13">
        <v>2.113337367824818E-2</v>
      </c>
      <c r="P13">
        <v>1.5821930437381955E-2</v>
      </c>
      <c r="Q13">
        <v>2.5978209283450959E-2</v>
      </c>
      <c r="R13">
        <v>0</v>
      </c>
      <c r="S13">
        <v>1.4051222487349236E-2</v>
      </c>
      <c r="T13">
        <v>5.0069232017700251E-3</v>
      </c>
      <c r="U13">
        <v>2.2332846038744362E-2</v>
      </c>
      <c r="V13">
        <v>5.4094607343000006E-3</v>
      </c>
      <c r="W13">
        <v>7.5269756616592872E-3</v>
      </c>
      <c r="X13">
        <v>3.0528297759738046E-2</v>
      </c>
      <c r="Y13">
        <v>5.303452085433287E-2</v>
      </c>
      <c r="Z13">
        <v>1.1462862134496841E-2</v>
      </c>
      <c r="AA13">
        <v>1.9109940444491574E-2</v>
      </c>
      <c r="AD13">
        <v>7.1690193654957782E-2</v>
      </c>
      <c r="AE13">
        <v>0.12619630021993561</v>
      </c>
      <c r="AF13">
        <v>9.7575729804619225E-3</v>
      </c>
      <c r="AG13">
        <v>2.6705782747303519E-2</v>
      </c>
      <c r="AH13">
        <v>1.6017707360303546E-2</v>
      </c>
      <c r="AI13">
        <v>3.7518791481613752E-2</v>
      </c>
      <c r="AJ13">
        <v>7.7033064857248241E-3</v>
      </c>
      <c r="AK13">
        <v>1.3572678584746631E-2</v>
      </c>
      <c r="AL13">
        <v>9.8804992307963309E-3</v>
      </c>
      <c r="AM13">
        <v>2.4726686152070111E-2</v>
      </c>
      <c r="AN13">
        <v>1.6937836874414802E-2</v>
      </c>
      <c r="AO13">
        <v>2.8371039880033446E-2</v>
      </c>
    </row>
    <row r="14" spans="1:41" x14ac:dyDescent="0.35">
      <c r="A14" t="s">
        <v>41</v>
      </c>
      <c r="B14">
        <v>2.3156439181620758E-2</v>
      </c>
      <c r="C14">
        <v>4.3123739191479452E-2</v>
      </c>
      <c r="D14">
        <v>3.3260979240199495E-2</v>
      </c>
      <c r="E14">
        <v>0.10935785279545206</v>
      </c>
      <c r="J14">
        <v>0</v>
      </c>
      <c r="K14">
        <v>0</v>
      </c>
      <c r="L14">
        <v>2.8681237867874965E-2</v>
      </c>
      <c r="M14">
        <v>4.6992508010782683E-2</v>
      </c>
      <c r="N14">
        <v>1.9386989657859222E-2</v>
      </c>
      <c r="O14">
        <v>3.8926310871870026E-2</v>
      </c>
      <c r="P14">
        <v>1.724461083093401E-2</v>
      </c>
      <c r="Q14">
        <v>2.8314124559619576E-2</v>
      </c>
      <c r="R14">
        <v>0</v>
      </c>
      <c r="S14">
        <v>3.5128056218373095E-2</v>
      </c>
      <c r="T14">
        <v>1.5488617120349608E-2</v>
      </c>
      <c r="U14">
        <v>2.1143090550651316E-2</v>
      </c>
      <c r="V14">
        <v>0</v>
      </c>
      <c r="W14">
        <v>0</v>
      </c>
      <c r="X14">
        <v>2.6167112365489749E-2</v>
      </c>
      <c r="Y14">
        <v>4.5458160732285313E-2</v>
      </c>
      <c r="Z14">
        <v>1.9836333807127952E-2</v>
      </c>
      <c r="AA14">
        <v>3.3069503344236917E-2</v>
      </c>
      <c r="AB14">
        <v>2.3770353451610535E-2</v>
      </c>
      <c r="AC14">
        <v>5.3112572152770807E-2</v>
      </c>
      <c r="AD14">
        <v>0</v>
      </c>
      <c r="AE14">
        <v>0</v>
      </c>
      <c r="AF14">
        <v>9.7438299199260631E-3</v>
      </c>
      <c r="AG14">
        <v>2.6668168968786189E-2</v>
      </c>
      <c r="AH14">
        <v>1.7797452622559495E-2</v>
      </c>
      <c r="AI14">
        <v>4.1687546090681933E-2</v>
      </c>
      <c r="AL14">
        <v>6.5869994871975536E-3</v>
      </c>
      <c r="AM14">
        <v>1.6484457434713409E-2</v>
      </c>
      <c r="AN14">
        <v>0</v>
      </c>
      <c r="AO14">
        <v>0</v>
      </c>
    </row>
    <row r="15" spans="1:41" x14ac:dyDescent="0.35">
      <c r="A15" t="s">
        <v>42</v>
      </c>
      <c r="B15">
        <v>1.9627838925373791E-3</v>
      </c>
      <c r="C15">
        <v>3.6552502743254014E-3</v>
      </c>
      <c r="D15">
        <v>5.6876274500741132E-3</v>
      </c>
      <c r="E15">
        <v>1.8700192828022301E-2</v>
      </c>
      <c r="F15">
        <v>1.6792621964025456E-3</v>
      </c>
      <c r="G15">
        <v>4.1813482840510896E-3</v>
      </c>
      <c r="H15">
        <v>4.9828482033411302E-3</v>
      </c>
      <c r="I15">
        <v>1.1377320989792898E-2</v>
      </c>
      <c r="J15">
        <v>1.9285005037385547E-2</v>
      </c>
      <c r="K15">
        <v>4.9857811778373923E-2</v>
      </c>
      <c r="L15">
        <v>1.0247532528119704E-2</v>
      </c>
      <c r="M15">
        <v>1.6789974569326377E-2</v>
      </c>
      <c r="N15">
        <v>4.9974644647740431E-3</v>
      </c>
      <c r="O15">
        <v>1.0158541240249862E-2</v>
      </c>
      <c r="P15">
        <v>1.2933458123200507E-2</v>
      </c>
      <c r="Q15">
        <v>2.123559341971468E-2</v>
      </c>
      <c r="R15">
        <v>0</v>
      </c>
      <c r="S15">
        <v>1.4051222487349237E-3</v>
      </c>
      <c r="T15">
        <v>1.4367692665948767E-3</v>
      </c>
      <c r="U15">
        <v>6.4085558198135988E-3</v>
      </c>
      <c r="V15">
        <v>0</v>
      </c>
      <c r="W15">
        <v>0</v>
      </c>
      <c r="X15">
        <v>6.5417780913724372E-3</v>
      </c>
      <c r="Y15">
        <v>1.1364540183071328E-2</v>
      </c>
      <c r="Z15">
        <v>9.3782882733468463E-4</v>
      </c>
      <c r="AA15">
        <v>1.5634710447714783E-3</v>
      </c>
      <c r="AB15">
        <v>1.6639247416127378E-3</v>
      </c>
      <c r="AC15">
        <v>3.7178800506939562E-3</v>
      </c>
      <c r="AD15">
        <v>0</v>
      </c>
      <c r="AE15">
        <v>0</v>
      </c>
      <c r="AF15">
        <v>1.6491672643034235E-3</v>
      </c>
      <c r="AG15">
        <v>4.513653422079468E-3</v>
      </c>
      <c r="AH15">
        <v>0</v>
      </c>
      <c r="AI15">
        <v>0</v>
      </c>
      <c r="AL15">
        <v>9.0900592923326244E-3</v>
      </c>
      <c r="AM15">
        <v>2.2748551259904506E-2</v>
      </c>
      <c r="AN15">
        <v>5.180155110758527E-3</v>
      </c>
      <c r="AO15">
        <v>8.6768096966435612E-3</v>
      </c>
    </row>
    <row r="16" spans="1:41" x14ac:dyDescent="0.35">
      <c r="A16" t="s">
        <v>43</v>
      </c>
      <c r="B16">
        <v>9.7918657110853506E-3</v>
      </c>
      <c r="C16">
        <v>1.8235181143825597E-2</v>
      </c>
      <c r="F16">
        <v>2.2166260992513599E-2</v>
      </c>
      <c r="G16">
        <v>5.5193797349474376E-2</v>
      </c>
      <c r="H16">
        <v>1.8741458914059176E-3</v>
      </c>
      <c r="I16">
        <v>4.2792311782504635E-3</v>
      </c>
      <c r="J16">
        <v>9.2939783312701411E-3</v>
      </c>
      <c r="K16">
        <v>2.3060967520061943E-2</v>
      </c>
      <c r="L16">
        <v>2.325505773070943E-2</v>
      </c>
      <c r="M16">
        <v>3.8102033522256225E-2</v>
      </c>
      <c r="N16">
        <v>2.6822630174621349E-3</v>
      </c>
      <c r="O16">
        <v>5.3856016792955038E-3</v>
      </c>
      <c r="P16">
        <v>8.6223054154670048E-3</v>
      </c>
      <c r="Q16">
        <v>1.4157062279809788E-2</v>
      </c>
      <c r="R16">
        <v>1.6987154333586132E-2</v>
      </c>
      <c r="S16">
        <v>1.7564028109186548E-2</v>
      </c>
      <c r="T16">
        <v>4.3538462624087169E-3</v>
      </c>
      <c r="U16">
        <v>1.9419866120647267E-2</v>
      </c>
      <c r="V16">
        <v>2.0393666968311002E-2</v>
      </c>
      <c r="W16">
        <v>2.8376698244455503E-2</v>
      </c>
      <c r="X16">
        <v>1.5981056067964631E-2</v>
      </c>
      <c r="Y16">
        <v>2.7762689488324936E-2</v>
      </c>
      <c r="Z16">
        <v>3.6246808884266191E-3</v>
      </c>
      <c r="AA16">
        <v>6.0427696935883967E-3</v>
      </c>
      <c r="AB16">
        <v>2.2009586529269015E-2</v>
      </c>
      <c r="AC16">
        <v>4.9178307548861863E-2</v>
      </c>
      <c r="AD16">
        <v>5.1207281182112695E-3</v>
      </c>
      <c r="AE16">
        <v>9.0140214442811142E-3</v>
      </c>
      <c r="AF16">
        <v>1.3743060535861865E-3</v>
      </c>
      <c r="AG16">
        <v>3.7613778517328897E-3</v>
      </c>
      <c r="AH16">
        <v>2.3729936830079327E-3</v>
      </c>
      <c r="AI16">
        <v>5.5583394787575915E-3</v>
      </c>
      <c r="AL16">
        <v>1.6467498717993883E-4</v>
      </c>
      <c r="AM16">
        <v>4.121114358678352E-4</v>
      </c>
      <c r="AN16">
        <v>7.527927499739912E-3</v>
      </c>
      <c r="AO16">
        <v>1.2609351057792642E-2</v>
      </c>
    </row>
    <row r="18" spans="1:41" x14ac:dyDescent="0.35">
      <c r="A18" t="s">
        <v>5</v>
      </c>
      <c r="B18">
        <v>1.6749684760666014E-2</v>
      </c>
      <c r="C18">
        <v>3.1192578077019494E-2</v>
      </c>
      <c r="D18">
        <v>5.4675582312656706E-2</v>
      </c>
      <c r="E18">
        <v>0.17976633336238693</v>
      </c>
      <c r="F18">
        <v>1.275389009925984E-2</v>
      </c>
      <c r="G18">
        <v>3.1757075575071562E-2</v>
      </c>
      <c r="H18">
        <v>0</v>
      </c>
      <c r="I18">
        <v>0</v>
      </c>
      <c r="J18">
        <v>1.7646794299880017E-2</v>
      </c>
      <c r="K18">
        <v>4.3786647189991035E-2</v>
      </c>
      <c r="L18">
        <v>2.3549425550085497E-2</v>
      </c>
      <c r="M18">
        <v>3.8584337744056937E-2</v>
      </c>
      <c r="N18">
        <v>4.8218814705365737E-2</v>
      </c>
      <c r="O18">
        <v>7.4208290704404711E-2</v>
      </c>
      <c r="P18">
        <v>7.0868263688769903E-2</v>
      </c>
      <c r="Q18">
        <v>0.11635941599843659</v>
      </c>
      <c r="R18">
        <v>0.11169635726193622</v>
      </c>
      <c r="S18">
        <v>0.15816299900213207</v>
      </c>
      <c r="T18">
        <v>2.8643725410583661E-3</v>
      </c>
      <c r="U18">
        <v>1.2776227710952151E-2</v>
      </c>
      <c r="V18">
        <v>0</v>
      </c>
      <c r="W18">
        <v>0</v>
      </c>
      <c r="X18">
        <v>3.584535940478048E-2</v>
      </c>
      <c r="Y18">
        <v>6.2271453057925093E-2</v>
      </c>
      <c r="Z18">
        <v>1.8352814624944907E-2</v>
      </c>
      <c r="AA18">
        <v>3.0596302246017192E-2</v>
      </c>
      <c r="AB18">
        <v>4.3416170687873124E-2</v>
      </c>
      <c r="AC18">
        <v>9.7009264205974083E-2</v>
      </c>
      <c r="AD18">
        <v>3.8891605961098245E-2</v>
      </c>
      <c r="AE18">
        <v>6.846092236162872E-2</v>
      </c>
      <c r="AF18">
        <v>1.0437767495591287E-2</v>
      </c>
      <c r="AG18">
        <v>2.8567426722021949E-2</v>
      </c>
      <c r="AH18">
        <v>9.7520288342791746E-3</v>
      </c>
      <c r="AI18">
        <v>2.2842491008592845E-2</v>
      </c>
      <c r="AL18">
        <v>1.0827944362516526E-2</v>
      </c>
      <c r="AM18">
        <v>2.7097738248843959E-2</v>
      </c>
      <c r="AN18">
        <v>1.5468344177547761E-2</v>
      </c>
      <c r="AO18">
        <v>2.5909625461217757E-2</v>
      </c>
    </row>
    <row r="19" spans="1:41" x14ac:dyDescent="0.35">
      <c r="A19" t="s">
        <v>4</v>
      </c>
      <c r="B19">
        <v>7.8165195549774712E-3</v>
      </c>
      <c r="C19">
        <v>1.455653643594243E-2</v>
      </c>
      <c r="D19">
        <v>1.8225194104218904E-2</v>
      </c>
      <c r="E19">
        <v>5.9922111120795644E-2</v>
      </c>
      <c r="F19">
        <v>1.7005186799013122E-2</v>
      </c>
      <c r="G19">
        <v>4.2342767433428755E-2</v>
      </c>
      <c r="H19">
        <v>6.1126741402671809E-3</v>
      </c>
      <c r="I19">
        <v>1.3957048852741237E-2</v>
      </c>
      <c r="J19">
        <v>8.8233971499400085E-3</v>
      </c>
      <c r="K19">
        <v>2.1893323594995517E-2</v>
      </c>
      <c r="L19">
        <v>1.0989731923373233E-2</v>
      </c>
      <c r="M19">
        <v>1.8006024280559901E-2</v>
      </c>
      <c r="N19">
        <v>1.1971567788918391E-2</v>
      </c>
      <c r="O19">
        <v>2.4966305788437872E-2</v>
      </c>
      <c r="P19">
        <v>1.7717065922192476E-2</v>
      </c>
      <c r="Q19">
        <v>2.9089853999609148E-2</v>
      </c>
      <c r="R19">
        <v>3.7232119087312068E-2</v>
      </c>
      <c r="S19">
        <v>5.2720999667377359E-2</v>
      </c>
      <c r="T19">
        <v>2.6734143716544752E-3</v>
      </c>
      <c r="U19">
        <v>1.1924479196888674E-2</v>
      </c>
      <c r="V19">
        <v>8.2994466060493152E-3</v>
      </c>
      <c r="W19">
        <v>1.154823663158685E-2</v>
      </c>
      <c r="X19">
        <v>3.584535940478048E-2</v>
      </c>
      <c r="Y19">
        <v>6.2271453057925093E-2</v>
      </c>
      <c r="Z19">
        <v>1.8352814624944907E-2</v>
      </c>
      <c r="AA19">
        <v>3.0596302246017192E-2</v>
      </c>
      <c r="AB19">
        <v>2.1708085343936562E-2</v>
      </c>
      <c r="AC19">
        <v>4.8504632102987041E-2</v>
      </c>
      <c r="AD19">
        <v>1.5556642384439302E-2</v>
      </c>
      <c r="AE19">
        <v>2.7384368944651485E-2</v>
      </c>
      <c r="AF19">
        <v>6.2626604973547734E-3</v>
      </c>
      <c r="AG19">
        <v>1.714045603321317E-2</v>
      </c>
      <c r="AH19">
        <v>1.560324613484668E-2</v>
      </c>
      <c r="AI19">
        <v>3.654798561374855E-2</v>
      </c>
      <c r="AJ19">
        <v>3.749616046085738E-3</v>
      </c>
      <c r="AK19">
        <v>7.1105226856963948E-3</v>
      </c>
      <c r="AL19">
        <v>7.5795610537615684E-3</v>
      </c>
      <c r="AM19">
        <v>1.8968416774190772E-2</v>
      </c>
      <c r="AN19">
        <v>9.7966179791135824E-3</v>
      </c>
      <c r="AO19">
        <v>1.6409429458771246E-2</v>
      </c>
    </row>
    <row r="20" spans="1:41" x14ac:dyDescent="0.35">
      <c r="A20" t="s">
        <v>45</v>
      </c>
      <c r="B20">
        <v>8.3748423803330044E-2</v>
      </c>
      <c r="C20">
        <v>0.15596289038509745</v>
      </c>
      <c r="D20">
        <v>0.13668895578164175</v>
      </c>
      <c r="E20">
        <v>0.44941583340596736</v>
      </c>
      <c r="F20">
        <v>2.4487468990578892E-2</v>
      </c>
      <c r="G20">
        <v>6.0973585104137397E-2</v>
      </c>
      <c r="H20">
        <v>6.1126741402671811E-2</v>
      </c>
      <c r="I20">
        <v>0.13957048852741238</v>
      </c>
      <c r="J20">
        <v>6.4704912432893391E-2</v>
      </c>
      <c r="K20">
        <v>0.16055103969663381</v>
      </c>
      <c r="L20">
        <v>8.320797027696876E-2</v>
      </c>
      <c r="M20">
        <v>0.13633132669566783</v>
      </c>
      <c r="N20">
        <v>0.1197156778891839</v>
      </c>
      <c r="O20">
        <v>0.2496630578843787</v>
      </c>
      <c r="P20">
        <v>0.17717065922192476</v>
      </c>
      <c r="Q20">
        <v>0.29089853999609155</v>
      </c>
      <c r="R20">
        <v>0.27924089315484057</v>
      </c>
      <c r="S20">
        <v>0.39540749750533016</v>
      </c>
      <c r="T20">
        <v>3.6282052186739307E-2</v>
      </c>
      <c r="U20">
        <v>0.16183221767206057</v>
      </c>
      <c r="V20">
        <v>4.1497233030246584E-2</v>
      </c>
      <c r="W20">
        <v>5.7741183157934257E-2</v>
      </c>
      <c r="X20">
        <v>0.15532989075404877</v>
      </c>
      <c r="Y20">
        <v>0.26984296325100871</v>
      </c>
      <c r="Z20">
        <v>7.2799498012281472E-2</v>
      </c>
      <c r="AA20">
        <v>0.12136533224253489</v>
      </c>
      <c r="AB20">
        <v>0.1628106400795242</v>
      </c>
      <c r="AC20">
        <v>0.36378474077240275</v>
      </c>
      <c r="AD20">
        <v>9.7229014902745631E-2</v>
      </c>
      <c r="AE20">
        <v>0.17115230590407179</v>
      </c>
      <c r="AF20">
        <v>4.0011442066433277E-2</v>
      </c>
      <c r="AG20">
        <v>0.10950846910108414</v>
      </c>
      <c r="AH20">
        <v>9.752028834279175E-2</v>
      </c>
      <c r="AI20">
        <v>0.22842491008592847</v>
      </c>
      <c r="AJ20">
        <v>2.222986655893687E-2</v>
      </c>
      <c r="AK20">
        <v>4.2155241636628628E-2</v>
      </c>
      <c r="AL20">
        <v>6.4606734696348603E-2</v>
      </c>
      <c r="AM20">
        <v>0.16168317155143563</v>
      </c>
      <c r="AN20">
        <v>7.7341720887738802E-2</v>
      </c>
      <c r="AO20">
        <v>0.12954812730608878</v>
      </c>
    </row>
    <row r="21" spans="1:41" x14ac:dyDescent="0.35">
      <c r="A21" t="s">
        <v>46</v>
      </c>
      <c r="B21">
        <v>3.3499369521332027E-2</v>
      </c>
      <c r="C21">
        <v>6.2385156154038987E-2</v>
      </c>
      <c r="D21">
        <v>8.2013373468985046E-2</v>
      </c>
      <c r="E21">
        <v>0.2696495000435804</v>
      </c>
      <c r="F21">
        <v>1.7855446138963778E-2</v>
      </c>
      <c r="G21">
        <v>4.4459905805100189E-2</v>
      </c>
      <c r="H21">
        <v>1.2225348280534362E-2</v>
      </c>
      <c r="I21">
        <v>2.7914097705482473E-2</v>
      </c>
      <c r="J21">
        <v>4.4116985749700043E-3</v>
      </c>
      <c r="K21">
        <v>1.0946661797497759E-2</v>
      </c>
      <c r="L21">
        <v>2.3549425550085497E-2</v>
      </c>
      <c r="M21">
        <v>3.8584337744056937E-2</v>
      </c>
      <c r="N21">
        <v>0</v>
      </c>
      <c r="O21">
        <v>0</v>
      </c>
      <c r="P21">
        <v>0</v>
      </c>
      <c r="Q21">
        <v>0</v>
      </c>
      <c r="R21">
        <v>5.5848178630968109E-2</v>
      </c>
      <c r="S21">
        <v>7.9081499501066035E-2</v>
      </c>
      <c r="T21">
        <v>0</v>
      </c>
      <c r="U21">
        <v>0</v>
      </c>
      <c r="V21">
        <v>1.659889321209863E-2</v>
      </c>
      <c r="W21">
        <v>2.3096473263173701E-2</v>
      </c>
      <c r="X21">
        <v>0</v>
      </c>
      <c r="Y21">
        <v>0</v>
      </c>
      <c r="Z21">
        <v>0</v>
      </c>
      <c r="AA21">
        <v>0</v>
      </c>
      <c r="AB21">
        <v>0</v>
      </c>
      <c r="AC21">
        <v>0</v>
      </c>
      <c r="AD21">
        <v>5.8337408941647378E-2</v>
      </c>
      <c r="AE21">
        <v>0.10269138354244309</v>
      </c>
      <c r="AF21">
        <v>9.7419163292185376E-3</v>
      </c>
      <c r="AG21">
        <v>2.6662931607220483E-2</v>
      </c>
      <c r="AH21">
        <v>0</v>
      </c>
      <c r="AI21">
        <v>0</v>
      </c>
      <c r="AL21">
        <v>0</v>
      </c>
      <c r="AM21">
        <v>0</v>
      </c>
      <c r="AN21">
        <v>0</v>
      </c>
      <c r="AO21">
        <v>0</v>
      </c>
    </row>
    <row r="23" spans="1:41" x14ac:dyDescent="0.35">
      <c r="A23" t="s">
        <v>47</v>
      </c>
      <c r="B23">
        <v>1.674968476066601E-2</v>
      </c>
      <c r="C23">
        <v>3.119257807701949E-2</v>
      </c>
      <c r="D23">
        <v>2.733779115632835E-2</v>
      </c>
      <c r="E23">
        <v>8.9883166681193477E-2</v>
      </c>
      <c r="F23">
        <v>4.8974937981157785E-3</v>
      </c>
      <c r="G23">
        <v>1.2194717020827479E-2</v>
      </c>
      <c r="H23">
        <v>1.2225348280534362E-2</v>
      </c>
      <c r="I23">
        <v>2.7914097705482477E-2</v>
      </c>
      <c r="J23">
        <v>1.2940982486578679E-2</v>
      </c>
      <c r="K23">
        <v>3.2110207939326764E-2</v>
      </c>
      <c r="L23">
        <v>1.6641594055393751E-2</v>
      </c>
      <c r="M23">
        <v>2.7266265339133566E-2</v>
      </c>
      <c r="N23">
        <v>2.3943135577836779E-2</v>
      </c>
      <c r="O23">
        <v>4.9932611576875743E-2</v>
      </c>
      <c r="P23">
        <v>3.5434131844384952E-2</v>
      </c>
      <c r="Q23">
        <v>5.8179707999218309E-2</v>
      </c>
      <c r="R23">
        <v>5.5848178630968116E-2</v>
      </c>
      <c r="S23">
        <v>7.9081499501066035E-2</v>
      </c>
      <c r="T23">
        <v>7.2564104373478615E-3</v>
      </c>
      <c r="U23">
        <v>3.2366443534412113E-2</v>
      </c>
      <c r="V23">
        <v>8.2994466060493169E-3</v>
      </c>
      <c r="W23">
        <v>1.1548236631586852E-2</v>
      </c>
      <c r="X23">
        <v>3.1065978150809755E-2</v>
      </c>
      <c r="Y23">
        <v>5.3968592650201742E-2</v>
      </c>
      <c r="Z23">
        <v>1.4559899602456294E-2</v>
      </c>
      <c r="AA23">
        <v>2.4273066448506977E-2</v>
      </c>
      <c r="AB23">
        <v>3.2562128015904843E-2</v>
      </c>
      <c r="AC23">
        <v>7.2756948154480555E-2</v>
      </c>
      <c r="AD23">
        <v>1.9445802980549126E-2</v>
      </c>
      <c r="AE23">
        <v>3.423046118081436E-2</v>
      </c>
      <c r="AF23">
        <v>8.0022884132866547E-3</v>
      </c>
      <c r="AG23">
        <v>2.1901693820216828E-2</v>
      </c>
      <c r="AH23">
        <v>1.9504057668558349E-2</v>
      </c>
      <c r="AI23">
        <v>4.5684982017185696E-2</v>
      </c>
      <c r="AJ23">
        <v>7.4992320921714762E-4</v>
      </c>
      <c r="AK23">
        <v>1.422104537139279E-3</v>
      </c>
      <c r="AL23">
        <v>1.2921346939269721E-2</v>
      </c>
      <c r="AM23">
        <v>3.2336634310287125E-2</v>
      </c>
      <c r="AN23">
        <v>1.546834417754776E-2</v>
      </c>
      <c r="AO23">
        <v>2.5909625461217757E-2</v>
      </c>
    </row>
    <row r="24" spans="1:41" x14ac:dyDescent="0.35">
      <c r="A24" t="s">
        <v>48</v>
      </c>
      <c r="B24">
        <v>6.6998739042664051E-3</v>
      </c>
      <c r="C24">
        <v>1.2477031230807798E-2</v>
      </c>
      <c r="D24">
        <v>1.6402674693797008E-2</v>
      </c>
      <c r="E24">
        <v>5.3929900008716079E-2</v>
      </c>
      <c r="F24">
        <v>3.5710892277927555E-3</v>
      </c>
      <c r="G24">
        <v>8.8919811610200378E-3</v>
      </c>
      <c r="H24">
        <v>2.4450696561068722E-3</v>
      </c>
      <c r="I24">
        <v>5.582819541096495E-3</v>
      </c>
      <c r="J24">
        <v>8.8233971499400085E-4</v>
      </c>
      <c r="K24">
        <v>2.1893323594995517E-3</v>
      </c>
      <c r="L24">
        <v>4.7098851100170992E-3</v>
      </c>
      <c r="M24">
        <v>7.7168675488113875E-3</v>
      </c>
      <c r="N24">
        <v>0</v>
      </c>
      <c r="O24">
        <v>0</v>
      </c>
      <c r="P24">
        <v>0</v>
      </c>
      <c r="Q24">
        <v>0</v>
      </c>
      <c r="R24">
        <v>1.1169635726193622E-2</v>
      </c>
      <c r="S24">
        <v>1.5816299900213208E-2</v>
      </c>
      <c r="T24">
        <v>0</v>
      </c>
      <c r="U24">
        <v>0</v>
      </c>
      <c r="V24">
        <v>3.3197786424197261E-3</v>
      </c>
      <c r="W24">
        <v>4.61929465263474E-3</v>
      </c>
      <c r="X24">
        <v>0</v>
      </c>
      <c r="Y24">
        <v>0</v>
      </c>
      <c r="Z24">
        <v>0</v>
      </c>
      <c r="AA24">
        <v>0</v>
      </c>
      <c r="AB24">
        <v>0</v>
      </c>
      <c r="AC24">
        <v>0</v>
      </c>
      <c r="AD24">
        <v>1.1667481788329475E-2</v>
      </c>
      <c r="AE24">
        <v>2.0538276708488616E-2</v>
      </c>
      <c r="AF24">
        <v>1.9483832658437074E-3</v>
      </c>
      <c r="AG24">
        <v>5.3325863214440964E-3</v>
      </c>
      <c r="AH24">
        <v>0</v>
      </c>
      <c r="AI24">
        <v>0</v>
      </c>
      <c r="AJ24">
        <v>4.4459733117873743E-3</v>
      </c>
      <c r="AK24">
        <v>8.4310483273257256E-3</v>
      </c>
      <c r="AL24">
        <v>0</v>
      </c>
      <c r="AM24">
        <v>0</v>
      </c>
      <c r="AN24">
        <v>0</v>
      </c>
      <c r="AO24">
        <v>0</v>
      </c>
    </row>
  </sheetData>
  <pageMargins left="0.7" right="0.7" top="0.75" bottom="0.75" header="0.3" footer="0.3"/>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dimension ref="A1:I21"/>
  <sheetViews>
    <sheetView workbookViewId="0"/>
  </sheetViews>
  <sheetFormatPr defaultColWidth="9.1796875" defaultRowHeight="14.5" x14ac:dyDescent="0.35"/>
  <cols>
    <col min="3" max="3" width="14.36328125" customWidth="1"/>
  </cols>
  <sheetData>
    <row r="1" spans="1:9" x14ac:dyDescent="0.35">
      <c r="A1" t="s">
        <v>456</v>
      </c>
    </row>
    <row r="3" spans="1:9" x14ac:dyDescent="0.35">
      <c r="B3" t="s">
        <v>457</v>
      </c>
      <c r="C3" t="s">
        <v>458</v>
      </c>
    </row>
    <row r="4" spans="1:9" x14ac:dyDescent="0.35">
      <c r="A4" t="s">
        <v>11</v>
      </c>
      <c r="B4">
        <v>3447.4810000000002</v>
      </c>
      <c r="C4" s="196">
        <f>+B4*12</f>
        <v>41369.772000000004</v>
      </c>
      <c r="E4" t="s">
        <v>11</v>
      </c>
      <c r="F4">
        <v>6013.6139999999996</v>
      </c>
      <c r="G4">
        <f>+F4*12</f>
        <v>72163.367999999988</v>
      </c>
      <c r="I4">
        <f>+C4/G4</f>
        <v>0.57327939571778319</v>
      </c>
    </row>
    <row r="5" spans="1:9" x14ac:dyDescent="0.35">
      <c r="A5" t="s">
        <v>13</v>
      </c>
      <c r="B5">
        <v>2194.1880000000001</v>
      </c>
      <c r="C5" s="196">
        <f t="shared" ref="C5:C21" si="0">+B5*12</f>
        <v>26330.256000000001</v>
      </c>
      <c r="E5" t="s">
        <v>13</v>
      </c>
      <c r="F5">
        <v>3906.5619999999999</v>
      </c>
      <c r="G5">
        <f t="shared" ref="G5:G21" si="1">+F5*12</f>
        <v>46878.743999999999</v>
      </c>
      <c r="I5">
        <f t="shared" ref="I5:I21" si="2">+C5/G5</f>
        <v>0.5616672665120892</v>
      </c>
    </row>
    <row r="6" spans="1:9" x14ac:dyDescent="0.35">
      <c r="A6" t="s">
        <v>12</v>
      </c>
      <c r="B6">
        <v>1003.004</v>
      </c>
      <c r="C6" s="196">
        <f t="shared" si="0"/>
        <v>12036.048000000001</v>
      </c>
      <c r="E6" t="s">
        <v>12</v>
      </c>
      <c r="F6">
        <v>1909.9670000000001</v>
      </c>
      <c r="G6">
        <f t="shared" si="1"/>
        <v>22919.603999999999</v>
      </c>
      <c r="I6">
        <f t="shared" si="2"/>
        <v>0.5251420574282174</v>
      </c>
    </row>
    <row r="7" spans="1:9" x14ac:dyDescent="0.35">
      <c r="A7" t="s">
        <v>28</v>
      </c>
      <c r="B7">
        <v>401733.3</v>
      </c>
      <c r="C7" s="196">
        <f t="shared" si="0"/>
        <v>4820799.5999999996</v>
      </c>
      <c r="E7" t="s">
        <v>28</v>
      </c>
      <c r="F7">
        <v>542780.4</v>
      </c>
      <c r="G7">
        <f t="shared" si="1"/>
        <v>6513364.8000000007</v>
      </c>
      <c r="I7">
        <f t="shared" si="2"/>
        <v>0.74013965869069687</v>
      </c>
    </row>
    <row r="8" spans="1:9" x14ac:dyDescent="0.35">
      <c r="A8" t="s">
        <v>15</v>
      </c>
      <c r="B8">
        <v>518134.2</v>
      </c>
      <c r="C8" s="196">
        <f t="shared" si="0"/>
        <v>6217610.4000000004</v>
      </c>
      <c r="E8" t="s">
        <v>15</v>
      </c>
      <c r="F8">
        <v>1482573</v>
      </c>
      <c r="G8">
        <f t="shared" si="1"/>
        <v>17790876</v>
      </c>
      <c r="I8">
        <f t="shared" si="2"/>
        <v>0.34948309459298127</v>
      </c>
    </row>
    <row r="9" spans="1:9" x14ac:dyDescent="0.35">
      <c r="A9" t="s">
        <v>18</v>
      </c>
      <c r="B9">
        <v>203925.2</v>
      </c>
      <c r="C9" s="196">
        <f t="shared" si="0"/>
        <v>2447102.4000000004</v>
      </c>
      <c r="E9" t="s">
        <v>18</v>
      </c>
      <c r="F9">
        <v>473505.4</v>
      </c>
      <c r="G9">
        <f t="shared" si="1"/>
        <v>5682064.8000000007</v>
      </c>
      <c r="I9">
        <f t="shared" si="2"/>
        <v>0.4306713291970905</v>
      </c>
    </row>
    <row r="10" spans="1:9" x14ac:dyDescent="0.35">
      <c r="A10" t="s">
        <v>26</v>
      </c>
      <c r="B10">
        <v>11980.14</v>
      </c>
      <c r="C10" s="196">
        <f t="shared" si="0"/>
        <v>143761.68</v>
      </c>
      <c r="E10" t="s">
        <v>26</v>
      </c>
      <c r="F10">
        <v>18830.07</v>
      </c>
      <c r="G10">
        <f t="shared" si="1"/>
        <v>225960.84</v>
      </c>
      <c r="I10">
        <f t="shared" si="2"/>
        <v>0.63622386958731436</v>
      </c>
    </row>
    <row r="11" spans="1:9" x14ac:dyDescent="0.35">
      <c r="A11" t="s">
        <v>17</v>
      </c>
      <c r="B11">
        <v>290.80770000000001</v>
      </c>
      <c r="C11" s="196">
        <f t="shared" si="0"/>
        <v>3489.6923999999999</v>
      </c>
      <c r="E11" t="s">
        <v>17</v>
      </c>
      <c r="F11">
        <v>627.41949999999997</v>
      </c>
      <c r="G11">
        <f t="shared" si="1"/>
        <v>7529.0339999999997</v>
      </c>
      <c r="I11">
        <f t="shared" si="2"/>
        <v>0.46349802644004529</v>
      </c>
    </row>
    <row r="12" spans="1:9" x14ac:dyDescent="0.35">
      <c r="A12" t="s">
        <v>21</v>
      </c>
      <c r="B12">
        <v>1773.5050000000001</v>
      </c>
      <c r="C12" s="196">
        <f t="shared" si="0"/>
        <v>21282.06</v>
      </c>
      <c r="E12" t="s">
        <v>21</v>
      </c>
      <c r="F12">
        <v>3880.2469999999998</v>
      </c>
      <c r="G12">
        <f t="shared" si="1"/>
        <v>46562.964</v>
      </c>
      <c r="I12">
        <f t="shared" si="2"/>
        <v>0.45705982119179528</v>
      </c>
    </row>
    <row r="13" spans="1:9" x14ac:dyDescent="0.35">
      <c r="A13" t="s">
        <v>27</v>
      </c>
      <c r="B13">
        <v>2926.7979999999998</v>
      </c>
      <c r="C13" s="196">
        <f t="shared" si="0"/>
        <v>35121.576000000001</v>
      </c>
      <c r="E13" t="s">
        <v>27</v>
      </c>
      <c r="F13">
        <v>9687.9639999999999</v>
      </c>
      <c r="G13">
        <f t="shared" si="1"/>
        <v>116255.568</v>
      </c>
      <c r="I13">
        <f t="shared" si="2"/>
        <v>0.30210661393869753</v>
      </c>
    </row>
    <row r="14" spans="1:9" x14ac:dyDescent="0.35">
      <c r="A14" t="s">
        <v>24</v>
      </c>
      <c r="B14">
        <v>3293.3330000000001</v>
      </c>
      <c r="C14" s="196">
        <f t="shared" si="0"/>
        <v>39519.995999999999</v>
      </c>
      <c r="E14" t="s">
        <v>24</v>
      </c>
      <c r="F14">
        <v>8062.4750000000004</v>
      </c>
      <c r="G14">
        <f t="shared" si="1"/>
        <v>96749.700000000012</v>
      </c>
      <c r="I14">
        <f t="shared" si="2"/>
        <v>0.40847667744706179</v>
      </c>
    </row>
    <row r="15" spans="1:9" x14ac:dyDescent="0.35">
      <c r="A15" t="s">
        <v>23</v>
      </c>
      <c r="B15">
        <v>2759.0839999999998</v>
      </c>
      <c r="C15" s="196">
        <f t="shared" si="0"/>
        <v>33109.008000000002</v>
      </c>
      <c r="E15" t="s">
        <v>23</v>
      </c>
      <c r="F15">
        <v>6653.058</v>
      </c>
      <c r="G15">
        <f t="shared" si="1"/>
        <v>79836.695999999996</v>
      </c>
      <c r="I15">
        <f t="shared" si="2"/>
        <v>0.41470914577927931</v>
      </c>
    </row>
    <row r="16" spans="1:9" x14ac:dyDescent="0.35">
      <c r="A16" t="s">
        <v>19</v>
      </c>
      <c r="B16">
        <v>419.8236</v>
      </c>
      <c r="C16" s="196">
        <f t="shared" si="0"/>
        <v>5037.8832000000002</v>
      </c>
      <c r="E16" t="s">
        <v>19</v>
      </c>
      <c r="F16">
        <v>785.54629999999997</v>
      </c>
      <c r="G16">
        <f t="shared" si="1"/>
        <v>9426.5555999999997</v>
      </c>
      <c r="I16">
        <f t="shared" si="2"/>
        <v>0.53443520770195219</v>
      </c>
    </row>
    <row r="17" spans="1:9" x14ac:dyDescent="0.35">
      <c r="A17" t="s">
        <v>16</v>
      </c>
      <c r="B17">
        <v>739.04330000000004</v>
      </c>
      <c r="C17" s="196">
        <f t="shared" si="0"/>
        <v>8868.5195999999996</v>
      </c>
      <c r="E17" t="s">
        <v>16</v>
      </c>
      <c r="F17">
        <v>1670.9960000000001</v>
      </c>
      <c r="G17">
        <f t="shared" si="1"/>
        <v>20051.952000000001</v>
      </c>
      <c r="I17">
        <f t="shared" si="2"/>
        <v>0.44227712095061861</v>
      </c>
    </row>
    <row r="18" spans="1:9" x14ac:dyDescent="0.35">
      <c r="A18" t="s">
        <v>20</v>
      </c>
      <c r="B18">
        <v>1700823</v>
      </c>
      <c r="C18" s="196">
        <f t="shared" si="0"/>
        <v>20409876</v>
      </c>
      <c r="E18" t="s">
        <v>20</v>
      </c>
      <c r="F18">
        <v>3077063</v>
      </c>
      <c r="G18">
        <f t="shared" si="1"/>
        <v>36924756</v>
      </c>
      <c r="I18">
        <f t="shared" si="2"/>
        <v>0.5527423390421321</v>
      </c>
    </row>
    <row r="19" spans="1:9" x14ac:dyDescent="0.35">
      <c r="A19" t="s">
        <v>25</v>
      </c>
      <c r="B19">
        <v>214.51320000000001</v>
      </c>
      <c r="C19" s="196">
        <f t="shared" si="0"/>
        <v>2574.1584000000003</v>
      </c>
      <c r="E19" t="s">
        <v>25</v>
      </c>
      <c r="F19">
        <v>460.41860000000003</v>
      </c>
      <c r="G19">
        <f t="shared" si="1"/>
        <v>5525.0232000000005</v>
      </c>
      <c r="I19">
        <f t="shared" si="2"/>
        <v>0.46590906622799338</v>
      </c>
    </row>
    <row r="20" spans="1:9" x14ac:dyDescent="0.35">
      <c r="A20" t="s">
        <v>14</v>
      </c>
      <c r="B20">
        <v>7898.375</v>
      </c>
      <c r="C20" s="196">
        <f t="shared" si="0"/>
        <v>94780.5</v>
      </c>
      <c r="E20" t="s">
        <v>14</v>
      </c>
      <c r="F20">
        <v>21244.79</v>
      </c>
      <c r="G20">
        <f t="shared" si="1"/>
        <v>254937.48</v>
      </c>
      <c r="I20">
        <f t="shared" si="2"/>
        <v>0.3717793868520235</v>
      </c>
    </row>
    <row r="21" spans="1:9" x14ac:dyDescent="0.35">
      <c r="A21" t="s">
        <v>22</v>
      </c>
      <c r="B21">
        <v>3466.5659999999998</v>
      </c>
      <c r="C21" s="196">
        <f t="shared" si="0"/>
        <v>41598.792000000001</v>
      </c>
      <c r="E21" t="s">
        <v>22</v>
      </c>
      <c r="F21">
        <v>4540.4589999999998</v>
      </c>
      <c r="G21">
        <f t="shared" si="1"/>
        <v>54485.508000000002</v>
      </c>
      <c r="I21">
        <f t="shared" si="2"/>
        <v>0.76348360375019353</v>
      </c>
    </row>
  </sheetData>
  <sortState xmlns:xlrd2="http://schemas.microsoft.com/office/spreadsheetml/2017/richdata2" ref="A2:E21">
    <sortCondition descending="1" ref="B1"/>
  </sortState>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I27"/>
  <sheetViews>
    <sheetView workbookViewId="0"/>
  </sheetViews>
  <sheetFormatPr defaultColWidth="9.1796875" defaultRowHeight="14.5" x14ac:dyDescent="0.35"/>
  <cols>
    <col min="1" max="1" width="13.54296875" customWidth="1"/>
    <col min="2" max="2" width="13.81640625" customWidth="1"/>
    <col min="3" max="4" width="13.54296875" customWidth="1"/>
    <col min="5" max="5" width="12.81640625" customWidth="1"/>
  </cols>
  <sheetData>
    <row r="1" spans="1:9" ht="18.5" x14ac:dyDescent="0.45">
      <c r="A1" s="21" t="s">
        <v>459</v>
      </c>
    </row>
    <row r="2" spans="1:9" x14ac:dyDescent="0.35">
      <c r="A2" t="s">
        <v>146</v>
      </c>
    </row>
    <row r="4" spans="1:9" s="33" customFormat="1" ht="15" customHeight="1" x14ac:dyDescent="0.35">
      <c r="A4" s="65"/>
      <c r="B4" s="935" t="s">
        <v>70</v>
      </c>
      <c r="C4" s="935"/>
      <c r="D4" s="935"/>
      <c r="E4" s="935"/>
      <c r="F4" s="935"/>
    </row>
    <row r="5" spans="1:9" s="33" customFormat="1" ht="15" customHeight="1" x14ac:dyDescent="0.35">
      <c r="A5" s="66"/>
      <c r="B5" s="940" t="s">
        <v>73</v>
      </c>
      <c r="C5" s="941"/>
      <c r="D5" s="15"/>
      <c r="E5" s="942" t="s">
        <v>74</v>
      </c>
      <c r="F5" s="943"/>
      <c r="G5" s="70"/>
    </row>
    <row r="6" spans="1:9" s="33" customFormat="1" ht="52" x14ac:dyDescent="0.35">
      <c r="A6" s="67"/>
      <c r="B6" s="35" t="s">
        <v>80</v>
      </c>
      <c r="C6" s="36" t="s">
        <v>81</v>
      </c>
      <c r="D6" s="458" t="s">
        <v>187</v>
      </c>
      <c r="E6" s="458" t="s">
        <v>80</v>
      </c>
      <c r="F6" s="458" t="s">
        <v>81</v>
      </c>
      <c r="G6" s="458" t="s">
        <v>187</v>
      </c>
      <c r="I6" s="33" t="s">
        <v>73</v>
      </c>
    </row>
    <row r="7" spans="1:9" s="23" customFormat="1" x14ac:dyDescent="0.35">
      <c r="A7" s="463" t="s">
        <v>13</v>
      </c>
      <c r="B7" s="37">
        <v>0.41095890410958902</v>
      </c>
      <c r="C7" s="38">
        <v>0.24657534246575344</v>
      </c>
      <c r="D7" s="197">
        <v>0.65753424657534243</v>
      </c>
      <c r="E7" s="465">
        <v>8.2191780821917804E-2</v>
      </c>
      <c r="F7" s="465">
        <v>4.9315068493150691E-2</v>
      </c>
      <c r="G7" s="465">
        <v>0.13150684931506851</v>
      </c>
    </row>
    <row r="8" spans="1:9" s="23" customFormat="1" x14ac:dyDescent="0.35">
      <c r="A8" s="23" t="s">
        <v>16</v>
      </c>
      <c r="B8" s="39">
        <v>0.61643835616438358</v>
      </c>
      <c r="C8" s="40">
        <v>0</v>
      </c>
      <c r="D8" s="34">
        <v>0.61643835616438358</v>
      </c>
      <c r="E8" s="61">
        <v>0.12328767123287672</v>
      </c>
      <c r="F8" s="61">
        <v>0</v>
      </c>
      <c r="G8" s="61">
        <v>0.12328767123287672</v>
      </c>
    </row>
    <row r="9" spans="1:9" s="23" customFormat="1" x14ac:dyDescent="0.35">
      <c r="A9" s="23" t="s">
        <v>11</v>
      </c>
      <c r="B9" s="39">
        <v>0.41095890410958902</v>
      </c>
      <c r="C9" s="40">
        <v>0.16438356164383561</v>
      </c>
      <c r="D9" s="34">
        <v>0.57534246575342463</v>
      </c>
      <c r="E9" s="61">
        <v>8.2191780821917804E-2</v>
      </c>
      <c r="F9" s="61">
        <v>3.287671232876712E-2</v>
      </c>
      <c r="G9" s="61">
        <v>0.11506849315068493</v>
      </c>
    </row>
    <row r="10" spans="1:9" s="23" customFormat="1" x14ac:dyDescent="0.35">
      <c r="A10" s="23" t="s">
        <v>24</v>
      </c>
      <c r="B10" s="39">
        <v>0.52054794520547942</v>
      </c>
      <c r="C10" s="40">
        <v>0</v>
      </c>
      <c r="D10" s="34">
        <v>0.52054794520547942</v>
      </c>
      <c r="E10" s="61">
        <v>0.10410958904109588</v>
      </c>
      <c r="F10" s="61">
        <v>0</v>
      </c>
      <c r="G10" s="61">
        <v>0.10410958904109588</v>
      </c>
    </row>
    <row r="11" spans="1:9" s="23" customFormat="1" x14ac:dyDescent="0.35">
      <c r="A11" s="23" t="s">
        <v>28</v>
      </c>
      <c r="B11" s="39">
        <v>0.41095890410958902</v>
      </c>
      <c r="C11" s="40">
        <v>8.2191780821917804E-2</v>
      </c>
      <c r="D11" s="34">
        <v>0.49315068493150682</v>
      </c>
      <c r="E11" s="61">
        <v>8.2191780821917804E-2</v>
      </c>
      <c r="F11" s="61">
        <v>1.643835616438356E-2</v>
      </c>
      <c r="G11" s="61">
        <v>9.8630136986301367E-2</v>
      </c>
    </row>
    <row r="12" spans="1:9" s="23" customFormat="1" x14ac:dyDescent="0.35">
      <c r="A12" s="23" t="s">
        <v>27</v>
      </c>
      <c r="B12" s="39">
        <v>0.41095890410958902</v>
      </c>
      <c r="C12" s="40">
        <v>8.2191780821917804E-2</v>
      </c>
      <c r="D12" s="34">
        <v>0.49315068493150682</v>
      </c>
      <c r="E12" s="61">
        <v>8.2191780821917804E-2</v>
      </c>
      <c r="F12" s="61">
        <v>1.643835616438356E-2</v>
      </c>
      <c r="G12" s="61">
        <v>9.8630136986301367E-2</v>
      </c>
    </row>
    <row r="13" spans="1:9" s="23" customFormat="1" x14ac:dyDescent="0.35">
      <c r="A13" s="23" t="s">
        <v>14</v>
      </c>
      <c r="B13" s="39">
        <v>0.49041095890410963</v>
      </c>
      <c r="C13" s="40">
        <v>0</v>
      </c>
      <c r="D13" s="34">
        <v>0.49041095890410963</v>
      </c>
      <c r="E13" s="61">
        <v>9.808219178082192E-2</v>
      </c>
      <c r="F13" s="61">
        <v>0</v>
      </c>
      <c r="G13" s="61">
        <v>9.808219178082192E-2</v>
      </c>
    </row>
    <row r="14" spans="1:9" s="23" customFormat="1" x14ac:dyDescent="0.35">
      <c r="A14" s="23" t="s">
        <v>17</v>
      </c>
      <c r="B14" s="39">
        <v>0.41095890410958907</v>
      </c>
      <c r="C14" s="40">
        <v>0</v>
      </c>
      <c r="D14" s="34">
        <v>0.41095890410958907</v>
      </c>
      <c r="E14" s="61">
        <v>8.2191780821917818E-2</v>
      </c>
      <c r="F14" s="61">
        <v>0</v>
      </c>
      <c r="G14" s="61">
        <v>8.2191780821917818E-2</v>
      </c>
    </row>
    <row r="15" spans="1:9" s="23" customFormat="1" x14ac:dyDescent="0.35">
      <c r="A15" s="23" t="s">
        <v>21</v>
      </c>
      <c r="B15" s="39">
        <v>0.41095890410958907</v>
      </c>
      <c r="C15" s="40">
        <v>0</v>
      </c>
      <c r="D15" s="34">
        <v>0.41095890410958907</v>
      </c>
      <c r="E15" s="61">
        <v>8.2191780821917818E-2</v>
      </c>
      <c r="F15" s="61">
        <v>0</v>
      </c>
      <c r="G15" s="61">
        <v>8.2191780821917818E-2</v>
      </c>
    </row>
    <row r="16" spans="1:9" s="23" customFormat="1" x14ac:dyDescent="0.35">
      <c r="A16" s="23" t="s">
        <v>25</v>
      </c>
      <c r="B16" s="39">
        <v>0.41095890410958907</v>
      </c>
      <c r="C16" s="40">
        <v>0</v>
      </c>
      <c r="D16" s="34">
        <v>0.41095890410958907</v>
      </c>
      <c r="E16" s="61">
        <v>8.2191780821917818E-2</v>
      </c>
      <c r="F16" s="61">
        <v>0</v>
      </c>
      <c r="G16" s="61">
        <v>8.2191780821917818E-2</v>
      </c>
    </row>
    <row r="17" spans="1:9" s="23" customFormat="1" x14ac:dyDescent="0.35">
      <c r="A17" s="23" t="s">
        <v>22</v>
      </c>
      <c r="B17" s="39">
        <v>0.41095890410958902</v>
      </c>
      <c r="C17" s="40">
        <v>0</v>
      </c>
      <c r="D17" s="34">
        <v>0.41095890410958902</v>
      </c>
      <c r="E17" s="61">
        <v>8.2191780821917804E-2</v>
      </c>
      <c r="F17" s="61">
        <v>0</v>
      </c>
      <c r="G17" s="61">
        <v>8.2191780821917804E-2</v>
      </c>
    </row>
    <row r="18" spans="1:9" s="23" customFormat="1" x14ac:dyDescent="0.35">
      <c r="A18" s="23" t="s">
        <v>26</v>
      </c>
      <c r="B18" s="39">
        <v>0.31506849315068491</v>
      </c>
      <c r="C18" s="40">
        <v>7.6712328767123278E-2</v>
      </c>
      <c r="D18" s="34">
        <v>0.39178082191780816</v>
      </c>
      <c r="E18" s="61">
        <v>6.3013698630136977E-2</v>
      </c>
      <c r="F18" s="61">
        <v>1.5342465753424656E-2</v>
      </c>
      <c r="G18" s="61">
        <v>7.8356164383561633E-2</v>
      </c>
    </row>
    <row r="19" spans="1:9" s="23" customFormat="1" x14ac:dyDescent="0.35">
      <c r="A19" s="23" t="s">
        <v>18</v>
      </c>
      <c r="B19" s="39">
        <v>0.29041095890410962</v>
      </c>
      <c r="C19" s="40">
        <v>8.2191780821917804E-2</v>
      </c>
      <c r="D19" s="34">
        <v>0.37260273972602742</v>
      </c>
      <c r="E19" s="61">
        <v>5.8082191780821926E-2</v>
      </c>
      <c r="F19" s="61">
        <v>1.643835616438356E-2</v>
      </c>
      <c r="G19" s="61">
        <v>7.452054794520549E-2</v>
      </c>
    </row>
    <row r="20" spans="1:9" s="23" customFormat="1" x14ac:dyDescent="0.35">
      <c r="A20" s="23" t="s">
        <v>23</v>
      </c>
      <c r="B20" s="39">
        <v>0.35616438356164382</v>
      </c>
      <c r="C20" s="40">
        <v>0</v>
      </c>
      <c r="D20" s="34">
        <v>0.35616438356164382</v>
      </c>
      <c r="E20" s="61">
        <v>7.1232876712328766E-2</v>
      </c>
      <c r="F20" s="61">
        <v>0</v>
      </c>
      <c r="G20" s="61">
        <v>7.1232876712328766E-2</v>
      </c>
    </row>
    <row r="21" spans="1:9" s="23" customFormat="1" x14ac:dyDescent="0.35">
      <c r="A21" s="23" t="s">
        <v>20</v>
      </c>
      <c r="B21" s="39">
        <v>0.20547945205479454</v>
      </c>
      <c r="C21" s="40">
        <v>0.12328767123287672</v>
      </c>
      <c r="D21" s="34">
        <v>0.32876712328767127</v>
      </c>
      <c r="E21" s="61">
        <v>4.1095890410958909E-2</v>
      </c>
      <c r="F21" s="61">
        <v>2.4657534246575345E-2</v>
      </c>
      <c r="G21" s="61">
        <v>6.5753424657534254E-2</v>
      </c>
    </row>
    <row r="22" spans="1:9" s="23" customFormat="1" x14ac:dyDescent="0.35">
      <c r="A22" s="23" t="s">
        <v>19</v>
      </c>
      <c r="B22" s="39">
        <v>0.32602739726027402</v>
      </c>
      <c r="C22" s="40">
        <v>0</v>
      </c>
      <c r="D22" s="34">
        <v>0.32602739726027402</v>
      </c>
      <c r="E22" s="61">
        <v>6.5205479452054807E-2</v>
      </c>
      <c r="F22" s="61">
        <v>0</v>
      </c>
      <c r="G22" s="61">
        <v>6.5205479452054807E-2</v>
      </c>
    </row>
    <row r="23" spans="1:9" s="23" customFormat="1" x14ac:dyDescent="0.35">
      <c r="A23" s="23" t="s">
        <v>15</v>
      </c>
      <c r="B23" s="39">
        <v>0.30136986301369867</v>
      </c>
      <c r="C23" s="40">
        <v>2.0547945205479451E-2</v>
      </c>
      <c r="D23" s="34">
        <v>0.32191780821917815</v>
      </c>
      <c r="E23" s="61">
        <v>6.0273972602739735E-2</v>
      </c>
      <c r="F23" s="61">
        <v>4.10958904109589E-3</v>
      </c>
      <c r="G23" s="61">
        <v>6.438356164383563E-2</v>
      </c>
    </row>
    <row r="24" spans="1:9" s="23" customFormat="1" x14ac:dyDescent="0.35">
      <c r="A24" s="23" t="s">
        <v>12</v>
      </c>
      <c r="B24" s="39">
        <v>0.15780821917808219</v>
      </c>
      <c r="C24" s="40">
        <v>0.11506849315068493</v>
      </c>
      <c r="D24" s="34">
        <v>0.27287671232876709</v>
      </c>
      <c r="E24" s="61">
        <v>3.1561643835616437E-2</v>
      </c>
      <c r="F24" s="61">
        <v>2.3013698630136987E-2</v>
      </c>
      <c r="G24" s="61">
        <v>5.4575342465753421E-2</v>
      </c>
    </row>
    <row r="25" spans="1:9" s="23" customFormat="1" x14ac:dyDescent="0.35">
      <c r="A25" s="23" t="s">
        <v>29</v>
      </c>
      <c r="B25" s="39">
        <v>0.19178082191780824</v>
      </c>
      <c r="C25" s="40">
        <v>7.6712328767123292E-2</v>
      </c>
      <c r="D25" s="34">
        <v>0.26849315068493151</v>
      </c>
      <c r="E25" s="61">
        <v>3.8356164383561646E-2</v>
      </c>
      <c r="F25" s="61">
        <v>1.5342465753424659E-2</v>
      </c>
      <c r="G25" s="61">
        <v>5.3698630136986308E-2</v>
      </c>
    </row>
    <row r="26" spans="1:9" s="23" customFormat="1" x14ac:dyDescent="0.35">
      <c r="A26" s="466" t="s">
        <v>62</v>
      </c>
      <c r="B26" s="41">
        <v>0.22739726027397264</v>
      </c>
      <c r="C26" s="42"/>
      <c r="D26" s="198">
        <v>0.22739726027397264</v>
      </c>
      <c r="E26" s="467">
        <v>4.5479452054794527E-2</v>
      </c>
      <c r="F26" s="467">
        <v>0</v>
      </c>
      <c r="G26" s="467">
        <v>4.5479452054794527E-2</v>
      </c>
      <c r="I26" s="33" t="s">
        <v>74</v>
      </c>
    </row>
    <row r="27" spans="1:9" s="23" customFormat="1" x14ac:dyDescent="0.35">
      <c r="D27" s="62">
        <f>+AVERAGE(D7:D26)</f>
        <v>0.4178219178082192</v>
      </c>
      <c r="E27" s="62"/>
      <c r="F27" s="62"/>
      <c r="G27" s="62">
        <f>+AVERAGE(G7:G26)</f>
        <v>8.3564383561643849E-2</v>
      </c>
    </row>
  </sheetData>
  <sortState xmlns:xlrd2="http://schemas.microsoft.com/office/spreadsheetml/2017/richdata2" ref="A7:G26">
    <sortCondition descending="1" ref="D7:D26"/>
  </sortState>
  <mergeCells count="3">
    <mergeCell ref="B4:F4"/>
    <mergeCell ref="B5:C5"/>
    <mergeCell ref="E5:F5"/>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55"/>
  <sheetViews>
    <sheetView showGridLines="0" tabSelected="1" zoomScale="55" zoomScaleNormal="100" workbookViewId="0">
      <selection activeCell="B17" sqref="B17"/>
    </sheetView>
  </sheetViews>
  <sheetFormatPr defaultColWidth="9.1796875" defaultRowHeight="14.5" x14ac:dyDescent="0.35"/>
  <cols>
    <col min="1" max="1" width="29.54296875" style="63" customWidth="1"/>
    <col min="2" max="2" width="9.1796875" style="63" customWidth="1"/>
    <col min="3" max="3" width="8.1796875" style="63" customWidth="1"/>
    <col min="4" max="4" width="7.6328125" style="63" customWidth="1"/>
    <col min="5" max="5" width="12.36328125" customWidth="1"/>
  </cols>
  <sheetData>
    <row r="1" spans="1:6" ht="18.5" x14ac:dyDescent="0.45">
      <c r="A1" s="21" t="s">
        <v>140</v>
      </c>
      <c r="F1" s="21"/>
    </row>
    <row r="4" spans="1:6" x14ac:dyDescent="0.35">
      <c r="A4" s="710" t="s">
        <v>530</v>
      </c>
      <c r="B4" s="710">
        <v>2013</v>
      </c>
      <c r="C4" s="710">
        <v>2023</v>
      </c>
      <c r="D4" s="710" t="s">
        <v>487</v>
      </c>
    </row>
    <row r="5" spans="1:6" x14ac:dyDescent="0.35">
      <c r="A5" s="63" t="s">
        <v>141</v>
      </c>
      <c r="B5" s="604">
        <v>8.4885784224977875E-2</v>
      </c>
      <c r="C5" s="604">
        <v>8.5512082729423525E-2</v>
      </c>
      <c r="D5" s="539">
        <v>8.564031281241602E-2</v>
      </c>
    </row>
    <row r="6" spans="1:6" x14ac:dyDescent="0.35">
      <c r="A6" s="63" t="s">
        <v>95</v>
      </c>
      <c r="B6" s="604">
        <v>5.1814119519338939E-2</v>
      </c>
      <c r="C6" s="604">
        <v>5.2639506258251624E-2</v>
      </c>
      <c r="D6" s="539">
        <v>5.2639506258251624E-2</v>
      </c>
    </row>
    <row r="7" spans="1:6" x14ac:dyDescent="0.35">
      <c r="A7" s="63" t="s">
        <v>142</v>
      </c>
      <c r="B7" s="604">
        <v>0.28088396404102545</v>
      </c>
      <c r="C7" s="604">
        <v>0.28744893329535542</v>
      </c>
      <c r="D7" s="539">
        <v>0.29416402161577604</v>
      </c>
      <c r="E7" s="31"/>
    </row>
    <row r="8" spans="1:6" x14ac:dyDescent="0.35">
      <c r="A8" s="63" t="s">
        <v>143</v>
      </c>
      <c r="B8" s="604">
        <v>7.2936492821824947E-2</v>
      </c>
      <c r="C8" s="604">
        <v>7.2696777574780713E-2</v>
      </c>
      <c r="D8" s="539">
        <v>7.269488212809383E-2</v>
      </c>
    </row>
    <row r="9" spans="1:6" x14ac:dyDescent="0.35">
      <c r="A9" s="63" t="s">
        <v>81</v>
      </c>
      <c r="B9" s="604">
        <v>1.212445376583004E-2</v>
      </c>
      <c r="C9" s="604">
        <v>1.2208058760110926E-2</v>
      </c>
      <c r="D9" s="539">
        <v>1.134326120921759E-2</v>
      </c>
    </row>
    <row r="11" spans="1:6" x14ac:dyDescent="0.35">
      <c r="B11" s="706">
        <f>SUM(B5:B9)</f>
        <v>0.50264481437299724</v>
      </c>
      <c r="C11" s="707">
        <f>SUM(C5:C9)</f>
        <v>0.51050535861792223</v>
      </c>
      <c r="D11" s="706">
        <f>SUM(D5:D9)</f>
        <v>0.51648198402375511</v>
      </c>
    </row>
    <row r="12" spans="1:6" x14ac:dyDescent="0.35">
      <c r="E12" s="674"/>
    </row>
    <row r="19" spans="1:6" ht="21" x14ac:dyDescent="0.5">
      <c r="A19" s="21" t="s">
        <v>144</v>
      </c>
      <c r="F19" s="54"/>
    </row>
    <row r="26" spans="1:6" x14ac:dyDescent="0.35">
      <c r="A26" s="710" t="s">
        <v>530</v>
      </c>
      <c r="B26" s="710">
        <v>2013</v>
      </c>
      <c r="C26" s="710">
        <v>2023</v>
      </c>
      <c r="D26" s="710" t="s">
        <v>487</v>
      </c>
    </row>
    <row r="27" spans="1:6" x14ac:dyDescent="0.35">
      <c r="A27" s="63" t="s">
        <v>60</v>
      </c>
      <c r="B27" s="671">
        <v>0.25373341501477159</v>
      </c>
      <c r="C27" s="671">
        <v>0.28636553579646828</v>
      </c>
      <c r="D27" s="604">
        <v>0.30439590606112116</v>
      </c>
    </row>
    <row r="28" spans="1:6" x14ac:dyDescent="0.35">
      <c r="A28" s="63" t="s">
        <v>141</v>
      </c>
      <c r="B28" s="671">
        <v>2.8576493211027038E-2</v>
      </c>
      <c r="C28" s="671">
        <v>3.0230137000569104E-2</v>
      </c>
      <c r="D28" s="604">
        <v>3.1548840250996996E-2</v>
      </c>
    </row>
    <row r="29" spans="1:6" x14ac:dyDescent="0.35">
      <c r="A29" s="63" t="s">
        <v>95</v>
      </c>
      <c r="B29" s="671">
        <v>1.2861392295970589E-2</v>
      </c>
      <c r="C29" s="671">
        <v>1.4576832815799322E-2</v>
      </c>
      <c r="D29" s="604">
        <v>1.5517035478423008E-2</v>
      </c>
    </row>
    <row r="30" spans="1:6" x14ac:dyDescent="0.35">
      <c r="A30" s="63" t="s">
        <v>142</v>
      </c>
      <c r="B30" s="671">
        <v>6.6760485099831957E-2</v>
      </c>
      <c r="C30" s="671">
        <v>7.3718518223032214E-2</v>
      </c>
      <c r="D30" s="604">
        <v>7.7437221410211962E-2</v>
      </c>
    </row>
    <row r="31" spans="1:6" x14ac:dyDescent="0.35">
      <c r="A31" s="63" t="s">
        <v>143</v>
      </c>
      <c r="B31" s="671">
        <v>1.8428871659998333E-2</v>
      </c>
      <c r="C31" s="671">
        <v>2.0987432336352932E-2</v>
      </c>
      <c r="D31" s="604">
        <v>2.2207386345868989E-2</v>
      </c>
    </row>
    <row r="32" spans="1:6" x14ac:dyDescent="0.35">
      <c r="A32" s="63" t="s">
        <v>81</v>
      </c>
      <c r="B32" s="671">
        <v>3.4481290793055043E-3</v>
      </c>
      <c r="C32" s="671">
        <v>4.9539790966967572E-3</v>
      </c>
      <c r="D32" s="604">
        <v>4.5088064301264073E-3</v>
      </c>
    </row>
    <row r="33" spans="1:4" x14ac:dyDescent="0.35">
      <c r="B33" s="672"/>
      <c r="C33" s="604"/>
      <c r="D33" s="672"/>
    </row>
    <row r="34" spans="1:4" x14ac:dyDescent="0.35">
      <c r="B34" s="707">
        <f>SUM(B27:B32)</f>
        <v>0.38380878636090504</v>
      </c>
      <c r="C34" s="706">
        <f>SUM(C27:C32)</f>
        <v>0.43083243526891857</v>
      </c>
      <c r="D34" s="706">
        <v>0.4562081137574629</v>
      </c>
    </row>
    <row r="35" spans="1:4" x14ac:dyDescent="0.35">
      <c r="B35" s="605"/>
      <c r="C35" s="671"/>
      <c r="D35" s="539"/>
    </row>
    <row r="36" spans="1:4" x14ac:dyDescent="0.35">
      <c r="C36" s="604"/>
    </row>
    <row r="37" spans="1:4" x14ac:dyDescent="0.35">
      <c r="C37" s="604"/>
    </row>
    <row r="45" spans="1:4" ht="18.5" x14ac:dyDescent="0.45">
      <c r="A45" s="21" t="s">
        <v>625</v>
      </c>
    </row>
    <row r="47" spans="1:4" x14ac:dyDescent="0.35">
      <c r="A47" s="710" t="s">
        <v>530</v>
      </c>
      <c r="B47" s="710">
        <v>2013</v>
      </c>
      <c r="C47" s="710">
        <v>2023</v>
      </c>
      <c r="D47" s="710"/>
    </row>
    <row r="48" spans="1:4" x14ac:dyDescent="0.35">
      <c r="A48" s="63" t="s">
        <v>467</v>
      </c>
      <c r="B48" s="671">
        <v>0.16961406641460458</v>
      </c>
      <c r="C48" s="671">
        <v>0.25595554346277805</v>
      </c>
      <c r="D48" s="604"/>
    </row>
    <row r="49" spans="1:4" x14ac:dyDescent="0.35">
      <c r="A49" s="63" t="s">
        <v>141</v>
      </c>
      <c r="B49" s="600">
        <v>8.6723315154888084E-2</v>
      </c>
      <c r="C49" s="600">
        <v>0.11620117796554331</v>
      </c>
      <c r="D49" s="604"/>
    </row>
    <row r="50" spans="1:4" x14ac:dyDescent="0.35">
      <c r="A50" s="63" t="s">
        <v>95</v>
      </c>
      <c r="B50" s="600">
        <v>5.507806796850051E-2</v>
      </c>
      <c r="C50" s="600">
        <v>6.3658372188347453E-2</v>
      </c>
      <c r="D50" s="604"/>
    </row>
    <row r="51" spans="1:4" x14ac:dyDescent="0.35">
      <c r="A51" s="63" t="s">
        <v>142</v>
      </c>
      <c r="B51" s="600">
        <v>0.27876054632803393</v>
      </c>
      <c r="C51" s="600">
        <v>0.33883998142775745</v>
      </c>
      <c r="D51" s="604"/>
    </row>
    <row r="52" spans="1:4" x14ac:dyDescent="0.35">
      <c r="A52" s="63" t="s">
        <v>143</v>
      </c>
      <c r="B52" s="600">
        <v>7.1992238502882597E-2</v>
      </c>
      <c r="C52" s="600">
        <v>8.7843670858311462E-2</v>
      </c>
      <c r="D52" s="604"/>
    </row>
    <row r="53" spans="1:4" x14ac:dyDescent="0.35">
      <c r="A53" s="63" t="s">
        <v>81</v>
      </c>
      <c r="B53" s="600">
        <v>1.155468607677643E-2</v>
      </c>
      <c r="C53" s="600">
        <v>1.6263668717240373E-2</v>
      </c>
      <c r="D53" s="604"/>
    </row>
    <row r="54" spans="1:4" x14ac:dyDescent="0.35">
      <c r="B54" s="672"/>
      <c r="C54" s="604"/>
      <c r="D54" s="672"/>
    </row>
    <row r="55" spans="1:4" x14ac:dyDescent="0.35">
      <c r="B55" s="841">
        <f>SUM(B48:B53)</f>
        <v>0.67372292044568616</v>
      </c>
      <c r="C55" s="842">
        <f>SUM(C48:C53)</f>
        <v>0.87876241461997817</v>
      </c>
      <c r="D55" s="706"/>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401BFD-495F-452E-B1C7-9E89A17274A2}">
  <dimension ref="A1:AP163"/>
  <sheetViews>
    <sheetView workbookViewId="0">
      <selection activeCell="G21" sqref="G21"/>
    </sheetView>
  </sheetViews>
  <sheetFormatPr defaultColWidth="18.36328125" defaultRowHeight="14" x14ac:dyDescent="0.35"/>
  <cols>
    <col min="1" max="1" width="5.36328125" style="252" customWidth="1"/>
    <col min="2" max="2" width="9.26953125" style="252" customWidth="1"/>
    <col min="3" max="3" width="13.6328125" style="252" customWidth="1"/>
    <col min="4" max="4" width="15.54296875" style="252" customWidth="1"/>
    <col min="5" max="5" width="11.6328125" style="252" customWidth="1"/>
    <col min="6" max="7" width="18.36328125" style="252"/>
    <col min="8" max="8" width="15.26953125" style="252" customWidth="1"/>
    <col min="9" max="9" width="10.6328125" style="252" customWidth="1"/>
    <col min="10" max="10" width="21.81640625" style="252" customWidth="1"/>
    <col min="11" max="11" width="14.1796875" style="252" customWidth="1"/>
    <col min="12" max="12" width="18.36328125" style="252"/>
    <col min="13" max="13" width="10.6328125" style="252" customWidth="1"/>
    <col min="14" max="14" width="15.36328125" style="252" customWidth="1"/>
    <col min="15" max="15" width="12.36328125" style="252" customWidth="1"/>
    <col min="16" max="16" width="15.54296875" style="252" customWidth="1"/>
    <col min="17" max="17" width="12.54296875" style="252" customWidth="1"/>
    <col min="18" max="18" width="9.90625" style="252" customWidth="1"/>
    <col min="19" max="19" width="15.81640625" style="252" customWidth="1"/>
    <col min="20" max="20" width="10.6328125" style="252" customWidth="1"/>
    <col min="21" max="22" width="18.36328125" style="252"/>
    <col min="23" max="23" width="11.90625" style="252" customWidth="1"/>
    <col min="24" max="24" width="19.6328125" style="252" customWidth="1"/>
    <col min="25" max="25" width="12.36328125" style="252" customWidth="1"/>
    <col min="26" max="26" width="6.54296875" style="252" customWidth="1"/>
    <col min="27" max="27" width="14.1796875" style="252" customWidth="1"/>
    <col min="28" max="29" width="11.1796875" style="252" customWidth="1"/>
    <col min="30" max="30" width="10.54296875" style="252" customWidth="1"/>
    <col min="31" max="31" width="12.36328125" style="252" customWidth="1"/>
    <col min="32" max="32" width="8.6328125" style="252" customWidth="1"/>
    <col min="33" max="33" width="13.6328125" style="252" customWidth="1"/>
    <col min="34" max="34" width="13.26953125" style="252" customWidth="1"/>
    <col min="35" max="16384" width="18.36328125" style="252"/>
  </cols>
  <sheetData>
    <row r="1" spans="1:42" ht="17.5" x14ac:dyDescent="0.35">
      <c r="A1" s="336" t="s">
        <v>87</v>
      </c>
      <c r="Y1" s="922"/>
      <c r="Z1" s="922"/>
      <c r="AA1" s="922"/>
      <c r="AB1" s="922"/>
      <c r="AC1" s="255"/>
      <c r="AD1" s="922"/>
      <c r="AE1" s="922"/>
      <c r="AF1" s="922"/>
      <c r="AG1" s="921"/>
      <c r="AH1" s="921"/>
      <c r="AI1" s="921"/>
      <c r="AJ1" s="922"/>
      <c r="AK1" s="922"/>
      <c r="AL1" s="922"/>
      <c r="AM1" s="922"/>
      <c r="AN1" s="922"/>
      <c r="AO1" s="922"/>
      <c r="AP1" s="922"/>
    </row>
    <row r="2" spans="1:42" ht="25.5" customHeight="1" x14ac:dyDescent="0.35">
      <c r="A2" s="337" t="s">
        <v>88</v>
      </c>
      <c r="D2" s="257"/>
      <c r="G2" s="258"/>
      <c r="H2" s="258"/>
      <c r="I2" s="258"/>
      <c r="J2" s="258"/>
      <c r="K2" s="258"/>
      <c r="L2" s="259"/>
      <c r="M2" s="259"/>
      <c r="N2" s="259"/>
      <c r="O2" s="259"/>
      <c r="P2" s="259"/>
      <c r="Q2" s="260"/>
      <c r="R2" s="258"/>
      <c r="S2" s="258"/>
      <c r="T2" s="258"/>
      <c r="U2" s="261"/>
      <c r="V2" s="261"/>
      <c r="W2" s="261"/>
      <c r="X2" s="261"/>
      <c r="Y2" s="921"/>
      <c r="Z2" s="921"/>
      <c r="AA2" s="921"/>
      <c r="AB2" s="921"/>
      <c r="AC2" s="256"/>
      <c r="AD2" s="921"/>
      <c r="AE2" s="921"/>
      <c r="AF2" s="921"/>
      <c r="AG2" s="921"/>
      <c r="AH2" s="921"/>
      <c r="AI2" s="921"/>
      <c r="AJ2" s="921"/>
      <c r="AK2" s="921"/>
      <c r="AL2" s="921"/>
      <c r="AM2" s="256"/>
      <c r="AN2" s="256"/>
      <c r="AO2" s="256"/>
      <c r="AP2" s="256"/>
    </row>
    <row r="3" spans="1:42" s="264" customFormat="1" ht="15" customHeight="1" x14ac:dyDescent="0.35">
      <c r="A3" s="262"/>
      <c r="B3" s="262"/>
      <c r="C3" s="262"/>
      <c r="D3" s="922" t="s">
        <v>118</v>
      </c>
      <c r="E3" s="922" t="s">
        <v>89</v>
      </c>
      <c r="F3" s="922" t="s">
        <v>119</v>
      </c>
      <c r="G3" s="927" t="s">
        <v>90</v>
      </c>
      <c r="H3" s="922" t="s">
        <v>76</v>
      </c>
      <c r="I3" s="922" t="s">
        <v>77</v>
      </c>
      <c r="J3" s="922" t="s">
        <v>91</v>
      </c>
      <c r="K3" s="919" t="s">
        <v>79</v>
      </c>
      <c r="L3" s="927" t="s">
        <v>92</v>
      </c>
      <c r="M3" s="922" t="s">
        <v>76</v>
      </c>
      <c r="N3" s="922" t="s">
        <v>77</v>
      </c>
      <c r="O3" s="922" t="s">
        <v>91</v>
      </c>
      <c r="P3" s="919" t="s">
        <v>79</v>
      </c>
      <c r="Q3" s="925" t="s">
        <v>93</v>
      </c>
      <c r="R3" s="925"/>
      <c r="S3" s="925"/>
      <c r="T3" s="926"/>
      <c r="AK3" s="252"/>
      <c r="AL3" s="252"/>
      <c r="AM3" s="252"/>
      <c r="AN3" s="252"/>
      <c r="AO3" s="252"/>
      <c r="AP3" s="252"/>
    </row>
    <row r="4" spans="1:42" s="261" customFormat="1" ht="25.5" customHeight="1" x14ac:dyDescent="0.35">
      <c r="A4" s="258"/>
      <c r="B4" s="258"/>
      <c r="C4" s="258"/>
      <c r="D4" s="923"/>
      <c r="E4" s="923"/>
      <c r="F4" s="923"/>
      <c r="G4" s="928"/>
      <c r="H4" s="923"/>
      <c r="I4" s="923"/>
      <c r="J4" s="923"/>
      <c r="K4" s="920"/>
      <c r="L4" s="928"/>
      <c r="M4" s="923"/>
      <c r="N4" s="923"/>
      <c r="O4" s="923"/>
      <c r="P4" s="920"/>
      <c r="Q4" s="256" t="s">
        <v>94</v>
      </c>
      <c r="R4" s="256" t="s">
        <v>95</v>
      </c>
      <c r="S4" s="258" t="s">
        <v>96</v>
      </c>
      <c r="T4" s="263" t="s">
        <v>81</v>
      </c>
      <c r="AK4" s="252"/>
      <c r="AL4" s="252"/>
      <c r="AM4" s="252"/>
      <c r="AN4" s="252"/>
      <c r="AO4" s="252"/>
      <c r="AP4" s="252"/>
    </row>
    <row r="5" spans="1:42" x14ac:dyDescent="0.35">
      <c r="A5" s="253" t="s">
        <v>11</v>
      </c>
      <c r="B5" s="265">
        <v>52703.098331207431</v>
      </c>
      <c r="C5" s="266" t="s">
        <v>97</v>
      </c>
      <c r="D5" s="267">
        <v>62532.223134572581</v>
      </c>
      <c r="E5" s="268">
        <v>138.54</v>
      </c>
      <c r="F5" s="376">
        <v>13512.3430056301</v>
      </c>
      <c r="G5" s="267">
        <f>+H5+I5+J5+K5</f>
        <v>2049.3720225205652</v>
      </c>
      <c r="H5" s="269">
        <v>1610.220874837587</v>
      </c>
      <c r="I5" s="269">
        <v>439.15114768297826</v>
      </c>
      <c r="J5" s="269">
        <v>0</v>
      </c>
      <c r="K5" s="376">
        <v>0</v>
      </c>
      <c r="L5" s="267">
        <f>+M5+N5+O5+P5</f>
        <v>2908.6444348202594</v>
      </c>
      <c r="M5" s="269">
        <v>1576.5526201818921</v>
      </c>
      <c r="N5" s="269">
        <v>219.57557384148913</v>
      </c>
      <c r="O5" s="269">
        <v>424.51277609354565</v>
      </c>
      <c r="P5" s="269">
        <v>688.00346470333261</v>
      </c>
      <c r="Q5" s="270">
        <v>1110.6035347093232</v>
      </c>
      <c r="R5" s="376">
        <v>518.28164953101748</v>
      </c>
      <c r="S5" s="269">
        <v>5630.1429190125418</v>
      </c>
      <c r="T5" s="376">
        <v>2252.0571676050167</v>
      </c>
      <c r="U5" s="377"/>
      <c r="V5" s="378"/>
    </row>
    <row r="6" spans="1:42" x14ac:dyDescent="0.35">
      <c r="A6" s="252" t="s">
        <v>13</v>
      </c>
      <c r="B6" s="259">
        <v>12537.115206601155</v>
      </c>
      <c r="C6" s="215" t="s">
        <v>98</v>
      </c>
      <c r="D6" s="271">
        <v>21772.027565178294</v>
      </c>
      <c r="E6" s="379">
        <v>2.38</v>
      </c>
      <c r="F6" s="380">
        <v>11909.243697479</v>
      </c>
      <c r="G6" s="216">
        <f>+H6+I6+J6+K6</f>
        <v>2704.5892436974809</v>
      </c>
      <c r="H6" s="214">
        <v>1513.6648739495809</v>
      </c>
      <c r="I6" s="214">
        <v>1190.9243697479001</v>
      </c>
      <c r="J6" s="214">
        <v>0</v>
      </c>
      <c r="K6" s="381">
        <v>0</v>
      </c>
      <c r="L6" s="216">
        <f t="shared" ref="L6:L23" si="0">+M6+N6+O6+P6</f>
        <v>1751.8497478991608</v>
      </c>
      <c r="M6" s="214">
        <v>357.27731092437</v>
      </c>
      <c r="N6" s="214">
        <v>1190.9243697479001</v>
      </c>
      <c r="O6" s="214">
        <v>203.6480672268909</v>
      </c>
      <c r="P6" s="214">
        <v>0</v>
      </c>
      <c r="Q6" s="272">
        <v>1957.6838954759999</v>
      </c>
      <c r="R6" s="381">
        <v>652.56129849199999</v>
      </c>
      <c r="S6" s="214">
        <v>992.43697478991658</v>
      </c>
      <c r="T6" s="381">
        <v>595.46218487395004</v>
      </c>
      <c r="U6" s="378"/>
      <c r="V6" s="378"/>
    </row>
    <row r="7" spans="1:42" x14ac:dyDescent="0.35">
      <c r="A7" s="252" t="s">
        <v>12</v>
      </c>
      <c r="B7" s="259">
        <v>33303.672805218725</v>
      </c>
      <c r="C7" s="215" t="s">
        <v>99</v>
      </c>
      <c r="D7" s="216">
        <v>31854.20927605778</v>
      </c>
      <c r="E7" s="273">
        <v>1.6459999999999999</v>
      </c>
      <c r="F7" s="381">
        <v>4942.891859052248</v>
      </c>
      <c r="G7" s="382">
        <f>+H7+I7+J7+K7</f>
        <v>427.93255546863304</v>
      </c>
      <c r="H7" s="214">
        <v>427.93255546863304</v>
      </c>
      <c r="I7" s="214"/>
      <c r="J7" s="214">
        <v>0</v>
      </c>
      <c r="K7" s="381">
        <v>0</v>
      </c>
      <c r="L7" s="216">
        <f t="shared" si="0"/>
        <v>1829.4116746284062</v>
      </c>
      <c r="M7" s="214">
        <v>1069.8313886715825</v>
      </c>
      <c r="N7" s="214">
        <v>0</v>
      </c>
      <c r="O7" s="214">
        <v>53.49156943357913</v>
      </c>
      <c r="P7" s="381">
        <v>706.08871652324444</v>
      </c>
      <c r="Q7" s="272">
        <v>406.26508430566429</v>
      </c>
      <c r="R7" s="381">
        <v>541.68677907421909</v>
      </c>
      <c r="S7" s="214">
        <v>780.02896186687542</v>
      </c>
      <c r="T7" s="381">
        <v>568.77111802793002</v>
      </c>
      <c r="U7" s="383"/>
      <c r="V7" s="384"/>
    </row>
    <row r="8" spans="1:42" x14ac:dyDescent="0.35">
      <c r="A8" s="252" t="s">
        <v>28</v>
      </c>
      <c r="B8" s="259">
        <v>54426.004422329097</v>
      </c>
      <c r="C8" s="215" t="s">
        <v>100</v>
      </c>
      <c r="D8" s="216">
        <v>48876.098568060908</v>
      </c>
      <c r="E8" s="273">
        <v>346.63400000000001</v>
      </c>
      <c r="F8" s="381">
        <v>7269.9158189906357</v>
      </c>
      <c r="G8" s="216">
        <f t="shared" ref="G8:G23" si="1">+H8+I8+J8+K8</f>
        <v>1387.0999382634134</v>
      </c>
      <c r="H8" s="214">
        <v>726.99158189906359</v>
      </c>
      <c r="I8" s="214">
        <v>508.89410732934454</v>
      </c>
      <c r="J8" s="214">
        <v>43.619494913943811</v>
      </c>
      <c r="K8" s="381">
        <v>107.5947541210614</v>
      </c>
      <c r="L8" s="216">
        <f t="shared" si="0"/>
        <v>335.14311925546826</v>
      </c>
      <c r="M8" s="214"/>
      <c r="N8" s="214">
        <v>0</v>
      </c>
      <c r="O8" s="214">
        <v>243.54217993618627</v>
      </c>
      <c r="P8" s="381">
        <v>91.600939319282006</v>
      </c>
      <c r="Q8" s="272">
        <v>0</v>
      </c>
      <c r="R8" s="381">
        <v>298.76366379413571</v>
      </c>
      <c r="S8" s="214">
        <v>2987.6366379413571</v>
      </c>
      <c r="T8" s="381">
        <v>597.52732758827142</v>
      </c>
      <c r="U8" s="384"/>
      <c r="V8" s="384"/>
    </row>
    <row r="9" spans="1:42" x14ac:dyDescent="0.35">
      <c r="A9" s="252" t="s">
        <v>15</v>
      </c>
      <c r="B9" s="259">
        <v>28539.020102737442</v>
      </c>
      <c r="C9" s="215" t="s">
        <v>101</v>
      </c>
      <c r="D9" s="216">
        <v>27978.629828159494</v>
      </c>
      <c r="E9" s="273">
        <v>1175.53</v>
      </c>
      <c r="F9" s="381">
        <v>6017.7111600724784</v>
      </c>
      <c r="G9" s="216">
        <f t="shared" si="1"/>
        <v>481.41689280579823</v>
      </c>
      <c r="H9" s="214">
        <v>240.70844640289911</v>
      </c>
      <c r="I9" s="214">
        <v>240.70844640289911</v>
      </c>
      <c r="J9" s="214">
        <v>0</v>
      </c>
      <c r="K9" s="381">
        <v>0</v>
      </c>
      <c r="L9" s="216">
        <f t="shared" si="0"/>
        <v>1582.4931663001557</v>
      </c>
      <c r="M9" s="214">
        <v>781.47810681489159</v>
      </c>
      <c r="N9" s="214">
        <v>0</v>
      </c>
      <c r="O9" s="214">
        <v>540.52235721363343</v>
      </c>
      <c r="P9" s="381">
        <v>260.49270227163055</v>
      </c>
      <c r="Q9" s="272">
        <v>494.60639671828585</v>
      </c>
      <c r="R9" s="381">
        <v>247.30319835914293</v>
      </c>
      <c r="S9" s="214">
        <v>1813.556787967048</v>
      </c>
      <c r="T9" s="381">
        <v>123.65159917957146</v>
      </c>
    </row>
    <row r="10" spans="1:42" x14ac:dyDescent="0.35">
      <c r="A10" s="252" t="s">
        <v>18</v>
      </c>
      <c r="B10" s="259">
        <v>33323.68748074468</v>
      </c>
      <c r="C10" s="215" t="s">
        <v>102</v>
      </c>
      <c r="D10" s="385">
        <v>60513.745354111503</v>
      </c>
      <c r="E10" s="274">
        <v>323</v>
      </c>
      <c r="F10" s="380">
        <v>13083.526068111456</v>
      </c>
      <c r="G10" s="216">
        <f t="shared" si="1"/>
        <v>1914.8830694520125</v>
      </c>
      <c r="H10" s="214">
        <v>737.03863517027878</v>
      </c>
      <c r="I10" s="214">
        <v>779.56009489164092</v>
      </c>
      <c r="J10" s="214">
        <v>0</v>
      </c>
      <c r="K10" s="381">
        <v>398.2843393900929</v>
      </c>
      <c r="L10" s="216">
        <f>+M10+N10+O10+P10</f>
        <v>3835.1085787151706</v>
      </c>
      <c r="M10" s="214">
        <v>1228.8701859473686</v>
      </c>
      <c r="N10" s="214">
        <v>1311.0783414086688</v>
      </c>
      <c r="O10" s="214">
        <v>54.95080948606811</v>
      </c>
      <c r="P10" s="214">
        <v>1240.2092418730651</v>
      </c>
      <c r="Q10" s="272">
        <v>1075.3583069680649</v>
      </c>
      <c r="R10" s="214">
        <v>501.83387658509696</v>
      </c>
      <c r="S10" s="272">
        <v>771.92803801857588</v>
      </c>
      <c r="T10" s="381">
        <v>218.05876780185758</v>
      </c>
    </row>
    <row r="11" spans="1:42" x14ac:dyDescent="0.35">
      <c r="A11" s="252" t="s">
        <v>17</v>
      </c>
      <c r="B11" s="259">
        <v>25402.007917417144</v>
      </c>
      <c r="C11" s="215" t="s">
        <v>103</v>
      </c>
      <c r="D11" s="274">
        <v>32594.54746685116</v>
      </c>
      <c r="E11" s="275">
        <v>0.41</v>
      </c>
      <c r="F11" s="380">
        <v>13170.731707317074</v>
      </c>
      <c r="G11" s="216">
        <f t="shared" si="1"/>
        <v>947.41463414634154</v>
      </c>
      <c r="H11" s="214">
        <v>947.41463414634154</v>
      </c>
      <c r="I11" s="214">
        <v>0</v>
      </c>
      <c r="J11" s="214">
        <v>0</v>
      </c>
      <c r="K11" s="381">
        <v>0</v>
      </c>
      <c r="L11" s="216">
        <f t="shared" si="0"/>
        <v>6958.6463414634163</v>
      </c>
      <c r="M11" s="214">
        <v>545.04878048780495</v>
      </c>
      <c r="N11" s="214">
        <v>736.24390243902451</v>
      </c>
      <c r="O11" s="214">
        <v>5421.9512195121961</v>
      </c>
      <c r="P11" s="214">
        <v>255.40243902439025</v>
      </c>
      <c r="Q11" s="272">
        <v>2180.086869361844</v>
      </c>
      <c r="R11" s="214">
        <v>541.26294687604423</v>
      </c>
      <c r="S11" s="272">
        <v>1097.5609756097563</v>
      </c>
      <c r="T11" s="214">
        <v>0</v>
      </c>
      <c r="U11" s="276"/>
    </row>
    <row r="12" spans="1:42" x14ac:dyDescent="0.35">
      <c r="A12" s="252" t="s">
        <v>21</v>
      </c>
      <c r="B12" s="259">
        <v>19979.964728848212</v>
      </c>
      <c r="C12" s="215" t="s">
        <v>104</v>
      </c>
      <c r="D12" s="274">
        <v>34093.82735164254</v>
      </c>
      <c r="E12" s="275">
        <v>3.23</v>
      </c>
      <c r="F12" s="380">
        <v>12692.433436532508</v>
      </c>
      <c r="G12" s="216">
        <f t="shared" si="1"/>
        <v>613.04453498452017</v>
      </c>
      <c r="H12" s="214">
        <v>232.2715318885449</v>
      </c>
      <c r="I12" s="214">
        <v>253.84866873065019</v>
      </c>
      <c r="J12" s="214">
        <v>126.92433436532509</v>
      </c>
      <c r="K12" s="381">
        <v>0</v>
      </c>
      <c r="L12" s="216">
        <f t="shared" si="0"/>
        <v>1608.1313164086689</v>
      </c>
      <c r="M12" s="214">
        <v>465.81230712074313</v>
      </c>
      <c r="N12" s="214">
        <v>507.69733746130038</v>
      </c>
      <c r="O12" s="214">
        <v>380.77300309597524</v>
      </c>
      <c r="P12" s="214">
        <v>253.84866873065019</v>
      </c>
      <c r="Q12" s="272">
        <v>2086.4274142245217</v>
      </c>
      <c r="R12" s="381">
        <v>521.60685355613043</v>
      </c>
      <c r="S12" s="214">
        <v>1057.7027863777091</v>
      </c>
      <c r="T12" s="381">
        <v>0</v>
      </c>
    </row>
    <row r="13" spans="1:42" x14ac:dyDescent="0.35">
      <c r="A13" s="252" t="s">
        <v>27</v>
      </c>
      <c r="B13" s="259">
        <v>10693.780244123003</v>
      </c>
      <c r="C13" s="215" t="s">
        <v>105</v>
      </c>
      <c r="D13" s="216">
        <v>11887.30867229441</v>
      </c>
      <c r="E13" s="273">
        <v>10.058</v>
      </c>
      <c r="F13" s="381">
        <v>8077.2618810896802</v>
      </c>
      <c r="G13" s="216">
        <f t="shared" si="1"/>
        <v>403.86309405448401</v>
      </c>
      <c r="H13" s="214">
        <v>80.772618810896802</v>
      </c>
      <c r="I13" s="214">
        <v>201.931547027242</v>
      </c>
      <c r="J13" s="214">
        <v>0</v>
      </c>
      <c r="K13" s="381">
        <v>121.1589282163452</v>
      </c>
      <c r="L13" s="216">
        <f t="shared" si="0"/>
        <v>201.931547027242</v>
      </c>
      <c r="M13" s="214">
        <v>0</v>
      </c>
      <c r="N13" s="214">
        <v>0</v>
      </c>
      <c r="O13" s="214">
        <v>0</v>
      </c>
      <c r="P13" s="381">
        <v>201.931547027242</v>
      </c>
      <c r="Q13" s="272">
        <v>1327.7690763435091</v>
      </c>
      <c r="R13" s="381">
        <v>442.58969211450301</v>
      </c>
      <c r="S13" s="214">
        <v>3319.422690858773</v>
      </c>
      <c r="T13" s="381">
        <v>663.88453817175457</v>
      </c>
    </row>
    <row r="14" spans="1:42" x14ac:dyDescent="0.35">
      <c r="A14" s="252" t="s">
        <v>29</v>
      </c>
      <c r="B14" s="259">
        <v>10736.073879159158</v>
      </c>
      <c r="C14" s="215" t="s">
        <v>106</v>
      </c>
      <c r="D14" s="216">
        <v>21078.640412240045</v>
      </c>
      <c r="E14" s="273">
        <v>56.567</v>
      </c>
      <c r="F14" s="381">
        <v>4560.9631056976687</v>
      </c>
      <c r="G14" s="216">
        <f t="shared" si="1"/>
        <v>305.29946788763766</v>
      </c>
      <c r="H14" s="214">
        <v>114.02407764244171</v>
      </c>
      <c r="I14" s="214"/>
      <c r="J14" s="214">
        <v>0</v>
      </c>
      <c r="K14" s="381">
        <v>191.27539024519595</v>
      </c>
      <c r="L14" s="216">
        <f t="shared" si="0"/>
        <v>543.89485035444693</v>
      </c>
      <c r="M14" s="214">
        <v>114.02407764244171</v>
      </c>
      <c r="N14" s="214">
        <v>0</v>
      </c>
      <c r="O14" s="214">
        <v>0</v>
      </c>
      <c r="P14" s="381">
        <v>429.87077271200525</v>
      </c>
      <c r="Q14" s="272">
        <v>0</v>
      </c>
      <c r="R14" s="381">
        <v>174.94105062949959</v>
      </c>
      <c r="S14" s="214">
        <v>874.70525314749807</v>
      </c>
      <c r="T14" s="381">
        <v>349.88210125899917</v>
      </c>
    </row>
    <row r="15" spans="1:42" x14ac:dyDescent="0.35">
      <c r="A15" s="252" t="s">
        <v>24</v>
      </c>
      <c r="B15" s="259">
        <v>37458.690249815249</v>
      </c>
      <c r="C15" s="215" t="s">
        <v>107</v>
      </c>
      <c r="D15" s="274">
        <v>27559.248001674965</v>
      </c>
      <c r="E15" s="275">
        <v>9.66</v>
      </c>
      <c r="F15" s="380">
        <v>10186.046511627908</v>
      </c>
      <c r="G15" s="216">
        <f t="shared" si="1"/>
        <v>320.8604651162791</v>
      </c>
      <c r="H15" s="214">
        <v>178.2558139534884</v>
      </c>
      <c r="I15" s="216">
        <v>142.60465116279073</v>
      </c>
      <c r="J15" s="216">
        <v>0</v>
      </c>
      <c r="K15" s="216">
        <v>0</v>
      </c>
      <c r="L15" s="277">
        <f t="shared" si="0"/>
        <v>3873.7534883720937</v>
      </c>
      <c r="M15" s="214">
        <v>702.83720930232573</v>
      </c>
      <c r="N15" s="214">
        <v>2358.0697674418607</v>
      </c>
      <c r="O15" s="214">
        <v>201.6837209302326</v>
      </c>
      <c r="P15" s="214">
        <v>611.1627906976745</v>
      </c>
      <c r="Q15" s="272">
        <v>418.60465116279073</v>
      </c>
      <c r="R15" s="381">
        <v>390.69767441860466</v>
      </c>
      <c r="S15" s="214">
        <v>1075.6465116279071</v>
      </c>
      <c r="T15" s="381">
        <v>0</v>
      </c>
    </row>
    <row r="16" spans="1:42" x14ac:dyDescent="0.35">
      <c r="A16" s="252" t="s">
        <v>23</v>
      </c>
      <c r="B16" s="259">
        <v>7815.5391888279892</v>
      </c>
      <c r="C16" s="215" t="s">
        <v>108</v>
      </c>
      <c r="D16" s="216">
        <v>11153.537145024622</v>
      </c>
      <c r="E16" s="273">
        <v>9.3789999999999996</v>
      </c>
      <c r="F16" s="381">
        <v>4864.2643291087179</v>
      </c>
      <c r="G16" s="216">
        <f t="shared" si="1"/>
        <v>304.01652056929487</v>
      </c>
      <c r="H16" s="214">
        <v>194.57057316434873</v>
      </c>
      <c r="I16" s="214">
        <v>109.44594740494612</v>
      </c>
      <c r="J16" s="214">
        <v>0</v>
      </c>
      <c r="K16" s="381">
        <v>0</v>
      </c>
      <c r="L16" s="216">
        <f t="shared" si="0"/>
        <v>883.56363019152866</v>
      </c>
      <c r="M16" s="214">
        <v>340.49850303761025</v>
      </c>
      <c r="N16" s="214">
        <v>291.85585974652304</v>
      </c>
      <c r="O16" s="214">
        <v>72.963964936630759</v>
      </c>
      <c r="P16" s="381">
        <v>178.24530247076464</v>
      </c>
      <c r="Q16" s="272">
        <v>399.8025475979768</v>
      </c>
      <c r="R16" s="381">
        <v>399.8025475979768</v>
      </c>
      <c r="S16" s="214">
        <v>1732.4777062578994</v>
      </c>
      <c r="T16" s="381">
        <v>0</v>
      </c>
    </row>
    <row r="17" spans="1:24" x14ac:dyDescent="0.35">
      <c r="A17" s="252" t="s">
        <v>19</v>
      </c>
      <c r="B17" s="259">
        <v>44505.392140124968</v>
      </c>
      <c r="C17" s="215" t="s">
        <v>109</v>
      </c>
      <c r="D17" s="274">
        <v>84650.917704052175</v>
      </c>
      <c r="E17" s="275">
        <v>0.47</v>
      </c>
      <c r="F17" s="380">
        <v>14732.170212765957</v>
      </c>
      <c r="G17" s="216">
        <f t="shared" si="1"/>
        <v>2725.451489361702</v>
      </c>
      <c r="H17" s="214">
        <v>1362.725744680851</v>
      </c>
      <c r="I17" s="214">
        <v>1178.5736170212765</v>
      </c>
      <c r="J17" s="214">
        <v>0</v>
      </c>
      <c r="K17" s="214">
        <v>184.15212765957449</v>
      </c>
      <c r="L17" s="277">
        <f t="shared" si="0"/>
        <v>2087.5485191489361</v>
      </c>
      <c r="M17" s="214">
        <v>626.11723404255326</v>
      </c>
      <c r="N17" s="214">
        <v>1178.5736170212765</v>
      </c>
      <c r="O17" s="214">
        <v>61.875114893617017</v>
      </c>
      <c r="P17" s="214">
        <v>220.98255319148936</v>
      </c>
      <c r="Q17" s="272">
        <v>2421.7266103176917</v>
      </c>
      <c r="R17" s="381">
        <v>1210.8633051588458</v>
      </c>
      <c r="S17" s="214">
        <v>973.96014184397154</v>
      </c>
      <c r="T17" s="381">
        <v>0</v>
      </c>
    </row>
    <row r="18" spans="1:24" x14ac:dyDescent="0.35">
      <c r="A18" s="252" t="s">
        <v>16</v>
      </c>
      <c r="B18" s="259">
        <v>21826.106529230707</v>
      </c>
      <c r="C18" s="215" t="s">
        <v>110</v>
      </c>
      <c r="D18" s="216">
        <v>22374.300986377995</v>
      </c>
      <c r="E18" s="273">
        <v>1.5229999999999999</v>
      </c>
      <c r="F18" s="381">
        <v>5909.389363099147</v>
      </c>
      <c r="G18" s="216">
        <f t="shared" si="1"/>
        <v>768.22061720288912</v>
      </c>
      <c r="H18" s="214">
        <v>768.22061720288912</v>
      </c>
      <c r="I18" s="214">
        <v>0</v>
      </c>
      <c r="J18" s="214">
        <v>0</v>
      </c>
      <c r="K18" s="381">
        <v>0</v>
      </c>
      <c r="L18" s="216">
        <f t="shared" si="0"/>
        <v>1061.5233092580434</v>
      </c>
      <c r="M18" s="214"/>
      <c r="N18" s="214">
        <v>531.84504267892316</v>
      </c>
      <c r="O18" s="214">
        <v>529.67826657912019</v>
      </c>
      <c r="P18" s="381">
        <v>0</v>
      </c>
      <c r="Q18" s="272">
        <v>971.40647064643508</v>
      </c>
      <c r="R18" s="381">
        <v>485.70323532321754</v>
      </c>
      <c r="S18" s="214">
        <v>3642.7742649241313</v>
      </c>
      <c r="T18" s="381">
        <v>0</v>
      </c>
    </row>
    <row r="19" spans="1:24" x14ac:dyDescent="0.35">
      <c r="A19" s="252" t="s">
        <v>20</v>
      </c>
      <c r="B19" s="259">
        <v>16776.197453748606</v>
      </c>
      <c r="C19" s="215" t="s">
        <v>111</v>
      </c>
      <c r="D19" s="274">
        <v>34549.355883606142</v>
      </c>
      <c r="E19" s="273">
        <v>2612.62</v>
      </c>
      <c r="F19" s="380">
        <v>12012.493206053694</v>
      </c>
      <c r="G19" s="216">
        <f t="shared" si="1"/>
        <v>2993.1128905083788</v>
      </c>
      <c r="H19" s="214">
        <v>1171.2180875902352</v>
      </c>
      <c r="I19" s="214">
        <v>1821.8948029181438</v>
      </c>
      <c r="J19" s="214">
        <v>0</v>
      </c>
      <c r="K19" s="381">
        <v>0</v>
      </c>
      <c r="L19" s="216">
        <f t="shared" si="0"/>
        <v>1857.0355455458509</v>
      </c>
      <c r="M19" s="214">
        <v>1821.8948029181438</v>
      </c>
      <c r="N19" s="214">
        <v>0</v>
      </c>
      <c r="O19" s="214">
        <v>0</v>
      </c>
      <c r="P19" s="214">
        <v>35.140742627707056</v>
      </c>
      <c r="Q19" s="272">
        <v>987.32820871674187</v>
      </c>
      <c r="R19" s="381">
        <v>394.93128348669683</v>
      </c>
      <c r="S19" s="214">
        <v>500.52055025223723</v>
      </c>
      <c r="T19" s="381">
        <v>300.31233015134234</v>
      </c>
    </row>
    <row r="20" spans="1:24" x14ac:dyDescent="0.35">
      <c r="A20" s="252" t="s">
        <v>26</v>
      </c>
      <c r="B20" s="259">
        <v>31213.361806195611</v>
      </c>
      <c r="C20" s="215" t="s">
        <v>112</v>
      </c>
      <c r="D20" s="274">
        <v>54741.052127394905</v>
      </c>
      <c r="E20" s="275">
        <v>23.5</v>
      </c>
      <c r="F20" s="380">
        <v>9550</v>
      </c>
      <c r="G20" s="216">
        <f>+H20+I20+J20+K20</f>
        <v>663.16791666666666</v>
      </c>
      <c r="H20" s="214">
        <v>296.92541666666671</v>
      </c>
      <c r="I20" s="214">
        <v>314.51333333333338</v>
      </c>
      <c r="J20" s="214">
        <v>0</v>
      </c>
      <c r="K20" s="381">
        <v>51.729166666666671</v>
      </c>
      <c r="L20" s="216">
        <f t="shared" si="0"/>
        <v>812.26184637411347</v>
      </c>
      <c r="M20" s="214">
        <v>751.91356595744674</v>
      </c>
      <c r="N20" s="214">
        <v>47.084922083333325</v>
      </c>
      <c r="O20" s="214">
        <v>6.6316791666666663</v>
      </c>
      <c r="P20" s="214">
        <v>6.6316791666666663</v>
      </c>
      <c r="Q20" s="272">
        <v>784.93150684931504</v>
      </c>
      <c r="R20" s="381">
        <v>470.95890410958901</v>
      </c>
      <c r="S20" s="214">
        <v>610.13888888888903</v>
      </c>
      <c r="T20" s="381">
        <v>148.55555555555554</v>
      </c>
    </row>
    <row r="21" spans="1:24" x14ac:dyDescent="0.35">
      <c r="A21" s="252" t="s">
        <v>25</v>
      </c>
      <c r="B21" s="259">
        <v>18175.594687753855</v>
      </c>
      <c r="C21" s="215" t="s">
        <v>113</v>
      </c>
      <c r="D21" s="274">
        <v>27559.248001674965</v>
      </c>
      <c r="E21" s="275">
        <v>0.43</v>
      </c>
      <c r="F21" s="380">
        <v>10186.046511627908</v>
      </c>
      <c r="G21" s="216">
        <f t="shared" si="1"/>
        <v>942.20930232558158</v>
      </c>
      <c r="H21" s="214">
        <v>636.62790697674427</v>
      </c>
      <c r="I21" s="214">
        <v>305.58139534883725</v>
      </c>
      <c r="J21" s="214">
        <v>0</v>
      </c>
      <c r="K21" s="381">
        <v>0</v>
      </c>
      <c r="L21" s="216">
        <f t="shared" si="0"/>
        <v>777.32267441860483</v>
      </c>
      <c r="M21" s="214">
        <v>687.55813953488382</v>
      </c>
      <c r="N21" s="214">
        <v>70.66569767441861</v>
      </c>
      <c r="O21" s="214">
        <v>19.098837209302328</v>
      </c>
      <c r="P21" s="214">
        <v>0</v>
      </c>
      <c r="Q21" s="272">
        <v>418.60465116279073</v>
      </c>
      <c r="R21" s="381">
        <v>669.76744186046517</v>
      </c>
      <c r="S21" s="214">
        <v>848.83720930232562</v>
      </c>
      <c r="T21" s="381">
        <v>0</v>
      </c>
    </row>
    <row r="22" spans="1:24" x14ac:dyDescent="0.35">
      <c r="A22" s="252" t="s">
        <v>14</v>
      </c>
      <c r="B22" s="259">
        <v>41239.769273725957</v>
      </c>
      <c r="C22" s="215" t="s">
        <v>114</v>
      </c>
      <c r="D22" s="274">
        <v>65677.821889841638</v>
      </c>
      <c r="E22" s="275">
        <v>25.72</v>
      </c>
      <c r="F22" s="380">
        <v>9847.7449455676506</v>
      </c>
      <c r="G22" s="216">
        <f t="shared" si="1"/>
        <v>1782.4418351477448</v>
      </c>
      <c r="H22" s="214">
        <v>1477.1617418351475</v>
      </c>
      <c r="I22" s="214">
        <v>295.43234836702953</v>
      </c>
      <c r="J22" s="214">
        <v>0</v>
      </c>
      <c r="K22" s="381">
        <v>9.8477449455676513</v>
      </c>
      <c r="L22" s="216">
        <f t="shared" si="0"/>
        <v>1128.9356328149297</v>
      </c>
      <c r="M22" s="214">
        <v>738.58087091757375</v>
      </c>
      <c r="N22" s="214">
        <v>89.122091757387238</v>
      </c>
      <c r="O22" s="214">
        <v>122.9884866251944</v>
      </c>
      <c r="P22" s="214">
        <v>178.24418351477448</v>
      </c>
      <c r="Q22" s="272">
        <v>809.40369415624525</v>
      </c>
      <c r="R22" s="381">
        <v>566.58258590937169</v>
      </c>
      <c r="S22" s="214">
        <v>979.30352514256083</v>
      </c>
      <c r="T22" s="381">
        <v>0</v>
      </c>
    </row>
    <row r="23" spans="1:24" x14ac:dyDescent="0.35">
      <c r="A23" s="252" t="s">
        <v>22</v>
      </c>
      <c r="B23" s="259">
        <v>43536.677048628313</v>
      </c>
      <c r="C23" s="215" t="s">
        <v>115</v>
      </c>
      <c r="D23" s="216">
        <v>43705.439247906645</v>
      </c>
      <c r="E23" s="273">
        <v>3.9550000000000001</v>
      </c>
      <c r="F23" s="381">
        <v>8225.2844500632109</v>
      </c>
      <c r="G23" s="216">
        <f t="shared" si="1"/>
        <v>493.51706700379276</v>
      </c>
      <c r="H23" s="214">
        <v>329.01137800252849</v>
      </c>
      <c r="I23" s="214">
        <v>0</v>
      </c>
      <c r="J23" s="214">
        <v>41.126422250316061</v>
      </c>
      <c r="K23" s="381">
        <v>123.37926675094819</v>
      </c>
      <c r="L23" s="216">
        <f t="shared" si="0"/>
        <v>1295.6879329962076</v>
      </c>
      <c r="M23" s="214">
        <v>740.27560050568911</v>
      </c>
      <c r="N23" s="214"/>
      <c r="O23" s="214">
        <v>226.40095448798994</v>
      </c>
      <c r="P23" s="381">
        <v>329.01137800252849</v>
      </c>
      <c r="Q23" s="272">
        <v>676.05077671752417</v>
      </c>
      <c r="R23" s="381">
        <v>428.16549192109863</v>
      </c>
      <c r="S23" s="214">
        <v>3380.2538835876207</v>
      </c>
      <c r="T23" s="381">
        <v>0</v>
      </c>
    </row>
    <row r="24" spans="1:24" ht="28" x14ac:dyDescent="0.35">
      <c r="A24" s="278" t="s">
        <v>31</v>
      </c>
      <c r="B24" s="279"/>
      <c r="C24" s="280" t="s">
        <v>116</v>
      </c>
      <c r="D24" s="281">
        <v>69279.42526894639</v>
      </c>
      <c r="E24" s="282">
        <v>3.839</v>
      </c>
      <c r="F24" s="386">
        <v>6772.6074498567305</v>
      </c>
      <c r="G24" s="281">
        <v>378.58817400364683</v>
      </c>
      <c r="H24" s="283">
        <v>266.8403230007815</v>
      </c>
      <c r="I24" s="283">
        <v>111.74785100286533</v>
      </c>
      <c r="J24" s="283">
        <v>0</v>
      </c>
      <c r="K24" s="386">
        <v>0</v>
      </c>
      <c r="L24" s="281">
        <v>533.68064600156299</v>
      </c>
      <c r="M24" s="283">
        <v>533.68064600156299</v>
      </c>
      <c r="N24" s="283">
        <v>0</v>
      </c>
      <c r="O24" s="283">
        <v>0</v>
      </c>
      <c r="P24" s="386">
        <v>0</v>
      </c>
      <c r="Q24" s="284"/>
      <c r="R24" s="386">
        <v>259.77124465203912</v>
      </c>
      <c r="S24" s="283">
        <v>1540.0723790085174</v>
      </c>
      <c r="T24" s="386"/>
    </row>
    <row r="26" spans="1:24" x14ac:dyDescent="0.35">
      <c r="A26" s="338" t="s">
        <v>152</v>
      </c>
    </row>
    <row r="27" spans="1:24" ht="15" customHeight="1" x14ac:dyDescent="0.35">
      <c r="A27" s="285"/>
      <c r="B27" s="285"/>
      <c r="C27" s="285"/>
      <c r="D27" s="922" t="s">
        <v>153</v>
      </c>
      <c r="E27" s="922" t="s">
        <v>89</v>
      </c>
      <c r="F27" s="922" t="s">
        <v>119</v>
      </c>
      <c r="G27" s="927" t="s">
        <v>90</v>
      </c>
      <c r="H27" s="922" t="s">
        <v>76</v>
      </c>
      <c r="I27" s="922" t="s">
        <v>77</v>
      </c>
      <c r="J27" s="922" t="s">
        <v>91</v>
      </c>
      <c r="K27" s="919" t="s">
        <v>79</v>
      </c>
      <c r="L27" s="927" t="s">
        <v>92</v>
      </c>
      <c r="M27" s="922" t="s">
        <v>76</v>
      </c>
      <c r="N27" s="922" t="s">
        <v>77</v>
      </c>
      <c r="O27" s="922" t="s">
        <v>91</v>
      </c>
      <c r="P27" s="919" t="s">
        <v>79</v>
      </c>
      <c r="Q27" s="924" t="s">
        <v>93</v>
      </c>
      <c r="R27" s="925"/>
      <c r="S27" s="925"/>
      <c r="T27" s="925"/>
      <c r="U27" s="925"/>
      <c r="V27" s="926"/>
      <c r="W27" s="264"/>
      <c r="X27" s="264"/>
    </row>
    <row r="28" spans="1:24" ht="26" x14ac:dyDescent="0.35">
      <c r="A28" s="286"/>
      <c r="B28" s="286"/>
      <c r="C28" s="258"/>
      <c r="D28" s="921"/>
      <c r="E28" s="921"/>
      <c r="F28" s="923"/>
      <c r="G28" s="929"/>
      <c r="H28" s="921"/>
      <c r="I28" s="921"/>
      <c r="J28" s="921"/>
      <c r="K28" s="930"/>
      <c r="L28" s="928"/>
      <c r="M28" s="923"/>
      <c r="N28" s="923"/>
      <c r="O28" s="923"/>
      <c r="P28" s="920"/>
      <c r="Q28" s="225" t="s">
        <v>94</v>
      </c>
      <c r="R28" s="258" t="s">
        <v>95</v>
      </c>
      <c r="S28" s="258" t="s">
        <v>154</v>
      </c>
      <c r="T28" s="258" t="s">
        <v>155</v>
      </c>
      <c r="U28" s="256" t="s">
        <v>84</v>
      </c>
      <c r="V28" s="367" t="s">
        <v>120</v>
      </c>
    </row>
    <row r="29" spans="1:24" x14ac:dyDescent="0.35">
      <c r="A29" s="369" t="s">
        <v>11</v>
      </c>
      <c r="B29" s="387">
        <v>52703.098331207431</v>
      </c>
      <c r="C29" s="266" t="s">
        <v>97</v>
      </c>
      <c r="D29" s="270">
        <v>9681</v>
      </c>
      <c r="E29" s="268">
        <f>+E5</f>
        <v>138.54</v>
      </c>
      <c r="F29" s="217">
        <f>+F5/D29</f>
        <v>1.3957590130802706</v>
      </c>
      <c r="G29" s="288">
        <f>+G5/$D29</f>
        <v>0.21169011698384105</v>
      </c>
      <c r="H29" s="288">
        <f t="shared" ref="H29:T30" si="2">+H5/$D29</f>
        <v>0.16632794905873224</v>
      </c>
      <c r="I29" s="288">
        <f>+I5/$D29</f>
        <v>4.5362167925108797E-2</v>
      </c>
      <c r="J29" s="288">
        <f>+J5/$D29</f>
        <v>0</v>
      </c>
      <c r="K29" s="388">
        <f t="shared" si="2"/>
        <v>0</v>
      </c>
      <c r="L29" s="388">
        <f t="shared" si="2"/>
        <v>0.30044875889063727</v>
      </c>
      <c r="M29" s="388">
        <f t="shared" si="2"/>
        <v>0.16285018285114058</v>
      </c>
      <c r="N29" s="388">
        <f>+N5/$D29</f>
        <v>2.2681083962554398E-2</v>
      </c>
      <c r="O29" s="388">
        <f t="shared" si="2"/>
        <v>4.3850095660938504E-2</v>
      </c>
      <c r="P29" s="388">
        <f t="shared" si="2"/>
        <v>7.1067396416003778E-2</v>
      </c>
      <c r="Q29" s="388">
        <f t="shared" si="2"/>
        <v>0.1147199188833099</v>
      </c>
      <c r="R29" s="388">
        <f t="shared" si="2"/>
        <v>5.3535962145544624E-2</v>
      </c>
      <c r="S29" s="388">
        <f t="shared" si="2"/>
        <v>0.58156625545011276</v>
      </c>
      <c r="T29" s="288">
        <f t="shared" si="2"/>
        <v>0.2326265021800451</v>
      </c>
      <c r="U29" s="288">
        <f>+S29/5</f>
        <v>0.11631325109002255</v>
      </c>
      <c r="V29" s="217">
        <f>+T29/5</f>
        <v>4.6525300436009019E-2</v>
      </c>
    </row>
    <row r="30" spans="1:24" x14ac:dyDescent="0.35">
      <c r="A30" s="370" t="s">
        <v>13</v>
      </c>
      <c r="B30" s="389">
        <v>12537.115206601155</v>
      </c>
      <c r="C30" s="215" t="s">
        <v>98</v>
      </c>
      <c r="D30" s="272">
        <v>24729</v>
      </c>
      <c r="E30" s="273">
        <f>+E6</f>
        <v>2.38</v>
      </c>
      <c r="F30" s="289">
        <f>+F6/D30</f>
        <v>0.48159018551008936</v>
      </c>
      <c r="G30" s="291">
        <f>+G6/$D30</f>
        <v>0.1093691311293413</v>
      </c>
      <c r="H30" s="291">
        <f t="shared" si="2"/>
        <v>6.1210112578332358E-2</v>
      </c>
      <c r="I30" s="291">
        <f>+I6/$D30</f>
        <v>4.8159018551008938E-2</v>
      </c>
      <c r="J30" s="291">
        <f t="shared" si="2"/>
        <v>0</v>
      </c>
      <c r="K30" s="390">
        <f t="shared" si="2"/>
        <v>0</v>
      </c>
      <c r="L30" s="390">
        <f t="shared" si="2"/>
        <v>7.0841916288534146E-2</v>
      </c>
      <c r="M30" s="390">
        <f t="shared" si="2"/>
        <v>1.4447705565302681E-2</v>
      </c>
      <c r="N30" s="390">
        <f t="shared" si="2"/>
        <v>4.8159018551008938E-2</v>
      </c>
      <c r="O30" s="390">
        <f t="shared" si="2"/>
        <v>8.2351921722225285E-3</v>
      </c>
      <c r="P30" s="390">
        <f t="shared" si="2"/>
        <v>0</v>
      </c>
      <c r="Q30" s="390">
        <f t="shared" si="2"/>
        <v>7.9165509946863999E-2</v>
      </c>
      <c r="R30" s="390">
        <f t="shared" si="2"/>
        <v>2.6388503315621335E-2</v>
      </c>
      <c r="S30" s="390">
        <f t="shared" si="2"/>
        <v>4.0132515459174109E-2</v>
      </c>
      <c r="T30" s="291">
        <f t="shared" si="2"/>
        <v>2.4079509275504469E-2</v>
      </c>
      <c r="U30" s="291">
        <f t="shared" ref="U30:V39" si="3">+S30/5</f>
        <v>8.0265030918348218E-3</v>
      </c>
      <c r="V30" s="289">
        <f t="shared" si="3"/>
        <v>4.8159018551008938E-3</v>
      </c>
    </row>
    <row r="31" spans="1:24" x14ac:dyDescent="0.35">
      <c r="A31" s="370" t="s">
        <v>18</v>
      </c>
      <c r="B31" s="389">
        <v>33323.68748074468</v>
      </c>
      <c r="C31" s="215" t="s">
        <v>102</v>
      </c>
      <c r="D31" s="272">
        <v>22393</v>
      </c>
      <c r="E31" s="273">
        <f>+E10</f>
        <v>323</v>
      </c>
      <c r="F31" s="289">
        <f>+F10/D31</f>
        <v>0.58426856911139446</v>
      </c>
      <c r="G31" s="291">
        <f>+$G10/$D31</f>
        <v>8.5512573994195165E-2</v>
      </c>
      <c r="H31" s="291">
        <f>+$H10/$D31</f>
        <v>3.2913796059941894E-2</v>
      </c>
      <c r="I31" s="291">
        <f>+$I10/$D31</f>
        <v>3.4812668909553916E-2</v>
      </c>
      <c r="J31" s="291">
        <f>+$I10/$D31</f>
        <v>3.4812668909553916E-2</v>
      </c>
      <c r="K31" s="390">
        <f>+K10/$D31</f>
        <v>1.7786109024699365E-2</v>
      </c>
      <c r="L31" s="390">
        <f t="shared" ref="L31:T32" si="4">+L10/$D31</f>
        <v>0.17126372432077749</v>
      </c>
      <c r="M31" s="390">
        <f t="shared" si="4"/>
        <v>5.4877425353787729E-2</v>
      </c>
      <c r="N31" s="390">
        <f t="shared" si="4"/>
        <v>5.8548579529704319E-2</v>
      </c>
      <c r="O31" s="390">
        <f t="shared" si="4"/>
        <v>2.4539279902678563E-3</v>
      </c>
      <c r="P31" s="390">
        <f t="shared" si="4"/>
        <v>5.5383791447017598E-2</v>
      </c>
      <c r="Q31" s="390">
        <f t="shared" si="4"/>
        <v>4.8022074173539271E-2</v>
      </c>
      <c r="R31" s="390">
        <f t="shared" si="4"/>
        <v>2.2410301280984993E-2</v>
      </c>
      <c r="S31" s="390">
        <f t="shared" si="4"/>
        <v>3.4471845577572269E-2</v>
      </c>
      <c r="T31" s="291">
        <f>+T10/$D31</f>
        <v>9.7378094851899074E-3</v>
      </c>
      <c r="U31" s="291">
        <f t="shared" si="3"/>
        <v>6.8943691155144539E-3</v>
      </c>
      <c r="V31" s="289">
        <f t="shared" si="3"/>
        <v>1.9475618970379814E-3</v>
      </c>
    </row>
    <row r="32" spans="1:24" x14ac:dyDescent="0.35">
      <c r="A32" s="370" t="s">
        <v>17</v>
      </c>
      <c r="B32" s="389">
        <v>25402.007917417144</v>
      </c>
      <c r="C32" s="215" t="s">
        <v>103</v>
      </c>
      <c r="D32" s="272">
        <v>21239</v>
      </c>
      <c r="E32" s="273">
        <f>+E11</f>
        <v>0.41</v>
      </c>
      <c r="F32" s="289">
        <f>+F11/D32</f>
        <v>0.6201201425357632</v>
      </c>
      <c r="G32" s="291">
        <f>+$G11/$D32</f>
        <v>4.4607308919739234E-2</v>
      </c>
      <c r="H32" s="291">
        <f>+$H11/$D32</f>
        <v>4.4607308919739234E-2</v>
      </c>
      <c r="I32" s="291">
        <f>+$I11/$D32</f>
        <v>0</v>
      </c>
      <c r="J32" s="291">
        <f>+$I11/$D32</f>
        <v>0</v>
      </c>
      <c r="K32" s="390">
        <f>+K11/$D32</f>
        <v>0</v>
      </c>
      <c r="L32" s="390">
        <f t="shared" si="4"/>
        <v>0.32763530964091608</v>
      </c>
      <c r="M32" s="390">
        <f t="shared" si="4"/>
        <v>2.5662638565271668E-2</v>
      </c>
      <c r="N32" s="390">
        <f t="shared" si="4"/>
        <v>3.4664715967749164E-2</v>
      </c>
      <c r="O32" s="390">
        <f t="shared" si="4"/>
        <v>0.25528279201055587</v>
      </c>
      <c r="P32" s="390">
        <f t="shared" si="4"/>
        <v>1.202516309733934E-2</v>
      </c>
      <c r="Q32" s="390">
        <f t="shared" si="4"/>
        <v>0.10264545738320278</v>
      </c>
      <c r="R32" s="390">
        <f t="shared" si="4"/>
        <v>2.5484389419277942E-2</v>
      </c>
      <c r="S32" s="390">
        <f t="shared" si="4"/>
        <v>5.1676678544646935E-2</v>
      </c>
      <c r="T32" s="291">
        <f t="shared" si="4"/>
        <v>0</v>
      </c>
      <c r="U32" s="291">
        <f t="shared" si="3"/>
        <v>1.0335335708929387E-2</v>
      </c>
      <c r="V32" s="289">
        <f t="shared" si="3"/>
        <v>0</v>
      </c>
    </row>
    <row r="33" spans="1:22" x14ac:dyDescent="0.35">
      <c r="A33" s="370" t="s">
        <v>21</v>
      </c>
      <c r="B33" s="389">
        <v>19979.964728848212</v>
      </c>
      <c r="C33" s="215" t="s">
        <v>104</v>
      </c>
      <c r="D33" s="272">
        <v>18536</v>
      </c>
      <c r="E33" s="273">
        <f>+E12</f>
        <v>3.23</v>
      </c>
      <c r="F33" s="289">
        <f>+F12/D33</f>
        <v>0.68474500628682067</v>
      </c>
      <c r="G33" s="291">
        <f>+$G12/$D31</f>
        <v>2.7376614789644985E-2</v>
      </c>
      <c r="H33" s="291">
        <f>+$H12/$D31</f>
        <v>1.0372506224648101E-2</v>
      </c>
      <c r="I33" s="291">
        <f>+$I12/$D31</f>
        <v>1.1336072376664591E-2</v>
      </c>
      <c r="J33" s="291">
        <f>+$I12/$D31</f>
        <v>1.1336072376664591E-2</v>
      </c>
      <c r="K33" s="390">
        <f>+K12/$D31</f>
        <v>0</v>
      </c>
      <c r="L33" s="390">
        <f t="shared" ref="L33:T33" si="5">+L12/$D31</f>
        <v>7.1814018506170182E-2</v>
      </c>
      <c r="M33" s="390">
        <f t="shared" si="5"/>
        <v>2.0801692811179526E-2</v>
      </c>
      <c r="N33" s="390">
        <f t="shared" si="5"/>
        <v>2.2672144753329182E-2</v>
      </c>
      <c r="O33" s="390">
        <f t="shared" si="5"/>
        <v>1.7004108564996886E-2</v>
      </c>
      <c r="P33" s="390">
        <f t="shared" si="5"/>
        <v>1.1336072376664591E-2</v>
      </c>
      <c r="Q33" s="390">
        <f t="shared" si="5"/>
        <v>9.3173197616421274E-2</v>
      </c>
      <c r="R33" s="390">
        <f t="shared" si="5"/>
        <v>2.3293299404105319E-2</v>
      </c>
      <c r="S33" s="390">
        <f t="shared" si="5"/>
        <v>4.7233634902769127E-2</v>
      </c>
      <c r="T33" s="291">
        <f t="shared" si="5"/>
        <v>0</v>
      </c>
      <c r="U33" s="291">
        <f t="shared" si="3"/>
        <v>9.4467269805538247E-3</v>
      </c>
      <c r="V33" s="289">
        <f t="shared" si="3"/>
        <v>0</v>
      </c>
    </row>
    <row r="34" spans="1:22" x14ac:dyDescent="0.35">
      <c r="A34" s="370" t="s">
        <v>24</v>
      </c>
      <c r="B34" s="389">
        <v>37458.690249815249</v>
      </c>
      <c r="C34" s="215" t="s">
        <v>121</v>
      </c>
      <c r="D34" s="272">
        <v>16227</v>
      </c>
      <c r="E34" s="273">
        <f>+E15</f>
        <v>9.66</v>
      </c>
      <c r="F34" s="289">
        <f>+F15/D34</f>
        <v>0.62772209968742887</v>
      </c>
      <c r="G34" s="291">
        <f>+$G15/$D34</f>
        <v>1.9773246140154008E-2</v>
      </c>
      <c r="H34" s="291">
        <f>+$H15/$D34</f>
        <v>1.0985136744530005E-2</v>
      </c>
      <c r="I34" s="291">
        <f>+$I15/$D34</f>
        <v>8.7881093956240046E-3</v>
      </c>
      <c r="J34" s="291">
        <f>+$I15/$D34</f>
        <v>8.7881093956240046E-3</v>
      </c>
      <c r="K34" s="390">
        <f t="shared" ref="K34:T34" si="6">+K15/$D34</f>
        <v>0</v>
      </c>
      <c r="L34" s="390">
        <f t="shared" si="6"/>
        <v>0.2387227145111292</v>
      </c>
      <c r="M34" s="390">
        <f t="shared" si="6"/>
        <v>4.3312824878432597E-2</v>
      </c>
      <c r="N34" s="390">
        <f t="shared" si="6"/>
        <v>0.14531766607763977</v>
      </c>
      <c r="O34" s="390">
        <f t="shared" si="6"/>
        <v>1.2428897573811092E-2</v>
      </c>
      <c r="P34" s="390">
        <f t="shared" si="6"/>
        <v>3.7663325981245735E-2</v>
      </c>
      <c r="Q34" s="390">
        <f t="shared" si="6"/>
        <v>2.5796798617291596E-2</v>
      </c>
      <c r="R34" s="390">
        <f t="shared" si="6"/>
        <v>2.407701204280549E-2</v>
      </c>
      <c r="S34" s="390">
        <f t="shared" si="6"/>
        <v>6.628745372699249E-2</v>
      </c>
      <c r="T34" s="291">
        <f t="shared" si="6"/>
        <v>0</v>
      </c>
      <c r="U34" s="291">
        <f t="shared" si="3"/>
        <v>1.3257490745398498E-2</v>
      </c>
      <c r="V34" s="289">
        <f t="shared" si="3"/>
        <v>0</v>
      </c>
    </row>
    <row r="35" spans="1:22" x14ac:dyDescent="0.35">
      <c r="A35" s="370" t="s">
        <v>19</v>
      </c>
      <c r="B35" s="389">
        <v>44505.392140124968</v>
      </c>
      <c r="C35" s="215" t="s">
        <v>122</v>
      </c>
      <c r="D35" s="272">
        <v>26832</v>
      </c>
      <c r="E35" s="273">
        <f>+E17</f>
        <v>0.47</v>
      </c>
      <c r="F35" s="289">
        <f>+F17/D35</f>
        <v>0.54905225897309029</v>
      </c>
      <c r="G35" s="291">
        <f>+$G17/$D35</f>
        <v>0.10157466791002169</v>
      </c>
      <c r="H35" s="291">
        <f>+$H17/$D35</f>
        <v>5.0787333955010845E-2</v>
      </c>
      <c r="I35" s="291">
        <f>+$I17/$D35</f>
        <v>4.3924180717847219E-2</v>
      </c>
      <c r="J35" s="291">
        <f>+$I17/$D35</f>
        <v>4.3924180717847219E-2</v>
      </c>
      <c r="K35" s="390">
        <f>+K17/$D35</f>
        <v>6.8631532371636285E-3</v>
      </c>
      <c r="L35" s="390">
        <f t="shared" ref="L35:T35" si="7">+L17/$D35</f>
        <v>7.7800705096486886E-2</v>
      </c>
      <c r="M35" s="390">
        <f t="shared" si="7"/>
        <v>2.3334721006356338E-2</v>
      </c>
      <c r="N35" s="390">
        <f t="shared" si="7"/>
        <v>4.3924180717847219E-2</v>
      </c>
      <c r="O35" s="390">
        <f t="shared" si="7"/>
        <v>2.3060194876869788E-3</v>
      </c>
      <c r="P35" s="390">
        <f t="shared" si="7"/>
        <v>8.2357838845963528E-3</v>
      </c>
      <c r="Q35" s="390">
        <f t="shared" si="7"/>
        <v>9.0255165858590183E-2</v>
      </c>
      <c r="R35" s="390">
        <f t="shared" si="7"/>
        <v>4.5127582929295092E-2</v>
      </c>
      <c r="S35" s="390">
        <f t="shared" si="7"/>
        <v>3.6298454898776519E-2</v>
      </c>
      <c r="T35" s="291">
        <f t="shared" si="7"/>
        <v>0</v>
      </c>
      <c r="U35" s="291">
        <f t="shared" si="3"/>
        <v>7.2596909797553039E-3</v>
      </c>
      <c r="V35" s="289">
        <f t="shared" si="3"/>
        <v>0</v>
      </c>
    </row>
    <row r="36" spans="1:22" x14ac:dyDescent="0.35">
      <c r="A36" s="370" t="s">
        <v>20</v>
      </c>
      <c r="B36" s="389">
        <v>16776.197453748606</v>
      </c>
      <c r="C36" s="215" t="s">
        <v>111</v>
      </c>
      <c r="D36" s="272">
        <v>17702</v>
      </c>
      <c r="E36" s="273">
        <f>+E19</f>
        <v>2612.62</v>
      </c>
      <c r="F36" s="289">
        <f>+F19/D36</f>
        <v>0.67859525511544994</v>
      </c>
      <c r="G36" s="291">
        <f>+$G19/$D36</f>
        <v>0.16908331773293292</v>
      </c>
      <c r="H36" s="291">
        <f>+$H19/$D36</f>
        <v>6.6163037373756367E-2</v>
      </c>
      <c r="I36" s="291">
        <f t="shared" ref="I36:J39" si="8">+$I19/$D36</f>
        <v>0.10292028035917658</v>
      </c>
      <c r="J36" s="291">
        <f t="shared" si="8"/>
        <v>0.10292028035917658</v>
      </c>
      <c r="K36" s="390">
        <f>+K19/$D36</f>
        <v>0</v>
      </c>
      <c r="L36" s="390">
        <f t="shared" ref="L36:T39" si="9">+L19/$D36</f>
        <v>0.10490540874171568</v>
      </c>
      <c r="M36" s="390">
        <f t="shared" si="9"/>
        <v>0.10292028035917658</v>
      </c>
      <c r="N36" s="390">
        <f t="shared" si="9"/>
        <v>0</v>
      </c>
      <c r="O36" s="390">
        <f t="shared" si="9"/>
        <v>0</v>
      </c>
      <c r="P36" s="390">
        <f t="shared" si="9"/>
        <v>1.9851283825390947E-3</v>
      </c>
      <c r="Q36" s="390">
        <f t="shared" si="9"/>
        <v>5.5774952475242452E-2</v>
      </c>
      <c r="R36" s="390">
        <f t="shared" si="9"/>
        <v>2.2309980990096984E-2</v>
      </c>
      <c r="S36" s="390">
        <f t="shared" si="9"/>
        <v>2.8274802296477077E-2</v>
      </c>
      <c r="T36" s="291">
        <f t="shared" si="9"/>
        <v>1.6964881377886248E-2</v>
      </c>
      <c r="U36" s="291">
        <f t="shared" si="3"/>
        <v>5.6549604592954156E-3</v>
      </c>
      <c r="V36" s="289">
        <f t="shared" si="3"/>
        <v>3.3929762755772496E-3</v>
      </c>
    </row>
    <row r="37" spans="1:22" x14ac:dyDescent="0.35">
      <c r="A37" s="370" t="s">
        <v>26</v>
      </c>
      <c r="B37" s="389">
        <v>31213.361806195611</v>
      </c>
      <c r="C37" s="215" t="s">
        <v>112</v>
      </c>
      <c r="D37" s="272">
        <v>12484</v>
      </c>
      <c r="E37" s="273">
        <f>+E20</f>
        <v>23.5</v>
      </c>
      <c r="F37" s="289">
        <f>+F20/D37</f>
        <v>0.76497917334187759</v>
      </c>
      <c r="G37" s="291">
        <f>+$G20/$D37</f>
        <v>5.3121428762148884E-2</v>
      </c>
      <c r="H37" s="291">
        <f>+$H20/$D37</f>
        <v>2.378447746448788E-2</v>
      </c>
      <c r="I37" s="291">
        <f t="shared" si="8"/>
        <v>2.5193314108725839E-2</v>
      </c>
      <c r="J37" s="291">
        <f t="shared" si="8"/>
        <v>2.5193314108725839E-2</v>
      </c>
      <c r="K37" s="390">
        <f>+K20/$D37</f>
        <v>4.1436371889351708E-3</v>
      </c>
      <c r="L37" s="390">
        <f t="shared" si="9"/>
        <v>6.5064229924232095E-2</v>
      </c>
      <c r="M37" s="390">
        <f t="shared" si="9"/>
        <v>6.0230179906876541E-2</v>
      </c>
      <c r="N37" s="390">
        <f t="shared" si="9"/>
        <v>3.7716214421125703E-3</v>
      </c>
      <c r="O37" s="390">
        <f t="shared" si="9"/>
        <v>5.3121428762148881E-4</v>
      </c>
      <c r="P37" s="390">
        <f t="shared" si="9"/>
        <v>5.3121428762148881E-4</v>
      </c>
      <c r="Q37" s="390">
        <f t="shared" si="9"/>
        <v>6.2875000548647475E-2</v>
      </c>
      <c r="R37" s="390">
        <f t="shared" si="9"/>
        <v>3.7725000329188484E-2</v>
      </c>
      <c r="S37" s="390">
        <f t="shared" si="9"/>
        <v>4.8873669407953305E-2</v>
      </c>
      <c r="T37" s="291">
        <f t="shared" si="9"/>
        <v>1.1899676029762539E-2</v>
      </c>
      <c r="U37" s="291">
        <f t="shared" si="3"/>
        <v>9.7747338815906606E-3</v>
      </c>
      <c r="V37" s="289">
        <f t="shared" si="3"/>
        <v>2.3799352059525078E-3</v>
      </c>
    </row>
    <row r="38" spans="1:22" x14ac:dyDescent="0.35">
      <c r="A38" s="370" t="s">
        <v>25</v>
      </c>
      <c r="B38" s="389">
        <v>18175.594687753855</v>
      </c>
      <c r="C38" s="215" t="s">
        <v>113</v>
      </c>
      <c r="D38" s="272">
        <v>15800</v>
      </c>
      <c r="E38" s="273">
        <f>+E21</f>
        <v>0.43</v>
      </c>
      <c r="F38" s="289">
        <f>+F21/D38</f>
        <v>0.64468648807771567</v>
      </c>
      <c r="G38" s="291">
        <f>+$G21/$D38</f>
        <v>5.9633500147188705E-2</v>
      </c>
      <c r="H38" s="291">
        <f>+$H21/$D38</f>
        <v>4.0292905504857229E-2</v>
      </c>
      <c r="I38" s="291">
        <f t="shared" si="8"/>
        <v>1.9340594642331472E-2</v>
      </c>
      <c r="J38" s="291">
        <f t="shared" si="8"/>
        <v>1.9340594642331472E-2</v>
      </c>
      <c r="K38" s="390">
        <f>+K21/$D38</f>
        <v>0</v>
      </c>
      <c r="L38" s="390">
        <f t="shared" si="9"/>
        <v>4.9197637621430687E-2</v>
      </c>
      <c r="M38" s="390">
        <f t="shared" si="9"/>
        <v>4.3516337945245814E-2</v>
      </c>
      <c r="N38" s="390">
        <f t="shared" si="9"/>
        <v>4.4725125110391525E-3</v>
      </c>
      <c r="O38" s="390">
        <f t="shared" si="9"/>
        <v>1.208787165145717E-3</v>
      </c>
      <c r="P38" s="390">
        <f t="shared" si="9"/>
        <v>0</v>
      </c>
      <c r="Q38" s="390">
        <f t="shared" si="9"/>
        <v>2.6493965263467766E-2</v>
      </c>
      <c r="R38" s="390">
        <f t="shared" si="9"/>
        <v>4.2390344421548432E-2</v>
      </c>
      <c r="S38" s="390">
        <f t="shared" si="9"/>
        <v>5.3723874006476303E-2</v>
      </c>
      <c r="T38" s="291">
        <f>+T21/$D38</f>
        <v>0</v>
      </c>
      <c r="U38" s="291">
        <f t="shared" si="3"/>
        <v>1.0744774801295261E-2</v>
      </c>
      <c r="V38" s="289">
        <f t="shared" si="3"/>
        <v>0</v>
      </c>
    </row>
    <row r="39" spans="1:22" x14ac:dyDescent="0.35">
      <c r="A39" s="371" t="s">
        <v>14</v>
      </c>
      <c r="B39" s="391">
        <v>41239.769273725957</v>
      </c>
      <c r="C39" s="392" t="s">
        <v>114</v>
      </c>
      <c r="D39" s="284">
        <v>24432</v>
      </c>
      <c r="E39" s="282">
        <f>+E22</f>
        <v>25.72</v>
      </c>
      <c r="F39" s="292">
        <f>+F22/D39</f>
        <v>0.40306749122329938</v>
      </c>
      <c r="G39" s="294">
        <f>+$G22/$D39</f>
        <v>7.2955215911417196E-2</v>
      </c>
      <c r="H39" s="294">
        <f>+$H22/$D39</f>
        <v>6.0460123683494904E-2</v>
      </c>
      <c r="I39" s="294">
        <f t="shared" si="8"/>
        <v>1.2092024736698983E-2</v>
      </c>
      <c r="J39" s="294">
        <f t="shared" si="8"/>
        <v>1.2092024736698983E-2</v>
      </c>
      <c r="K39" s="393">
        <f>+K22/$D39</f>
        <v>4.030674912232994E-4</v>
      </c>
      <c r="L39" s="393">
        <f t="shared" si="9"/>
        <v>4.620725412634781E-2</v>
      </c>
      <c r="M39" s="393">
        <f t="shared" si="9"/>
        <v>3.0230061841747452E-2</v>
      </c>
      <c r="N39" s="393">
        <f t="shared" si="9"/>
        <v>3.6477607955708595E-3</v>
      </c>
      <c r="O39" s="393">
        <f t="shared" si="9"/>
        <v>5.0339098978877863E-3</v>
      </c>
      <c r="P39" s="393">
        <f t="shared" si="9"/>
        <v>7.295521591141719E-3</v>
      </c>
      <c r="Q39" s="393">
        <f t="shared" si="9"/>
        <v>3.3128834895065705E-2</v>
      </c>
      <c r="R39" s="393">
        <f t="shared" si="9"/>
        <v>2.3190184426545992E-2</v>
      </c>
      <c r="S39" s="393">
        <f t="shared" si="9"/>
        <v>4.0082822738316995E-2</v>
      </c>
      <c r="T39" s="294">
        <f t="shared" si="9"/>
        <v>0</v>
      </c>
      <c r="U39" s="294">
        <f t="shared" si="3"/>
        <v>8.0165645476633993E-3</v>
      </c>
      <c r="V39" s="292">
        <f t="shared" si="3"/>
        <v>0</v>
      </c>
    </row>
    <row r="40" spans="1:22" x14ac:dyDescent="0.35">
      <c r="B40" s="259"/>
      <c r="C40" s="368"/>
      <c r="D40" s="214"/>
      <c r="E40" s="273"/>
      <c r="F40" s="290"/>
      <c r="G40" s="290"/>
      <c r="H40" s="290"/>
      <c r="I40" s="290"/>
      <c r="J40" s="290"/>
      <c r="K40" s="290"/>
      <c r="L40" s="290"/>
      <c r="M40" s="290"/>
      <c r="N40" s="290"/>
      <c r="O40" s="290"/>
      <c r="P40" s="290"/>
      <c r="Q40" s="290"/>
      <c r="R40" s="290"/>
      <c r="S40" s="290"/>
      <c r="T40" s="290"/>
      <c r="U40" s="290"/>
      <c r="V40" s="290"/>
    </row>
    <row r="41" spans="1:22" x14ac:dyDescent="0.35">
      <c r="B41" s="259"/>
      <c r="C41" s="368"/>
      <c r="D41" s="214"/>
      <c r="E41" s="273"/>
      <c r="F41" s="290"/>
      <c r="G41" s="290"/>
      <c r="H41" s="290"/>
      <c r="I41" s="290"/>
      <c r="J41" s="290"/>
      <c r="K41" s="290"/>
      <c r="L41" s="290"/>
      <c r="M41" s="290"/>
      <c r="N41" s="290"/>
      <c r="O41" s="290"/>
      <c r="P41" s="290"/>
      <c r="Q41" s="290"/>
      <c r="R41" s="290"/>
      <c r="S41" s="290"/>
      <c r="T41" s="290"/>
      <c r="U41" s="290"/>
      <c r="V41" s="290"/>
    </row>
    <row r="42" spans="1:22" x14ac:dyDescent="0.35">
      <c r="A42" s="338" t="s">
        <v>117</v>
      </c>
      <c r="B42" s="259"/>
      <c r="C42" s="368"/>
      <c r="D42" s="214"/>
      <c r="E42" s="273"/>
      <c r="F42" s="290"/>
      <c r="G42" s="290"/>
      <c r="H42" s="290"/>
      <c r="I42" s="290"/>
      <c r="J42" s="290"/>
      <c r="K42" s="290"/>
      <c r="L42" s="290"/>
      <c r="M42" s="290"/>
      <c r="N42" s="290"/>
      <c r="O42" s="290"/>
      <c r="P42" s="290"/>
      <c r="Q42" s="290"/>
      <c r="R42" s="290"/>
      <c r="S42" s="290"/>
      <c r="T42" s="290"/>
      <c r="U42" s="290"/>
      <c r="V42" s="290"/>
    </row>
    <row r="43" spans="1:22" x14ac:dyDescent="0.35">
      <c r="A43" s="394"/>
      <c r="B43" s="285"/>
      <c r="C43" s="285"/>
      <c r="D43" s="922" t="s">
        <v>118</v>
      </c>
      <c r="E43" s="922" t="s">
        <v>89</v>
      </c>
      <c r="F43" s="922" t="s">
        <v>119</v>
      </c>
      <c r="G43" s="927" t="s">
        <v>90</v>
      </c>
      <c r="H43" s="922" t="s">
        <v>76</v>
      </c>
      <c r="I43" s="922" t="s">
        <v>77</v>
      </c>
      <c r="J43" s="922" t="s">
        <v>91</v>
      </c>
      <c r="K43" s="919" t="s">
        <v>79</v>
      </c>
      <c r="L43" s="927" t="s">
        <v>92</v>
      </c>
      <c r="M43" s="922" t="s">
        <v>76</v>
      </c>
      <c r="N43" s="922" t="s">
        <v>77</v>
      </c>
      <c r="O43" s="922" t="s">
        <v>91</v>
      </c>
      <c r="P43" s="919" t="s">
        <v>79</v>
      </c>
      <c r="Q43" s="924" t="s">
        <v>93</v>
      </c>
      <c r="R43" s="925"/>
      <c r="S43" s="925"/>
      <c r="T43" s="925"/>
      <c r="U43" s="925"/>
      <c r="V43" s="926"/>
    </row>
    <row r="44" spans="1:22" ht="26" x14ac:dyDescent="0.35">
      <c r="A44" s="366"/>
      <c r="B44" s="286"/>
      <c r="C44" s="258"/>
      <c r="D44" s="923"/>
      <c r="E44" s="923"/>
      <c r="F44" s="923"/>
      <c r="G44" s="928"/>
      <c r="H44" s="923"/>
      <c r="I44" s="923"/>
      <c r="J44" s="923"/>
      <c r="K44" s="920"/>
      <c r="L44" s="928"/>
      <c r="M44" s="923"/>
      <c r="N44" s="923"/>
      <c r="O44" s="923"/>
      <c r="P44" s="920"/>
      <c r="Q44" s="225" t="s">
        <v>94</v>
      </c>
      <c r="R44" s="258" t="s">
        <v>95</v>
      </c>
      <c r="S44" s="258" t="s">
        <v>154</v>
      </c>
      <c r="T44" s="258" t="s">
        <v>155</v>
      </c>
      <c r="U44" s="258" t="s">
        <v>84</v>
      </c>
      <c r="V44" s="226" t="s">
        <v>120</v>
      </c>
    </row>
    <row r="45" spans="1:22" ht="15" customHeight="1" x14ac:dyDescent="0.35">
      <c r="A45" s="253" t="s">
        <v>11</v>
      </c>
      <c r="B45" s="265">
        <v>52703.098331207431</v>
      </c>
      <c r="C45" s="266" t="s">
        <v>97</v>
      </c>
      <c r="D45" s="269">
        <f t="shared" ref="D45:E64" si="10">+D5</f>
        <v>62532.223134572581</v>
      </c>
      <c r="E45" s="268">
        <f t="shared" si="10"/>
        <v>138.54</v>
      </c>
      <c r="F45" s="217">
        <f t="shared" ref="F45:T45" si="11">+F5/$D5</f>
        <v>0.21608608055643311</v>
      </c>
      <c r="G45" s="287">
        <f t="shared" si="11"/>
        <v>3.277305555105902E-2</v>
      </c>
      <c r="H45" s="287">
        <f t="shared" si="11"/>
        <v>2.5750257932974946E-2</v>
      </c>
      <c r="I45" s="287">
        <f t="shared" si="11"/>
        <v>7.022797618084076E-3</v>
      </c>
      <c r="J45" s="287">
        <f t="shared" si="11"/>
        <v>0</v>
      </c>
      <c r="K45" s="217">
        <f t="shared" si="11"/>
        <v>0</v>
      </c>
      <c r="L45" s="288">
        <f t="shared" si="11"/>
        <v>4.6514329557110198E-2</v>
      </c>
      <c r="M45" s="287">
        <f t="shared" si="11"/>
        <v>2.5211843448921835E-2</v>
      </c>
      <c r="N45" s="287">
        <f t="shared" si="11"/>
        <v>3.511398809042038E-3</v>
      </c>
      <c r="O45" s="287">
        <f t="shared" si="11"/>
        <v>6.7887043641479397E-3</v>
      </c>
      <c r="P45" s="217">
        <f t="shared" si="11"/>
        <v>1.1002382934998386E-2</v>
      </c>
      <c r="Q45" s="288">
        <f t="shared" si="11"/>
        <v>1.7760499771761622E-2</v>
      </c>
      <c r="R45" s="287">
        <f t="shared" si="11"/>
        <v>8.2882332268220896E-3</v>
      </c>
      <c r="S45" s="287">
        <f t="shared" si="11"/>
        <v>9.0035866898513797E-2</v>
      </c>
      <c r="T45" s="217">
        <f t="shared" si="11"/>
        <v>3.6014346759405513E-2</v>
      </c>
      <c r="U45" s="287">
        <f>+S45/5</f>
        <v>1.800717337970276E-2</v>
      </c>
      <c r="V45" s="217">
        <f t="shared" ref="V45:V64" si="12">+T45/5</f>
        <v>7.202869351881103E-3</v>
      </c>
    </row>
    <row r="46" spans="1:22" x14ac:dyDescent="0.35">
      <c r="A46" s="252" t="s">
        <v>13</v>
      </c>
      <c r="B46" s="259">
        <v>12537.115206601155</v>
      </c>
      <c r="C46" s="215" t="s">
        <v>98</v>
      </c>
      <c r="D46" s="214">
        <f t="shared" si="10"/>
        <v>21772.027565178294</v>
      </c>
      <c r="E46" s="273">
        <f t="shared" si="10"/>
        <v>2.38</v>
      </c>
      <c r="F46" s="289">
        <f t="shared" ref="F46:T46" si="13">+F6/$D6</f>
        <v>0.54699745633825969</v>
      </c>
      <c r="G46" s="290">
        <f t="shared" si="13"/>
        <v>0.12422312233441878</v>
      </c>
      <c r="H46" s="290">
        <f t="shared" si="13"/>
        <v>6.9523376700592804E-2</v>
      </c>
      <c r="I46" s="290">
        <f t="shared" si="13"/>
        <v>5.4699745633825972E-2</v>
      </c>
      <c r="J46" s="290">
        <f t="shared" si="13"/>
        <v>0</v>
      </c>
      <c r="K46" s="289">
        <f t="shared" si="13"/>
        <v>0</v>
      </c>
      <c r="L46" s="291">
        <f t="shared" si="13"/>
        <v>8.046332582735799E-2</v>
      </c>
      <c r="M46" s="290">
        <f t="shared" si="13"/>
        <v>1.6409923690147789E-2</v>
      </c>
      <c r="N46" s="290">
        <f t="shared" si="13"/>
        <v>5.4699745633825972E-2</v>
      </c>
      <c r="O46" s="290">
        <f t="shared" si="13"/>
        <v>9.3536565033842407E-3</v>
      </c>
      <c r="P46" s="289">
        <f t="shared" si="13"/>
        <v>0</v>
      </c>
      <c r="Q46" s="291">
        <f t="shared" si="13"/>
        <v>8.9917390083001578E-2</v>
      </c>
      <c r="R46" s="290">
        <f t="shared" si="13"/>
        <v>2.9972463361000529E-2</v>
      </c>
      <c r="S46" s="290">
        <f t="shared" si="13"/>
        <v>4.5583121361521636E-2</v>
      </c>
      <c r="T46" s="289">
        <f t="shared" si="13"/>
        <v>2.7349872816912986E-2</v>
      </c>
      <c r="U46" s="290">
        <f t="shared" ref="U46:U64" si="14">+S46/5</f>
        <v>9.1166242723043269E-3</v>
      </c>
      <c r="V46" s="289">
        <f>+T46/5</f>
        <v>5.4699745633825974E-3</v>
      </c>
    </row>
    <row r="47" spans="1:22" x14ac:dyDescent="0.35">
      <c r="A47" s="252" t="s">
        <v>12</v>
      </c>
      <c r="B47" s="259">
        <v>33303.672805218725</v>
      </c>
      <c r="C47" s="215" t="s">
        <v>99</v>
      </c>
      <c r="D47" s="214">
        <f t="shared" si="10"/>
        <v>31854.20927605778</v>
      </c>
      <c r="E47" s="273">
        <f t="shared" si="10"/>
        <v>1.6459999999999999</v>
      </c>
      <c r="F47" s="289">
        <f t="shared" ref="F47:T47" si="15">+F7/$D7</f>
        <v>0.15517232954099469</v>
      </c>
      <c r="G47" s="290">
        <f t="shared" si="15"/>
        <v>1.3434097571220365E-2</v>
      </c>
      <c r="H47" s="290">
        <f t="shared" si="15"/>
        <v>1.3434097571220365E-2</v>
      </c>
      <c r="I47" s="290">
        <f t="shared" si="15"/>
        <v>0</v>
      </c>
      <c r="J47" s="290">
        <f t="shared" si="15"/>
        <v>0</v>
      </c>
      <c r="K47" s="289">
        <f t="shared" si="15"/>
        <v>0</v>
      </c>
      <c r="L47" s="291">
        <f t="shared" si="15"/>
        <v>5.7430767116967062E-2</v>
      </c>
      <c r="M47" s="290">
        <f t="shared" si="15"/>
        <v>3.3585243928050908E-2</v>
      </c>
      <c r="N47" s="290">
        <f t="shared" si="15"/>
        <v>0</v>
      </c>
      <c r="O47" s="290">
        <f t="shared" si="15"/>
        <v>1.6792621964025456E-3</v>
      </c>
      <c r="P47" s="289">
        <f t="shared" si="15"/>
        <v>2.2166260992513599E-2</v>
      </c>
      <c r="Q47" s="291">
        <f t="shared" si="15"/>
        <v>1.275389009925984E-2</v>
      </c>
      <c r="R47" s="290">
        <f t="shared" si="15"/>
        <v>1.7005186799013122E-2</v>
      </c>
      <c r="S47" s="290">
        <f t="shared" si="15"/>
        <v>2.4487468990578892E-2</v>
      </c>
      <c r="T47" s="289">
        <f t="shared" si="15"/>
        <v>1.7855446138963778E-2</v>
      </c>
      <c r="U47" s="290">
        <f t="shared" si="14"/>
        <v>4.8974937981157785E-3</v>
      </c>
      <c r="V47" s="289">
        <f t="shared" si="12"/>
        <v>3.5710892277927555E-3</v>
      </c>
    </row>
    <row r="48" spans="1:22" x14ac:dyDescent="0.35">
      <c r="A48" s="252" t="s">
        <v>28</v>
      </c>
      <c r="B48" s="259">
        <v>54426.004422329097</v>
      </c>
      <c r="C48" s="215" t="s">
        <v>100</v>
      </c>
      <c r="D48" s="214">
        <f t="shared" si="10"/>
        <v>48876.098568060908</v>
      </c>
      <c r="E48" s="273">
        <f t="shared" si="10"/>
        <v>346.63400000000001</v>
      </c>
      <c r="F48" s="289">
        <f t="shared" ref="F48:T48" si="16">+F8/$D8</f>
        <v>0.14874173741316807</v>
      </c>
      <c r="G48" s="290">
        <f t="shared" si="16"/>
        <v>2.837992349843247E-2</v>
      </c>
      <c r="H48" s="290">
        <f t="shared" si="16"/>
        <v>1.4874173741316808E-2</v>
      </c>
      <c r="I48" s="290">
        <f t="shared" si="16"/>
        <v>1.0411921618921766E-2</v>
      </c>
      <c r="J48" s="290">
        <f t="shared" si="16"/>
        <v>8.924504244790084E-4</v>
      </c>
      <c r="K48" s="289">
        <f t="shared" si="16"/>
        <v>2.2013777137148871E-3</v>
      </c>
      <c r="L48" s="291">
        <f t="shared" si="16"/>
        <v>6.856994094747047E-3</v>
      </c>
      <c r="M48" s="290">
        <f t="shared" si="16"/>
        <v>0</v>
      </c>
      <c r="N48" s="290">
        <f t="shared" si="16"/>
        <v>0</v>
      </c>
      <c r="O48" s="290">
        <f t="shared" si="16"/>
        <v>4.9828482033411302E-3</v>
      </c>
      <c r="P48" s="289">
        <f t="shared" si="16"/>
        <v>1.8741458914059176E-3</v>
      </c>
      <c r="Q48" s="291">
        <f t="shared" si="16"/>
        <v>0</v>
      </c>
      <c r="R48" s="290">
        <f t="shared" si="16"/>
        <v>6.1126741402671809E-3</v>
      </c>
      <c r="S48" s="290">
        <f t="shared" si="16"/>
        <v>6.1126741402671811E-2</v>
      </c>
      <c r="T48" s="289">
        <f t="shared" si="16"/>
        <v>1.2225348280534362E-2</v>
      </c>
      <c r="U48" s="290">
        <f t="shared" si="14"/>
        <v>1.2225348280534362E-2</v>
      </c>
      <c r="V48" s="289">
        <f t="shared" si="12"/>
        <v>2.4450696561068722E-3</v>
      </c>
    </row>
    <row r="49" spans="1:22" x14ac:dyDescent="0.35">
      <c r="A49" s="252" t="s">
        <v>15</v>
      </c>
      <c r="B49" s="259">
        <v>28539.020102737442</v>
      </c>
      <c r="C49" s="215" t="s">
        <v>101</v>
      </c>
      <c r="D49" s="214">
        <f t="shared" si="10"/>
        <v>27978.629828159494</v>
      </c>
      <c r="E49" s="273">
        <f t="shared" si="10"/>
        <v>1175.53</v>
      </c>
      <c r="F49" s="289">
        <f t="shared" ref="F49:T49" si="17">+F9/$D9</f>
        <v>0.21508241100555492</v>
      </c>
      <c r="G49" s="290">
        <f t="shared" si="17"/>
        <v>1.7206592880444391E-2</v>
      </c>
      <c r="H49" s="290">
        <f t="shared" si="17"/>
        <v>8.6032964402221954E-3</v>
      </c>
      <c r="I49" s="290">
        <f t="shared" si="17"/>
        <v>8.6032964402221954E-3</v>
      </c>
      <c r="J49" s="290">
        <f t="shared" si="17"/>
        <v>0</v>
      </c>
      <c r="K49" s="289">
        <f t="shared" si="17"/>
        <v>0</v>
      </c>
      <c r="L49" s="291">
        <f t="shared" si="17"/>
        <v>5.6560781425666271E-2</v>
      </c>
      <c r="M49" s="290">
        <f t="shared" si="17"/>
        <v>2.7931250086748769E-2</v>
      </c>
      <c r="N49" s="290">
        <f t="shared" si="17"/>
        <v>0</v>
      </c>
      <c r="O49" s="290">
        <f t="shared" si="17"/>
        <v>1.9319114643334568E-2</v>
      </c>
      <c r="P49" s="289">
        <f t="shared" si="17"/>
        <v>9.3104166955829248E-3</v>
      </c>
      <c r="Q49" s="291">
        <f t="shared" si="17"/>
        <v>1.7678006384018209E-2</v>
      </c>
      <c r="R49" s="290">
        <f t="shared" si="17"/>
        <v>8.8390031920091046E-3</v>
      </c>
      <c r="S49" s="290">
        <f t="shared" si="17"/>
        <v>6.4819356741400103E-2</v>
      </c>
      <c r="T49" s="289">
        <f t="shared" si="17"/>
        <v>4.4195015960045523E-3</v>
      </c>
      <c r="U49" s="290">
        <f t="shared" si="14"/>
        <v>1.2963871348280021E-2</v>
      </c>
      <c r="V49" s="289">
        <f t="shared" si="12"/>
        <v>8.8390031920091046E-4</v>
      </c>
    </row>
    <row r="50" spans="1:22" x14ac:dyDescent="0.35">
      <c r="A50" s="252" t="s">
        <v>18</v>
      </c>
      <c r="B50" s="259">
        <v>33323.68748074468</v>
      </c>
      <c r="C50" s="215" t="s">
        <v>102</v>
      </c>
      <c r="D50" s="214">
        <f t="shared" si="10"/>
        <v>60513.745354111503</v>
      </c>
      <c r="E50" s="273">
        <f t="shared" si="10"/>
        <v>323</v>
      </c>
      <c r="F50" s="289">
        <f t="shared" ref="F50:O50" si="18">+F10/$D10</f>
        <v>0.21620750775794639</v>
      </c>
      <c r="G50" s="290">
        <f t="shared" si="18"/>
        <v>3.1643770489606773E-2</v>
      </c>
      <c r="H50" s="290">
        <f t="shared" si="18"/>
        <v>1.217968960369765E-2</v>
      </c>
      <c r="I50" s="290">
        <f t="shared" si="18"/>
        <v>1.2882364003910973E-2</v>
      </c>
      <c r="J50" s="290">
        <f t="shared" si="18"/>
        <v>0</v>
      </c>
      <c r="K50" s="289">
        <f t="shared" si="18"/>
        <v>6.5817168819981521E-3</v>
      </c>
      <c r="L50" s="291">
        <f t="shared" si="18"/>
        <v>6.3375825711548039E-2</v>
      </c>
      <c r="M50" s="290">
        <f t="shared" si="18"/>
        <v>2.0307290166165119E-2</v>
      </c>
      <c r="N50" s="290">
        <f t="shared" si="18"/>
        <v>2.1665794006577546E-2</v>
      </c>
      <c r="O50" s="290">
        <f t="shared" si="18"/>
        <v>9.0807153258337485E-4</v>
      </c>
      <c r="P50" s="289">
        <f>P9/$D10</f>
        <v>4.3046864930817216E-3</v>
      </c>
      <c r="Q50" s="291">
        <f t="shared" ref="Q50:T64" si="19">+Q10/$D10</f>
        <v>1.7770480089694226E-2</v>
      </c>
      <c r="R50" s="290">
        <f t="shared" si="19"/>
        <v>8.2928907085239728E-3</v>
      </c>
      <c r="S50" s="290">
        <f t="shared" si="19"/>
        <v>1.2756242957718837E-2</v>
      </c>
      <c r="T50" s="289">
        <f t="shared" si="19"/>
        <v>3.6034584626324397E-3</v>
      </c>
      <c r="U50" s="290">
        <f t="shared" si="14"/>
        <v>2.5512485915437674E-3</v>
      </c>
      <c r="V50" s="289">
        <f t="shared" si="12"/>
        <v>7.2069169252648795E-4</v>
      </c>
    </row>
    <row r="51" spans="1:22" x14ac:dyDescent="0.35">
      <c r="A51" s="252" t="s">
        <v>17</v>
      </c>
      <c r="B51" s="259">
        <v>25402.007917417144</v>
      </c>
      <c r="C51" s="215" t="s">
        <v>103</v>
      </c>
      <c r="D51" s="214">
        <f t="shared" si="10"/>
        <v>32594.54746685116</v>
      </c>
      <c r="E51" s="273">
        <f t="shared" si="10"/>
        <v>0.41</v>
      </c>
      <c r="F51" s="289">
        <f t="shared" ref="F51:O51" si="20">+F11/$D11</f>
        <v>0.40407775934646073</v>
      </c>
      <c r="G51" s="290">
        <f t="shared" si="20"/>
        <v>2.906666015565541E-2</v>
      </c>
      <c r="H51" s="290">
        <f t="shared" si="20"/>
        <v>2.906666015565541E-2</v>
      </c>
      <c r="I51" s="290">
        <f t="shared" si="20"/>
        <v>0</v>
      </c>
      <c r="J51" s="290">
        <f t="shared" si="20"/>
        <v>0</v>
      </c>
      <c r="K51" s="289">
        <f t="shared" si="20"/>
        <v>0</v>
      </c>
      <c r="L51" s="291">
        <f t="shared" si="20"/>
        <v>0.21349111683604136</v>
      </c>
      <c r="M51" s="290">
        <f t="shared" si="20"/>
        <v>1.6722084607621035E-2</v>
      </c>
      <c r="N51" s="290">
        <f t="shared" si="20"/>
        <v>2.2587946747467155E-2</v>
      </c>
      <c r="O51" s="290">
        <f t="shared" si="20"/>
        <v>0.16634534426429301</v>
      </c>
      <c r="P51" s="289">
        <f t="shared" ref="P51:P64" si="21">+P11/$D11</f>
        <v>7.8357412166601172E-3</v>
      </c>
      <c r="Q51" s="291">
        <f t="shared" si="19"/>
        <v>6.6885017243420997E-2</v>
      </c>
      <c r="R51" s="290">
        <f t="shared" si="19"/>
        <v>1.6605935315607979E-2</v>
      </c>
      <c r="S51" s="290">
        <f t="shared" si="19"/>
        <v>3.3673146612205065E-2</v>
      </c>
      <c r="T51" s="289">
        <f t="shared" si="19"/>
        <v>0</v>
      </c>
      <c r="U51" s="290">
        <f t="shared" si="14"/>
        <v>6.7346293224410129E-3</v>
      </c>
      <c r="V51" s="289">
        <f t="shared" si="12"/>
        <v>0</v>
      </c>
    </row>
    <row r="52" spans="1:22" x14ac:dyDescent="0.35">
      <c r="A52" s="252" t="s">
        <v>21</v>
      </c>
      <c r="B52" s="259">
        <v>19979.964728848212</v>
      </c>
      <c r="C52" s="215" t="s">
        <v>104</v>
      </c>
      <c r="D52" s="214">
        <f t="shared" si="10"/>
        <v>34093.82735164254</v>
      </c>
      <c r="E52" s="273">
        <f t="shared" si="10"/>
        <v>3.23</v>
      </c>
      <c r="F52" s="289">
        <f t="shared" ref="F52:O52" si="22">+F12/$D12</f>
        <v>0.37227951281688604</v>
      </c>
      <c r="G52" s="290">
        <f t="shared" si="22"/>
        <v>1.7981100469055596E-2</v>
      </c>
      <c r="H52" s="290">
        <f t="shared" si="22"/>
        <v>6.8127150845490141E-3</v>
      </c>
      <c r="I52" s="290">
        <f t="shared" si="22"/>
        <v>7.4455902563377212E-3</v>
      </c>
      <c r="J52" s="290">
        <f t="shared" si="22"/>
        <v>3.7227951281688606E-3</v>
      </c>
      <c r="K52" s="289">
        <f t="shared" si="22"/>
        <v>0</v>
      </c>
      <c r="L52" s="291">
        <f t="shared" si="22"/>
        <v>4.7167814273899461E-2</v>
      </c>
      <c r="M52" s="290">
        <f t="shared" si="22"/>
        <v>1.3662658120379719E-2</v>
      </c>
      <c r="N52" s="290">
        <f t="shared" si="22"/>
        <v>1.4891180512675442E-2</v>
      </c>
      <c r="O52" s="290">
        <f t="shared" si="22"/>
        <v>1.1168385384506581E-2</v>
      </c>
      <c r="P52" s="289">
        <f t="shared" si="21"/>
        <v>7.4455902563377212E-3</v>
      </c>
      <c r="Q52" s="291">
        <f t="shared" si="19"/>
        <v>6.1196632243871674E-2</v>
      </c>
      <c r="R52" s="290">
        <f t="shared" si="19"/>
        <v>1.5299158060967918E-2</v>
      </c>
      <c r="S52" s="290">
        <f t="shared" si="19"/>
        <v>3.1023292734740505E-2</v>
      </c>
      <c r="T52" s="289">
        <f t="shared" si="19"/>
        <v>0</v>
      </c>
      <c r="U52" s="290">
        <f t="shared" si="14"/>
        <v>6.2046585469481014E-3</v>
      </c>
      <c r="V52" s="289">
        <f t="shared" si="12"/>
        <v>0</v>
      </c>
    </row>
    <row r="53" spans="1:22" x14ac:dyDescent="0.35">
      <c r="A53" s="252" t="s">
        <v>27</v>
      </c>
      <c r="B53" s="259">
        <v>10693.780244123003</v>
      </c>
      <c r="C53" s="215" t="s">
        <v>105</v>
      </c>
      <c r="D53" s="214">
        <f t="shared" si="10"/>
        <v>11887.30867229441</v>
      </c>
      <c r="E53" s="273">
        <f t="shared" si="10"/>
        <v>10.058</v>
      </c>
      <c r="F53" s="289">
        <f t="shared" ref="F53:O53" si="23">+F13/$D13</f>
        <v>0.6794861733434453</v>
      </c>
      <c r="G53" s="290">
        <f t="shared" si="23"/>
        <v>3.3974308667172264E-2</v>
      </c>
      <c r="H53" s="290">
        <f t="shared" si="23"/>
        <v>6.7948617334344531E-3</v>
      </c>
      <c r="I53" s="290">
        <f t="shared" si="23"/>
        <v>1.6987154333586132E-2</v>
      </c>
      <c r="J53" s="290">
        <f t="shared" si="23"/>
        <v>0</v>
      </c>
      <c r="K53" s="289">
        <f t="shared" si="23"/>
        <v>1.019229260015168E-2</v>
      </c>
      <c r="L53" s="291">
        <f t="shared" si="23"/>
        <v>1.6987154333586132E-2</v>
      </c>
      <c r="M53" s="290">
        <f t="shared" si="23"/>
        <v>0</v>
      </c>
      <c r="N53" s="290">
        <f t="shared" si="23"/>
        <v>0</v>
      </c>
      <c r="O53" s="290">
        <f t="shared" si="23"/>
        <v>0</v>
      </c>
      <c r="P53" s="289">
        <f t="shared" si="21"/>
        <v>1.6987154333586132E-2</v>
      </c>
      <c r="Q53" s="291">
        <f t="shared" si="19"/>
        <v>0.11169635726193622</v>
      </c>
      <c r="R53" s="290">
        <f t="shared" si="19"/>
        <v>3.7232119087312068E-2</v>
      </c>
      <c r="S53" s="290">
        <f t="shared" si="19"/>
        <v>0.27924089315484057</v>
      </c>
      <c r="T53" s="289">
        <f t="shared" si="19"/>
        <v>5.5848178630968109E-2</v>
      </c>
      <c r="U53" s="290">
        <f t="shared" si="14"/>
        <v>5.5848178630968116E-2</v>
      </c>
      <c r="V53" s="289">
        <f t="shared" si="12"/>
        <v>1.1169635726193622E-2</v>
      </c>
    </row>
    <row r="54" spans="1:22" x14ac:dyDescent="0.35">
      <c r="A54" s="252" t="s">
        <v>29</v>
      </c>
      <c r="B54" s="259">
        <v>10736.073879159158</v>
      </c>
      <c r="C54" s="215" t="s">
        <v>106</v>
      </c>
      <c r="D54" s="214">
        <f t="shared" si="10"/>
        <v>21078.640412240045</v>
      </c>
      <c r="E54" s="273">
        <f t="shared" si="10"/>
        <v>56.567</v>
      </c>
      <c r="F54" s="289">
        <f t="shared" ref="F54:O54" si="24">+F14/$D14</f>
        <v>0.21637842937200005</v>
      </c>
      <c r="G54" s="290">
        <f t="shared" si="24"/>
        <v>1.4483831116088251E-2</v>
      </c>
      <c r="H54" s="290">
        <f t="shared" si="24"/>
        <v>5.4094607343000006E-3</v>
      </c>
      <c r="I54" s="290">
        <f t="shared" si="24"/>
        <v>0</v>
      </c>
      <c r="J54" s="290">
        <f t="shared" si="24"/>
        <v>0</v>
      </c>
      <c r="K54" s="289">
        <f t="shared" si="24"/>
        <v>9.0743703817882503E-3</v>
      </c>
      <c r="L54" s="291">
        <f t="shared" si="24"/>
        <v>2.5803127702611003E-2</v>
      </c>
      <c r="M54" s="290">
        <f t="shared" si="24"/>
        <v>5.4094607343000006E-3</v>
      </c>
      <c r="N54" s="290">
        <f t="shared" si="24"/>
        <v>0</v>
      </c>
      <c r="O54" s="290">
        <f t="shared" si="24"/>
        <v>0</v>
      </c>
      <c r="P54" s="289">
        <f t="shared" si="21"/>
        <v>2.0393666968311002E-2</v>
      </c>
      <c r="Q54" s="291">
        <f t="shared" si="19"/>
        <v>0</v>
      </c>
      <c r="R54" s="290">
        <f t="shared" si="19"/>
        <v>8.2994466060493152E-3</v>
      </c>
      <c r="S54" s="290">
        <f t="shared" si="19"/>
        <v>4.1497233030246584E-2</v>
      </c>
      <c r="T54" s="289">
        <f t="shared" si="19"/>
        <v>1.659889321209863E-2</v>
      </c>
      <c r="U54" s="290">
        <f t="shared" si="14"/>
        <v>8.2994466060493169E-3</v>
      </c>
      <c r="V54" s="289">
        <f t="shared" si="12"/>
        <v>3.3197786424197261E-3</v>
      </c>
    </row>
    <row r="55" spans="1:22" x14ac:dyDescent="0.35">
      <c r="A55" s="252" t="s">
        <v>24</v>
      </c>
      <c r="B55" s="259">
        <v>37458.690249815249</v>
      </c>
      <c r="C55" s="215" t="s">
        <v>121</v>
      </c>
      <c r="D55" s="214">
        <f t="shared" si="10"/>
        <v>27559.248001674965</v>
      </c>
      <c r="E55" s="273">
        <f t="shared" si="10"/>
        <v>9.66</v>
      </c>
      <c r="F55" s="289">
        <f t="shared" ref="F55:O55" si="25">+F15/$D15</f>
        <v>0.36960538658416342</v>
      </c>
      <c r="G55" s="290">
        <f t="shared" si="25"/>
        <v>1.1642569677401148E-2</v>
      </c>
      <c r="H55" s="290">
        <f t="shared" si="25"/>
        <v>6.4680942652228599E-3</v>
      </c>
      <c r="I55" s="290">
        <f t="shared" si="25"/>
        <v>5.1744754121782885E-3</v>
      </c>
      <c r="J55" s="290">
        <f t="shared" si="25"/>
        <v>0</v>
      </c>
      <c r="K55" s="289">
        <f t="shared" si="25"/>
        <v>0</v>
      </c>
      <c r="L55" s="291">
        <f t="shared" si="25"/>
        <v>0.14056092851795735</v>
      </c>
      <c r="M55" s="290">
        <f t="shared" si="25"/>
        <v>2.5502771674307277E-2</v>
      </c>
      <c r="N55" s="290">
        <f t="shared" si="25"/>
        <v>8.5563646994233827E-2</v>
      </c>
      <c r="O55" s="290">
        <f t="shared" si="25"/>
        <v>7.318186654366436E-3</v>
      </c>
      <c r="P55" s="289">
        <f t="shared" si="21"/>
        <v>2.2176323195049804E-2</v>
      </c>
      <c r="Q55" s="291">
        <f t="shared" si="19"/>
        <v>1.5189262462362879E-2</v>
      </c>
      <c r="R55" s="290">
        <f t="shared" si="19"/>
        <v>1.4176644964872019E-2</v>
      </c>
      <c r="S55" s="290">
        <f t="shared" si="19"/>
        <v>3.9030328823287656E-2</v>
      </c>
      <c r="T55" s="289">
        <f t="shared" si="19"/>
        <v>0</v>
      </c>
      <c r="U55" s="290">
        <f t="shared" si="14"/>
        <v>7.8060657646575309E-3</v>
      </c>
      <c r="V55" s="289">
        <f t="shared" si="12"/>
        <v>0</v>
      </c>
    </row>
    <row r="56" spans="1:22" x14ac:dyDescent="0.35">
      <c r="A56" s="252" t="s">
        <v>23</v>
      </c>
      <c r="B56" s="259">
        <v>7815.5391888279892</v>
      </c>
      <c r="C56" s="215" t="s">
        <v>108</v>
      </c>
      <c r="D56" s="214">
        <f t="shared" si="10"/>
        <v>11153.537145024622</v>
      </c>
      <c r="E56" s="273">
        <f t="shared" si="10"/>
        <v>9.3789999999999996</v>
      </c>
      <c r="F56" s="289">
        <f t="shared" ref="F56:O56" si="26">+F16/$D16</f>
        <v>0.43611853942482925</v>
      </c>
      <c r="G56" s="290">
        <f t="shared" si="26"/>
        <v>2.7257408714051828E-2</v>
      </c>
      <c r="H56" s="290">
        <f t="shared" si="26"/>
        <v>1.7444741576993172E-2</v>
      </c>
      <c r="I56" s="290">
        <f t="shared" si="26"/>
        <v>9.812667137058655E-3</v>
      </c>
      <c r="J56" s="290">
        <f t="shared" si="26"/>
        <v>0</v>
      </c>
      <c r="K56" s="289">
        <f t="shared" si="26"/>
        <v>0</v>
      </c>
      <c r="L56" s="291">
        <f t="shared" si="26"/>
        <v>7.9218244284564865E-2</v>
      </c>
      <c r="M56" s="290">
        <f t="shared" si="26"/>
        <v>3.0528297759738046E-2</v>
      </c>
      <c r="N56" s="290">
        <f t="shared" si="26"/>
        <v>2.6167112365489749E-2</v>
      </c>
      <c r="O56" s="290">
        <f t="shared" si="26"/>
        <v>6.5417780913724372E-3</v>
      </c>
      <c r="P56" s="289">
        <f t="shared" si="21"/>
        <v>1.5981056067964631E-2</v>
      </c>
      <c r="Q56" s="291">
        <f t="shared" si="19"/>
        <v>3.584535940478048E-2</v>
      </c>
      <c r="R56" s="290">
        <f t="shared" si="19"/>
        <v>3.584535940478048E-2</v>
      </c>
      <c r="S56" s="290">
        <f t="shared" si="19"/>
        <v>0.15532989075404877</v>
      </c>
      <c r="T56" s="289">
        <f t="shared" si="19"/>
        <v>0</v>
      </c>
      <c r="U56" s="290">
        <f t="shared" si="14"/>
        <v>3.1065978150809755E-2</v>
      </c>
      <c r="V56" s="289">
        <f t="shared" si="12"/>
        <v>0</v>
      </c>
    </row>
    <row r="57" spans="1:22" x14ac:dyDescent="0.35">
      <c r="A57" s="252" t="s">
        <v>19</v>
      </c>
      <c r="B57" s="259">
        <v>44505.392140124968</v>
      </c>
      <c r="C57" s="215" t="s">
        <v>122</v>
      </c>
      <c r="D57" s="214">
        <f t="shared" si="10"/>
        <v>84650.917704052175</v>
      </c>
      <c r="E57" s="273">
        <f t="shared" si="10"/>
        <v>0.47</v>
      </c>
      <c r="F57" s="289">
        <f t="shared" ref="F57:O57" si="27">+F17/$D17</f>
        <v>0.17403438276087041</v>
      </c>
      <c r="G57" s="290">
        <f t="shared" si="27"/>
        <v>3.2196360810761021E-2</v>
      </c>
      <c r="H57" s="290">
        <f t="shared" si="27"/>
        <v>1.6098180405380511E-2</v>
      </c>
      <c r="I57" s="290">
        <f t="shared" si="27"/>
        <v>1.3922750620869631E-2</v>
      </c>
      <c r="J57" s="290">
        <f t="shared" si="27"/>
        <v>0</v>
      </c>
      <c r="K57" s="289">
        <f t="shared" si="27"/>
        <v>2.1754297845108803E-3</v>
      </c>
      <c r="L57" s="291">
        <f t="shared" si="27"/>
        <v>2.4660672037215337E-2</v>
      </c>
      <c r="M57" s="290">
        <f t="shared" si="27"/>
        <v>7.3964612673369928E-3</v>
      </c>
      <c r="N57" s="290">
        <f t="shared" si="27"/>
        <v>1.3922750620869631E-2</v>
      </c>
      <c r="O57" s="290">
        <f t="shared" si="27"/>
        <v>7.3094440759565566E-4</v>
      </c>
      <c r="P57" s="289">
        <f t="shared" si="21"/>
        <v>2.6105157414130563E-3</v>
      </c>
      <c r="Q57" s="291">
        <f t="shared" si="19"/>
        <v>2.8608391686718422E-2</v>
      </c>
      <c r="R57" s="290">
        <f t="shared" si="19"/>
        <v>1.4304195843359211E-2</v>
      </c>
      <c r="S57" s="290">
        <f t="shared" si="19"/>
        <v>1.1505606415857543E-2</v>
      </c>
      <c r="T57" s="289">
        <f t="shared" si="19"/>
        <v>0</v>
      </c>
      <c r="U57" s="290">
        <f t="shared" si="14"/>
        <v>2.3011212831715085E-3</v>
      </c>
      <c r="V57" s="289">
        <f t="shared" si="12"/>
        <v>0</v>
      </c>
    </row>
    <row r="58" spans="1:22" x14ac:dyDescent="0.35">
      <c r="A58" s="252" t="s">
        <v>16</v>
      </c>
      <c r="B58" s="259">
        <v>21826.106529230707</v>
      </c>
      <c r="C58" s="215" t="s">
        <v>110</v>
      </c>
      <c r="D58" s="214">
        <f t="shared" si="10"/>
        <v>22374.300986377995</v>
      </c>
      <c r="E58" s="273">
        <f t="shared" si="10"/>
        <v>1.5229999999999999</v>
      </c>
      <c r="F58" s="289">
        <f t="shared" ref="F58:O58" si="28">+F18/$D18</f>
        <v>0.26411503835122818</v>
      </c>
      <c r="G58" s="290">
        <f t="shared" si="28"/>
        <v>3.4334954985659666E-2</v>
      </c>
      <c r="H58" s="290">
        <f t="shared" si="28"/>
        <v>3.4334954985659666E-2</v>
      </c>
      <c r="I58" s="290">
        <f t="shared" si="28"/>
        <v>0</v>
      </c>
      <c r="J58" s="290">
        <f t="shared" si="28"/>
        <v>0</v>
      </c>
      <c r="K58" s="289">
        <f t="shared" si="28"/>
        <v>0</v>
      </c>
      <c r="L58" s="291">
        <f t="shared" si="28"/>
        <v>4.744386472249229E-2</v>
      </c>
      <c r="M58" s="290">
        <f t="shared" si="28"/>
        <v>0</v>
      </c>
      <c r="N58" s="290">
        <f t="shared" si="28"/>
        <v>2.3770353451610535E-2</v>
      </c>
      <c r="O58" s="290">
        <f t="shared" si="28"/>
        <v>2.3673511270881752E-2</v>
      </c>
      <c r="P58" s="289">
        <f t="shared" si="21"/>
        <v>0</v>
      </c>
      <c r="Q58" s="291">
        <f t="shared" si="19"/>
        <v>4.3416170687873124E-2</v>
      </c>
      <c r="R58" s="290">
        <f t="shared" si="19"/>
        <v>2.1708085343936562E-2</v>
      </c>
      <c r="S58" s="290">
        <f t="shared" si="19"/>
        <v>0.1628106400795242</v>
      </c>
      <c r="T58" s="289">
        <f t="shared" si="19"/>
        <v>0</v>
      </c>
      <c r="U58" s="290">
        <f t="shared" si="14"/>
        <v>3.2562128015904843E-2</v>
      </c>
      <c r="V58" s="289">
        <f t="shared" si="12"/>
        <v>0</v>
      </c>
    </row>
    <row r="59" spans="1:22" x14ac:dyDescent="0.35">
      <c r="A59" s="252" t="s">
        <v>20</v>
      </c>
      <c r="B59" s="259">
        <v>16776.197453748606</v>
      </c>
      <c r="C59" s="215" t="s">
        <v>111</v>
      </c>
      <c r="D59" s="214">
        <f t="shared" si="10"/>
        <v>34549.355883606142</v>
      </c>
      <c r="E59" s="273">
        <f t="shared" si="10"/>
        <v>2612.62</v>
      </c>
      <c r="F59" s="289">
        <f t="shared" ref="F59:O59" si="29">+F19/$D19</f>
        <v>0.34769080056145668</v>
      </c>
      <c r="G59" s="290">
        <f t="shared" si="29"/>
        <v>8.6632957806562966E-2</v>
      </c>
      <c r="H59" s="290">
        <f t="shared" si="29"/>
        <v>3.3899853054742031E-2</v>
      </c>
      <c r="I59" s="290">
        <f t="shared" si="29"/>
        <v>5.2733104751820942E-2</v>
      </c>
      <c r="J59" s="290">
        <f t="shared" si="29"/>
        <v>0</v>
      </c>
      <c r="K59" s="289">
        <f t="shared" si="29"/>
        <v>0</v>
      </c>
      <c r="L59" s="291">
        <f t="shared" si="29"/>
        <v>5.375022190868179E-2</v>
      </c>
      <c r="M59" s="290">
        <f t="shared" si="29"/>
        <v>5.2733104751820942E-2</v>
      </c>
      <c r="N59" s="290">
        <f t="shared" si="29"/>
        <v>0</v>
      </c>
      <c r="O59" s="290">
        <f t="shared" si="29"/>
        <v>0</v>
      </c>
      <c r="P59" s="289">
        <f t="shared" si="21"/>
        <v>1.0171171568608469E-3</v>
      </c>
      <c r="Q59" s="291">
        <f t="shared" si="19"/>
        <v>2.8577326073544383E-2</v>
      </c>
      <c r="R59" s="290">
        <f t="shared" si="19"/>
        <v>1.1430930429417755E-2</v>
      </c>
      <c r="S59" s="290">
        <f t="shared" si="19"/>
        <v>1.4487116690060696E-2</v>
      </c>
      <c r="T59" s="289">
        <f t="shared" si="19"/>
        <v>8.6922700140364181E-3</v>
      </c>
      <c r="U59" s="290">
        <f t="shared" si="14"/>
        <v>2.8974233380121392E-3</v>
      </c>
      <c r="V59" s="289">
        <f t="shared" si="12"/>
        <v>1.7384540028072837E-3</v>
      </c>
    </row>
    <row r="60" spans="1:22" x14ac:dyDescent="0.35">
      <c r="A60" s="252" t="s">
        <v>26</v>
      </c>
      <c r="B60" s="259">
        <v>31213.361806195611</v>
      </c>
      <c r="C60" s="215" t="s">
        <v>112</v>
      </c>
      <c r="D60" s="214">
        <f t="shared" si="10"/>
        <v>54741.052127394905</v>
      </c>
      <c r="E60" s="273">
        <f t="shared" si="10"/>
        <v>23.5</v>
      </c>
      <c r="F60" s="289">
        <f t="shared" ref="F60:O60" si="30">+F20/$D20</f>
        <v>0.17445773562727609</v>
      </c>
      <c r="G60" s="290">
        <f t="shared" si="30"/>
        <v>1.2114635924850764E-2</v>
      </c>
      <c r="H60" s="290">
        <f t="shared" si="30"/>
        <v>5.4241817635447267E-3</v>
      </c>
      <c r="I60" s="290">
        <f t="shared" si="30"/>
        <v>5.7454747599916265E-3</v>
      </c>
      <c r="J60" s="290">
        <f t="shared" si="30"/>
        <v>0</v>
      </c>
      <c r="K60" s="289">
        <f t="shared" si="30"/>
        <v>9.4497940131441224E-4</v>
      </c>
      <c r="L60" s="291">
        <f t="shared" si="30"/>
        <v>1.4838257848676255E-2</v>
      </c>
      <c r="M60" s="290">
        <f t="shared" si="30"/>
        <v>1.3735825979514834E-2</v>
      </c>
      <c r="N60" s="290">
        <f t="shared" si="30"/>
        <v>8.6013915066440413E-4</v>
      </c>
      <c r="O60" s="290">
        <f t="shared" si="30"/>
        <v>1.2114635924850763E-4</v>
      </c>
      <c r="P60" s="289">
        <f t="shared" si="21"/>
        <v>1.2114635924850763E-4</v>
      </c>
      <c r="Q60" s="291">
        <f t="shared" si="19"/>
        <v>1.4338991969365158E-2</v>
      </c>
      <c r="R60" s="290">
        <f t="shared" si="19"/>
        <v>8.6033951816190946E-3</v>
      </c>
      <c r="S60" s="290">
        <f t="shared" si="19"/>
        <v>1.1145910887298197E-2</v>
      </c>
      <c r="T60" s="289">
        <f t="shared" si="19"/>
        <v>2.7137869986465168E-3</v>
      </c>
      <c r="U60" s="290">
        <f t="shared" si="14"/>
        <v>2.2291821774596396E-3</v>
      </c>
      <c r="V60" s="289">
        <f t="shared" si="12"/>
        <v>5.4275739972930331E-4</v>
      </c>
    </row>
    <row r="61" spans="1:22" x14ac:dyDescent="0.35">
      <c r="A61" s="252" t="s">
        <v>25</v>
      </c>
      <c r="B61" s="259">
        <v>18175.594687753855</v>
      </c>
      <c r="C61" s="215" t="s">
        <v>113</v>
      </c>
      <c r="D61" s="214">
        <f t="shared" si="10"/>
        <v>27559.248001674965</v>
      </c>
      <c r="E61" s="273">
        <f t="shared" si="10"/>
        <v>0.43</v>
      </c>
      <c r="F61" s="289">
        <f t="shared" ref="F61:O61" si="31">+F21/$D21</f>
        <v>0.36960538658416342</v>
      </c>
      <c r="G61" s="290">
        <f t="shared" si="31"/>
        <v>3.4188498259035117E-2</v>
      </c>
      <c r="H61" s="290">
        <f t="shared" si="31"/>
        <v>2.3100336661510214E-2</v>
      </c>
      <c r="I61" s="290">
        <f t="shared" si="31"/>
        <v>1.1088161597524902E-2</v>
      </c>
      <c r="J61" s="290">
        <f t="shared" si="31"/>
        <v>0</v>
      </c>
      <c r="K61" s="289">
        <f t="shared" si="31"/>
        <v>0</v>
      </c>
      <c r="L61" s="291">
        <f t="shared" si="31"/>
        <v>2.8205511063703972E-2</v>
      </c>
      <c r="M61" s="290">
        <f t="shared" si="31"/>
        <v>2.494836359443103E-2</v>
      </c>
      <c r="N61" s="290">
        <f t="shared" si="31"/>
        <v>2.5641373694276336E-3</v>
      </c>
      <c r="O61" s="290">
        <f t="shared" si="31"/>
        <v>6.9301009984530637E-4</v>
      </c>
      <c r="P61" s="289">
        <f t="shared" si="21"/>
        <v>0</v>
      </c>
      <c r="Q61" s="291">
        <f t="shared" si="19"/>
        <v>1.5189262462362879E-2</v>
      </c>
      <c r="R61" s="290">
        <f t="shared" si="19"/>
        <v>2.4302819939780607E-2</v>
      </c>
      <c r="S61" s="290">
        <f t="shared" si="19"/>
        <v>3.0800448882013616E-2</v>
      </c>
      <c r="T61" s="289">
        <f t="shared" si="19"/>
        <v>0</v>
      </c>
      <c r="U61" s="290">
        <f t="shared" si="14"/>
        <v>6.160089776402723E-3</v>
      </c>
      <c r="V61" s="289">
        <f t="shared" si="12"/>
        <v>0</v>
      </c>
    </row>
    <row r="62" spans="1:22" x14ac:dyDescent="0.35">
      <c r="A62" s="252" t="s">
        <v>14</v>
      </c>
      <c r="B62" s="259">
        <v>41239.769273725957</v>
      </c>
      <c r="C62" s="215" t="s">
        <v>114</v>
      </c>
      <c r="D62" s="214">
        <f t="shared" si="10"/>
        <v>65677.821889841638</v>
      </c>
      <c r="E62" s="273">
        <f t="shared" si="10"/>
        <v>25.72</v>
      </c>
      <c r="F62" s="289">
        <f t="shared" ref="F62:O62" si="32">+F22/$D22</f>
        <v>0.14994018775599496</v>
      </c>
      <c r="G62" s="290">
        <f t="shared" si="32"/>
        <v>2.7139173983835085E-2</v>
      </c>
      <c r="H62" s="290">
        <f t="shared" si="32"/>
        <v>2.2491028163399242E-2</v>
      </c>
      <c r="I62" s="290">
        <f t="shared" si="32"/>
        <v>4.4982056326798485E-3</v>
      </c>
      <c r="J62" s="290">
        <f t="shared" si="32"/>
        <v>0</v>
      </c>
      <c r="K62" s="289">
        <f t="shared" si="32"/>
        <v>1.4994018775599496E-4</v>
      </c>
      <c r="L62" s="291">
        <f t="shared" si="32"/>
        <v>1.7188993184159503E-2</v>
      </c>
      <c r="M62" s="290">
        <f t="shared" si="32"/>
        <v>1.1245514081699621E-2</v>
      </c>
      <c r="N62" s="290">
        <f t="shared" si="32"/>
        <v>1.3569586991917543E-3</v>
      </c>
      <c r="O62" s="290">
        <f t="shared" si="32"/>
        <v>1.8726030048846212E-3</v>
      </c>
      <c r="P62" s="289">
        <f t="shared" si="21"/>
        <v>2.7139173983835086E-3</v>
      </c>
      <c r="Q62" s="291">
        <f t="shared" si="19"/>
        <v>1.2323851048437941E-2</v>
      </c>
      <c r="R62" s="290">
        <f t="shared" si="19"/>
        <v>8.626695733906559E-3</v>
      </c>
      <c r="S62" s="290">
        <f t="shared" si="19"/>
        <v>1.491071867129061E-2</v>
      </c>
      <c r="T62" s="289">
        <f t="shared" si="19"/>
        <v>0</v>
      </c>
      <c r="U62" s="290">
        <f t="shared" si="14"/>
        <v>2.9821437342581218E-3</v>
      </c>
      <c r="V62" s="289">
        <f t="shared" si="12"/>
        <v>0</v>
      </c>
    </row>
    <row r="63" spans="1:22" x14ac:dyDescent="0.35">
      <c r="A63" s="252" t="s">
        <v>22</v>
      </c>
      <c r="B63" s="259">
        <v>43536.677048628313</v>
      </c>
      <c r="C63" s="215" t="s">
        <v>115</v>
      </c>
      <c r="D63" s="214">
        <f t="shared" si="10"/>
        <v>43705.439247906645</v>
      </c>
      <c r="E63" s="273">
        <f t="shared" si="10"/>
        <v>3.9550000000000001</v>
      </c>
      <c r="F63" s="289">
        <f t="shared" ref="F63:O63" si="33">+F23/$D23</f>
        <v>0.18819818749349776</v>
      </c>
      <c r="G63" s="290">
        <f t="shared" si="33"/>
        <v>1.1291891249609869E-2</v>
      </c>
      <c r="H63" s="290">
        <f t="shared" si="33"/>
        <v>7.527927499739912E-3</v>
      </c>
      <c r="I63" s="290">
        <f t="shared" si="33"/>
        <v>0</v>
      </c>
      <c r="J63" s="290">
        <f t="shared" si="33"/>
        <v>9.40990937467489E-4</v>
      </c>
      <c r="K63" s="289">
        <f t="shared" si="33"/>
        <v>2.8229728124024673E-3</v>
      </c>
      <c r="L63" s="291">
        <f t="shared" si="33"/>
        <v>2.9645919484913241E-2</v>
      </c>
      <c r="M63" s="290">
        <f t="shared" si="33"/>
        <v>1.6937836874414802E-2</v>
      </c>
      <c r="N63" s="290">
        <f t="shared" si="33"/>
        <v>0</v>
      </c>
      <c r="O63" s="290">
        <f t="shared" si="33"/>
        <v>5.180155110758527E-3</v>
      </c>
      <c r="P63" s="290">
        <f t="shared" si="21"/>
        <v>7.527927499739912E-3</v>
      </c>
      <c r="Q63" s="291">
        <f t="shared" si="19"/>
        <v>1.5468344177547761E-2</v>
      </c>
      <c r="R63" s="290">
        <f t="shared" si="19"/>
        <v>9.7966179791135824E-3</v>
      </c>
      <c r="S63" s="290">
        <f t="shared" si="19"/>
        <v>7.7341720887738802E-2</v>
      </c>
      <c r="T63" s="290">
        <f t="shared" si="19"/>
        <v>0</v>
      </c>
      <c r="U63" s="291">
        <f t="shared" si="14"/>
        <v>1.546834417754776E-2</v>
      </c>
      <c r="V63" s="289">
        <f t="shared" si="12"/>
        <v>0</v>
      </c>
    </row>
    <row r="64" spans="1:22" ht="28" x14ac:dyDescent="0.35">
      <c r="A64" s="278" t="s">
        <v>31</v>
      </c>
      <c r="B64" s="279"/>
      <c r="C64" s="280" t="s">
        <v>116</v>
      </c>
      <c r="D64" s="283">
        <f t="shared" si="10"/>
        <v>69279.42526894639</v>
      </c>
      <c r="E64" s="282">
        <f t="shared" si="10"/>
        <v>3.839</v>
      </c>
      <c r="F64" s="292">
        <f t="shared" ref="F64:O64" si="34">+F24/$D24</f>
        <v>9.775784691580669E-2</v>
      </c>
      <c r="G64" s="293">
        <f t="shared" si="34"/>
        <v>5.4646552354316964E-3</v>
      </c>
      <c r="H64" s="293">
        <f t="shared" si="34"/>
        <v>3.8516532428624121E-3</v>
      </c>
      <c r="I64" s="293">
        <f t="shared" si="34"/>
        <v>1.6130019925692839E-3</v>
      </c>
      <c r="J64" s="293">
        <f t="shared" si="34"/>
        <v>0</v>
      </c>
      <c r="K64" s="292">
        <f t="shared" si="34"/>
        <v>0</v>
      </c>
      <c r="L64" s="294">
        <f t="shared" si="34"/>
        <v>7.7033064857248241E-3</v>
      </c>
      <c r="M64" s="293">
        <f t="shared" si="34"/>
        <v>7.7033064857248241E-3</v>
      </c>
      <c r="N64" s="293">
        <f t="shared" si="34"/>
        <v>0</v>
      </c>
      <c r="O64" s="293">
        <f t="shared" si="34"/>
        <v>0</v>
      </c>
      <c r="P64" s="292">
        <f t="shared" si="21"/>
        <v>0</v>
      </c>
      <c r="Q64" s="294">
        <f t="shared" si="19"/>
        <v>0</v>
      </c>
      <c r="R64" s="293">
        <f t="shared" si="19"/>
        <v>3.749616046085738E-3</v>
      </c>
      <c r="S64" s="293">
        <f t="shared" si="19"/>
        <v>2.222986655893687E-2</v>
      </c>
      <c r="T64" s="292">
        <f t="shared" si="19"/>
        <v>0</v>
      </c>
      <c r="U64" s="293">
        <f t="shared" si="14"/>
        <v>4.4459733117873743E-3</v>
      </c>
      <c r="V64" s="292">
        <f t="shared" si="12"/>
        <v>0</v>
      </c>
    </row>
    <row r="66" spans="1:17" x14ac:dyDescent="0.35">
      <c r="A66" s="333" t="s">
        <v>156</v>
      </c>
    </row>
    <row r="67" spans="1:17" x14ac:dyDescent="0.35">
      <c r="A67" s="285"/>
      <c r="B67" s="285"/>
      <c r="C67" s="285"/>
      <c r="D67" s="922" t="s">
        <v>118</v>
      </c>
      <c r="E67" s="922" t="s">
        <v>123</v>
      </c>
      <c r="F67" s="922" t="s">
        <v>157</v>
      </c>
      <c r="G67" s="922" t="s">
        <v>158</v>
      </c>
      <c r="H67" s="922" t="s">
        <v>159</v>
      </c>
      <c r="I67" s="922" t="s">
        <v>160</v>
      </c>
      <c r="J67" s="922" t="s">
        <v>161</v>
      </c>
      <c r="K67" s="922" t="s">
        <v>131</v>
      </c>
      <c r="L67" s="922" t="s">
        <v>5</v>
      </c>
      <c r="M67" s="922" t="s">
        <v>4</v>
      </c>
      <c r="N67" s="922" t="s">
        <v>162</v>
      </c>
      <c r="O67" s="922" t="s">
        <v>48</v>
      </c>
      <c r="P67" s="922" t="s">
        <v>163</v>
      </c>
      <c r="Q67" s="919" t="s">
        <v>46</v>
      </c>
    </row>
    <row r="68" spans="1:17" ht="26.25" customHeight="1" x14ac:dyDescent="0.35">
      <c r="A68" s="261"/>
      <c r="B68" s="261"/>
      <c r="C68" s="256"/>
      <c r="D68" s="921"/>
      <c r="E68" s="921"/>
      <c r="F68" s="921"/>
      <c r="G68" s="921"/>
      <c r="H68" s="921"/>
      <c r="I68" s="921"/>
      <c r="J68" s="921"/>
      <c r="K68" s="921"/>
      <c r="L68" s="923"/>
      <c r="M68" s="923"/>
      <c r="N68" s="923"/>
      <c r="O68" s="923"/>
      <c r="P68" s="923"/>
      <c r="Q68" s="920"/>
    </row>
    <row r="69" spans="1:17" x14ac:dyDescent="0.35">
      <c r="A69" s="253" t="s">
        <v>11</v>
      </c>
      <c r="B69" s="295">
        <f>+RANK(E69,$E$69:$E$89,0)</f>
        <v>11</v>
      </c>
      <c r="C69" s="296" t="s">
        <v>97</v>
      </c>
      <c r="D69" s="270">
        <f>+D45</f>
        <v>62532.223134572581</v>
      </c>
      <c r="E69" s="297">
        <f>+F69+H69+I69+K69</f>
        <v>0.31385918584371086</v>
      </c>
      <c r="F69" s="298">
        <f t="shared" ref="F69:G84" si="35">+F45</f>
        <v>0.21608608055643311</v>
      </c>
      <c r="G69" s="298">
        <f t="shared" si="35"/>
        <v>3.277305555105902E-2</v>
      </c>
      <c r="H69" s="298">
        <f t="shared" ref="H69:H88" si="36">+L45</f>
        <v>4.6514329557110198E-2</v>
      </c>
      <c r="I69" s="298">
        <f t="shared" ref="I69:I88" si="37">+Q45+R45</f>
        <v>2.6048732998583714E-2</v>
      </c>
      <c r="J69" s="299">
        <f t="shared" ref="J69:J88" si="38">+S45+T45</f>
        <v>0.1260502136579193</v>
      </c>
      <c r="K69" s="298">
        <f t="shared" ref="K69:K88" si="39">+U45+V45</f>
        <v>2.5210042731583865E-2</v>
      </c>
      <c r="L69" s="300">
        <f>+Q45</f>
        <v>1.7760499771761622E-2</v>
      </c>
      <c r="M69" s="300">
        <f>+R45</f>
        <v>8.2882332268220896E-3</v>
      </c>
      <c r="N69" s="301">
        <f>+U45</f>
        <v>1.800717337970276E-2</v>
      </c>
      <c r="O69" s="301">
        <f>+V45</f>
        <v>7.202869351881103E-3</v>
      </c>
      <c r="P69" s="300">
        <f>+S45</f>
        <v>9.0035866898513797E-2</v>
      </c>
      <c r="Q69" s="302">
        <f>+T45</f>
        <v>3.6014346759405513E-2</v>
      </c>
    </row>
    <row r="70" spans="1:17" ht="15" customHeight="1" x14ac:dyDescent="0.35">
      <c r="A70" s="252" t="s">
        <v>13</v>
      </c>
      <c r="B70" s="303">
        <f t="shared" ref="B70:B88" si="40">+RANK(E70,$E$69:$E$89,0)</f>
        <v>2</v>
      </c>
      <c r="C70" s="304" t="s">
        <v>98</v>
      </c>
      <c r="D70" s="272">
        <f>+D46</f>
        <v>21772.027565178294</v>
      </c>
      <c r="E70" s="301">
        <f t="shared" ref="E70:E88" si="41">+F70+H70+I70+K70</f>
        <v>0.7619372344453067</v>
      </c>
      <c r="F70" s="305">
        <f t="shared" si="35"/>
        <v>0.54699745633825969</v>
      </c>
      <c r="G70" s="305">
        <f t="shared" si="35"/>
        <v>0.12422312233441878</v>
      </c>
      <c r="H70" s="305">
        <f t="shared" si="36"/>
        <v>8.046332582735799E-2</v>
      </c>
      <c r="I70" s="305">
        <f t="shared" si="37"/>
        <v>0.1198898534440021</v>
      </c>
      <c r="J70" s="306">
        <f t="shared" si="38"/>
        <v>7.2932994178434629E-2</v>
      </c>
      <c r="K70" s="305">
        <f t="shared" si="39"/>
        <v>1.4586598835686925E-2</v>
      </c>
      <c r="L70" s="300">
        <f t="shared" ref="L70:M85" si="42">+Q46</f>
        <v>8.9917390083001578E-2</v>
      </c>
      <c r="M70" s="300">
        <f t="shared" si="42"/>
        <v>2.9972463361000529E-2</v>
      </c>
      <c r="N70" s="301">
        <f t="shared" ref="N70:O85" si="43">+U46</f>
        <v>9.1166242723043269E-3</v>
      </c>
      <c r="O70" s="301">
        <f t="shared" si="43"/>
        <v>5.4699745633825974E-3</v>
      </c>
      <c r="P70" s="300">
        <f t="shared" ref="P70:Q85" si="44">+S46</f>
        <v>4.5583121361521636E-2</v>
      </c>
      <c r="Q70" s="302">
        <f t="shared" si="44"/>
        <v>2.7349872816912986E-2</v>
      </c>
    </row>
    <row r="71" spans="1:17" x14ac:dyDescent="0.35">
      <c r="A71" s="252" t="s">
        <v>12</v>
      </c>
      <c r="B71" s="303">
        <f t="shared" si="40"/>
        <v>16</v>
      </c>
      <c r="C71" s="304" t="s">
        <v>99</v>
      </c>
      <c r="D71" s="272">
        <f t="shared" ref="D71:D89" si="45">+D47</f>
        <v>31854.20927605778</v>
      </c>
      <c r="E71" s="301">
        <f>+F71+H71+I71+K71</f>
        <v>0.25083075658214327</v>
      </c>
      <c r="F71" s="305">
        <f t="shared" si="35"/>
        <v>0.15517232954099469</v>
      </c>
      <c r="G71" s="305">
        <f t="shared" si="35"/>
        <v>1.3434097571220365E-2</v>
      </c>
      <c r="H71" s="305">
        <f t="shared" si="36"/>
        <v>5.7430767116967062E-2</v>
      </c>
      <c r="I71" s="305">
        <f t="shared" si="37"/>
        <v>2.9759076898272962E-2</v>
      </c>
      <c r="J71" s="306">
        <f t="shared" si="38"/>
        <v>4.234291512954267E-2</v>
      </c>
      <c r="K71" s="305">
        <f t="shared" si="39"/>
        <v>8.468583025908534E-3</v>
      </c>
      <c r="L71" s="300">
        <f t="shared" si="42"/>
        <v>1.275389009925984E-2</v>
      </c>
      <c r="M71" s="300">
        <f t="shared" si="42"/>
        <v>1.7005186799013122E-2</v>
      </c>
      <c r="N71" s="301">
        <f t="shared" si="43"/>
        <v>4.8974937981157785E-3</v>
      </c>
      <c r="O71" s="301">
        <f t="shared" si="43"/>
        <v>3.5710892277927555E-3</v>
      </c>
      <c r="P71" s="300">
        <f t="shared" si="44"/>
        <v>2.4487468990578892E-2</v>
      </c>
      <c r="Q71" s="302">
        <f t="shared" si="44"/>
        <v>1.7855446138963778E-2</v>
      </c>
    </row>
    <row r="72" spans="1:17" x14ac:dyDescent="0.35">
      <c r="A72" s="252" t="s">
        <v>28</v>
      </c>
      <c r="B72" s="303">
        <f t="shared" si="40"/>
        <v>20</v>
      </c>
      <c r="C72" s="304" t="s">
        <v>100</v>
      </c>
      <c r="D72" s="272">
        <f t="shared" si="45"/>
        <v>48876.098568060908</v>
      </c>
      <c r="E72" s="301">
        <f t="shared" si="41"/>
        <v>0.17638182358482352</v>
      </c>
      <c r="F72" s="305">
        <f t="shared" si="35"/>
        <v>0.14874173741316807</v>
      </c>
      <c r="G72" s="305">
        <f t="shared" si="35"/>
        <v>2.837992349843247E-2</v>
      </c>
      <c r="H72" s="305">
        <f t="shared" si="36"/>
        <v>6.856994094747047E-3</v>
      </c>
      <c r="I72" s="305">
        <f t="shared" si="37"/>
        <v>6.1126741402671809E-3</v>
      </c>
      <c r="J72" s="306">
        <f t="shared" si="38"/>
        <v>7.3352089683206168E-2</v>
      </c>
      <c r="K72" s="305">
        <f t="shared" si="39"/>
        <v>1.4670417936641235E-2</v>
      </c>
      <c r="L72" s="300">
        <f t="shared" si="42"/>
        <v>0</v>
      </c>
      <c r="M72" s="300">
        <f t="shared" si="42"/>
        <v>6.1126741402671809E-3</v>
      </c>
      <c r="N72" s="301">
        <f t="shared" si="43"/>
        <v>1.2225348280534362E-2</v>
      </c>
      <c r="O72" s="301">
        <f t="shared" si="43"/>
        <v>2.4450696561068722E-3</v>
      </c>
      <c r="P72" s="300">
        <f t="shared" si="44"/>
        <v>6.1126741402671811E-2</v>
      </c>
      <c r="Q72" s="302">
        <f t="shared" si="44"/>
        <v>1.2225348280534362E-2</v>
      </c>
    </row>
    <row r="73" spans="1:17" x14ac:dyDescent="0.35">
      <c r="A73" s="252" t="s">
        <v>15</v>
      </c>
      <c r="B73" s="303">
        <f t="shared" si="40"/>
        <v>12</v>
      </c>
      <c r="C73" s="304" t="s">
        <v>101</v>
      </c>
      <c r="D73" s="272">
        <f t="shared" si="45"/>
        <v>27978.629828159494</v>
      </c>
      <c r="E73" s="301">
        <f t="shared" si="41"/>
        <v>0.31200797367472943</v>
      </c>
      <c r="F73" s="305">
        <f t="shared" si="35"/>
        <v>0.21508241100555492</v>
      </c>
      <c r="G73" s="305">
        <f t="shared" si="35"/>
        <v>1.7206592880444391E-2</v>
      </c>
      <c r="H73" s="305">
        <f t="shared" si="36"/>
        <v>5.6560781425666271E-2</v>
      </c>
      <c r="I73" s="305">
        <f t="shared" si="37"/>
        <v>2.6517009576027314E-2</v>
      </c>
      <c r="J73" s="306">
        <f t="shared" si="38"/>
        <v>6.923885833740466E-2</v>
      </c>
      <c r="K73" s="305">
        <f t="shared" si="39"/>
        <v>1.3847771667480932E-2</v>
      </c>
      <c r="L73" s="300">
        <f t="shared" si="42"/>
        <v>1.7678006384018209E-2</v>
      </c>
      <c r="M73" s="300">
        <f t="shared" si="42"/>
        <v>8.8390031920091046E-3</v>
      </c>
      <c r="N73" s="301">
        <f t="shared" si="43"/>
        <v>1.2963871348280021E-2</v>
      </c>
      <c r="O73" s="301">
        <f t="shared" si="43"/>
        <v>8.8390031920091046E-4</v>
      </c>
      <c r="P73" s="300">
        <f t="shared" si="44"/>
        <v>6.4819356741400103E-2</v>
      </c>
      <c r="Q73" s="302">
        <f t="shared" si="44"/>
        <v>4.4195015960045523E-3</v>
      </c>
    </row>
    <row r="74" spans="1:17" x14ac:dyDescent="0.35">
      <c r="A74" s="252" t="s">
        <v>18</v>
      </c>
      <c r="B74" s="303">
        <f t="shared" si="40"/>
        <v>13</v>
      </c>
      <c r="C74" s="304" t="s">
        <v>102</v>
      </c>
      <c r="D74" s="272">
        <f t="shared" si="45"/>
        <v>60513.745354111503</v>
      </c>
      <c r="E74" s="301">
        <f t="shared" si="41"/>
        <v>0.30891864455178286</v>
      </c>
      <c r="F74" s="305">
        <f t="shared" si="35"/>
        <v>0.21620750775794639</v>
      </c>
      <c r="G74" s="305">
        <f t="shared" si="35"/>
        <v>3.1643770489606773E-2</v>
      </c>
      <c r="H74" s="305">
        <f t="shared" si="36"/>
        <v>6.3375825711548039E-2</v>
      </c>
      <c r="I74" s="305">
        <f t="shared" si="37"/>
        <v>2.6063370798218199E-2</v>
      </c>
      <c r="J74" s="306">
        <f t="shared" si="38"/>
        <v>1.6359701420351279E-2</v>
      </c>
      <c r="K74" s="305">
        <f t="shared" si="39"/>
        <v>3.2719402840702553E-3</v>
      </c>
      <c r="L74" s="300">
        <f t="shared" si="42"/>
        <v>1.7770480089694226E-2</v>
      </c>
      <c r="M74" s="300">
        <f t="shared" si="42"/>
        <v>8.2928907085239728E-3</v>
      </c>
      <c r="N74" s="301">
        <f t="shared" si="43"/>
        <v>2.5512485915437674E-3</v>
      </c>
      <c r="O74" s="301">
        <f t="shared" si="43"/>
        <v>7.2069169252648795E-4</v>
      </c>
      <c r="P74" s="300">
        <f t="shared" si="44"/>
        <v>1.2756242957718837E-2</v>
      </c>
      <c r="Q74" s="302">
        <f t="shared" si="44"/>
        <v>3.6034584626324397E-3</v>
      </c>
    </row>
    <row r="75" spans="1:17" x14ac:dyDescent="0.35">
      <c r="A75" s="252" t="s">
        <v>17</v>
      </c>
      <c r="B75" s="303">
        <f t="shared" si="40"/>
        <v>3</v>
      </c>
      <c r="C75" s="304" t="s">
        <v>103</v>
      </c>
      <c r="D75" s="272">
        <f t="shared" si="45"/>
        <v>32594.54746685116</v>
      </c>
      <c r="E75" s="301">
        <f t="shared" si="41"/>
        <v>0.70779445806397212</v>
      </c>
      <c r="F75" s="305">
        <f t="shared" si="35"/>
        <v>0.40407775934646073</v>
      </c>
      <c r="G75" s="305">
        <f t="shared" si="35"/>
        <v>2.906666015565541E-2</v>
      </c>
      <c r="H75" s="305">
        <f t="shared" si="36"/>
        <v>0.21349111683604136</v>
      </c>
      <c r="I75" s="305">
        <f t="shared" si="37"/>
        <v>8.3490952559028969E-2</v>
      </c>
      <c r="J75" s="306">
        <f t="shared" si="38"/>
        <v>3.3673146612205065E-2</v>
      </c>
      <c r="K75" s="305">
        <f t="shared" si="39"/>
        <v>6.7346293224410129E-3</v>
      </c>
      <c r="L75" s="300">
        <f t="shared" si="42"/>
        <v>6.6885017243420997E-2</v>
      </c>
      <c r="M75" s="300">
        <f t="shared" si="42"/>
        <v>1.6605935315607979E-2</v>
      </c>
      <c r="N75" s="301">
        <f t="shared" si="43"/>
        <v>6.7346293224410129E-3</v>
      </c>
      <c r="O75" s="301">
        <f t="shared" si="43"/>
        <v>0</v>
      </c>
      <c r="P75" s="300">
        <f t="shared" si="44"/>
        <v>3.3673146612205065E-2</v>
      </c>
      <c r="Q75" s="302">
        <f t="shared" si="44"/>
        <v>0</v>
      </c>
    </row>
    <row r="76" spans="1:17" x14ac:dyDescent="0.35">
      <c r="A76" s="252" t="s">
        <v>21</v>
      </c>
      <c r="B76" s="303">
        <f t="shared" si="40"/>
        <v>6</v>
      </c>
      <c r="C76" s="304" t="s">
        <v>104</v>
      </c>
      <c r="D76" s="272">
        <f t="shared" si="45"/>
        <v>34093.82735164254</v>
      </c>
      <c r="E76" s="301">
        <f t="shared" si="41"/>
        <v>0.5021477759425732</v>
      </c>
      <c r="F76" s="305">
        <f t="shared" si="35"/>
        <v>0.37227951281688604</v>
      </c>
      <c r="G76" s="305">
        <f t="shared" si="35"/>
        <v>1.7981100469055596E-2</v>
      </c>
      <c r="H76" s="305">
        <f t="shared" si="36"/>
        <v>4.7167814273899461E-2</v>
      </c>
      <c r="I76" s="305">
        <f t="shared" si="37"/>
        <v>7.6495790304839592E-2</v>
      </c>
      <c r="J76" s="306">
        <f t="shared" si="38"/>
        <v>3.1023292734740505E-2</v>
      </c>
      <c r="K76" s="305">
        <f t="shared" si="39"/>
        <v>6.2046585469481014E-3</v>
      </c>
      <c r="L76" s="300">
        <f t="shared" si="42"/>
        <v>6.1196632243871674E-2</v>
      </c>
      <c r="M76" s="300">
        <f t="shared" si="42"/>
        <v>1.5299158060967918E-2</v>
      </c>
      <c r="N76" s="301">
        <f t="shared" si="43"/>
        <v>6.2046585469481014E-3</v>
      </c>
      <c r="O76" s="301">
        <f t="shared" si="43"/>
        <v>0</v>
      </c>
      <c r="P76" s="300">
        <f t="shared" si="44"/>
        <v>3.1023292734740505E-2</v>
      </c>
      <c r="Q76" s="302">
        <f t="shared" si="44"/>
        <v>0</v>
      </c>
    </row>
    <row r="77" spans="1:17" x14ac:dyDescent="0.35">
      <c r="A77" s="252" t="s">
        <v>27</v>
      </c>
      <c r="B77" s="303">
        <f t="shared" si="40"/>
        <v>1</v>
      </c>
      <c r="C77" s="304" t="s">
        <v>105</v>
      </c>
      <c r="D77" s="272">
        <f t="shared" si="45"/>
        <v>11887.30867229441</v>
      </c>
      <c r="E77" s="301">
        <f t="shared" si="41"/>
        <v>0.91241961838344132</v>
      </c>
      <c r="F77" s="305">
        <f t="shared" si="35"/>
        <v>0.6794861733434453</v>
      </c>
      <c r="G77" s="305">
        <f t="shared" si="35"/>
        <v>3.3974308667172264E-2</v>
      </c>
      <c r="H77" s="305">
        <f t="shared" si="36"/>
        <v>1.6987154333586132E-2</v>
      </c>
      <c r="I77" s="305">
        <f t="shared" si="37"/>
        <v>0.14892847634924827</v>
      </c>
      <c r="J77" s="306">
        <f t="shared" si="38"/>
        <v>0.33508907178580871</v>
      </c>
      <c r="K77" s="305">
        <f t="shared" si="39"/>
        <v>6.701781435716174E-2</v>
      </c>
      <c r="L77" s="300">
        <f t="shared" si="42"/>
        <v>0.11169635726193622</v>
      </c>
      <c r="M77" s="300">
        <f t="shared" si="42"/>
        <v>3.7232119087312068E-2</v>
      </c>
      <c r="N77" s="301">
        <f t="shared" si="43"/>
        <v>5.5848178630968116E-2</v>
      </c>
      <c r="O77" s="301">
        <f t="shared" si="43"/>
        <v>1.1169635726193622E-2</v>
      </c>
      <c r="P77" s="300">
        <f t="shared" si="44"/>
        <v>0.27924089315484057</v>
      </c>
      <c r="Q77" s="302">
        <f t="shared" si="44"/>
        <v>5.5848178630968109E-2</v>
      </c>
    </row>
    <row r="78" spans="1:17" x14ac:dyDescent="0.35">
      <c r="A78" s="252" t="s">
        <v>29</v>
      </c>
      <c r="B78" s="303">
        <f t="shared" si="40"/>
        <v>14</v>
      </c>
      <c r="C78" s="304" t="s">
        <v>106</v>
      </c>
      <c r="D78" s="272">
        <f t="shared" si="45"/>
        <v>21078.640412240045</v>
      </c>
      <c r="E78" s="301">
        <f t="shared" si="41"/>
        <v>0.26210022892912943</v>
      </c>
      <c r="F78" s="305">
        <f t="shared" si="35"/>
        <v>0.21637842937200005</v>
      </c>
      <c r="G78" s="305">
        <f t="shared" si="35"/>
        <v>1.4483831116088251E-2</v>
      </c>
      <c r="H78" s="305">
        <f t="shared" si="36"/>
        <v>2.5803127702611003E-2</v>
      </c>
      <c r="I78" s="305">
        <f t="shared" si="37"/>
        <v>8.2994466060493152E-3</v>
      </c>
      <c r="J78" s="306">
        <f t="shared" si="38"/>
        <v>5.8096126242345211E-2</v>
      </c>
      <c r="K78" s="305">
        <f t="shared" si="39"/>
        <v>1.1619225248469043E-2</v>
      </c>
      <c r="L78" s="300">
        <f t="shared" si="42"/>
        <v>0</v>
      </c>
      <c r="M78" s="300">
        <f t="shared" si="42"/>
        <v>8.2994466060493152E-3</v>
      </c>
      <c r="N78" s="301">
        <f t="shared" si="43"/>
        <v>8.2994466060493169E-3</v>
      </c>
      <c r="O78" s="301">
        <f t="shared" si="43"/>
        <v>3.3197786424197261E-3</v>
      </c>
      <c r="P78" s="300">
        <f t="shared" si="44"/>
        <v>4.1497233030246584E-2</v>
      </c>
      <c r="Q78" s="302">
        <f t="shared" si="44"/>
        <v>1.659889321209863E-2</v>
      </c>
    </row>
    <row r="79" spans="1:17" x14ac:dyDescent="0.35">
      <c r="A79" s="252" t="s">
        <v>24</v>
      </c>
      <c r="B79" s="303">
        <f t="shared" si="40"/>
        <v>5</v>
      </c>
      <c r="C79" s="304" t="s">
        <v>121</v>
      </c>
      <c r="D79" s="272">
        <f t="shared" si="45"/>
        <v>27559.248001674965</v>
      </c>
      <c r="E79" s="301">
        <f t="shared" si="41"/>
        <v>0.5473382882940131</v>
      </c>
      <c r="F79" s="305">
        <f t="shared" si="35"/>
        <v>0.36960538658416342</v>
      </c>
      <c r="G79" s="305">
        <f t="shared" si="35"/>
        <v>1.1642569677401148E-2</v>
      </c>
      <c r="H79" s="305">
        <f t="shared" si="36"/>
        <v>0.14056092851795735</v>
      </c>
      <c r="I79" s="305">
        <f t="shared" si="37"/>
        <v>2.9365907427234897E-2</v>
      </c>
      <c r="J79" s="306">
        <f t="shared" si="38"/>
        <v>3.9030328823287656E-2</v>
      </c>
      <c r="K79" s="305">
        <f t="shared" si="39"/>
        <v>7.8060657646575309E-3</v>
      </c>
      <c r="L79" s="300">
        <f t="shared" si="42"/>
        <v>1.5189262462362879E-2</v>
      </c>
      <c r="M79" s="300">
        <f t="shared" si="42"/>
        <v>1.4176644964872019E-2</v>
      </c>
      <c r="N79" s="301">
        <f t="shared" si="43"/>
        <v>7.8060657646575309E-3</v>
      </c>
      <c r="O79" s="301">
        <f t="shared" si="43"/>
        <v>0</v>
      </c>
      <c r="P79" s="300">
        <f t="shared" si="44"/>
        <v>3.9030328823287656E-2</v>
      </c>
      <c r="Q79" s="302">
        <f t="shared" si="44"/>
        <v>0</v>
      </c>
    </row>
    <row r="80" spans="1:17" x14ac:dyDescent="0.35">
      <c r="A80" s="252" t="s">
        <v>23</v>
      </c>
      <c r="B80" s="303">
        <f t="shared" si="40"/>
        <v>4</v>
      </c>
      <c r="C80" s="304" t="s">
        <v>108</v>
      </c>
      <c r="D80" s="272">
        <f t="shared" si="45"/>
        <v>11153.537145024622</v>
      </c>
      <c r="E80" s="301">
        <f t="shared" si="41"/>
        <v>0.61809348066976488</v>
      </c>
      <c r="F80" s="305">
        <f t="shared" si="35"/>
        <v>0.43611853942482925</v>
      </c>
      <c r="G80" s="305">
        <f t="shared" si="35"/>
        <v>2.7257408714051828E-2</v>
      </c>
      <c r="H80" s="305">
        <f t="shared" si="36"/>
        <v>7.9218244284564865E-2</v>
      </c>
      <c r="I80" s="305">
        <f t="shared" si="37"/>
        <v>7.169071880956096E-2</v>
      </c>
      <c r="J80" s="306">
        <f t="shared" si="38"/>
        <v>0.15532989075404877</v>
      </c>
      <c r="K80" s="305">
        <f t="shared" si="39"/>
        <v>3.1065978150809755E-2</v>
      </c>
      <c r="L80" s="300">
        <f t="shared" si="42"/>
        <v>3.584535940478048E-2</v>
      </c>
      <c r="M80" s="300">
        <f t="shared" si="42"/>
        <v>3.584535940478048E-2</v>
      </c>
      <c r="N80" s="301">
        <f t="shared" si="43"/>
        <v>3.1065978150809755E-2</v>
      </c>
      <c r="O80" s="301">
        <f t="shared" si="43"/>
        <v>0</v>
      </c>
      <c r="P80" s="300">
        <f t="shared" si="44"/>
        <v>0.15532989075404877</v>
      </c>
      <c r="Q80" s="302">
        <f t="shared" si="44"/>
        <v>0</v>
      </c>
    </row>
    <row r="81" spans="1:22" x14ac:dyDescent="0.35">
      <c r="A81" s="252" t="s">
        <v>19</v>
      </c>
      <c r="B81" s="303">
        <f t="shared" si="40"/>
        <v>17</v>
      </c>
      <c r="C81" s="304" t="s">
        <v>122</v>
      </c>
      <c r="D81" s="272">
        <f t="shared" si="45"/>
        <v>84650.917704052175</v>
      </c>
      <c r="E81" s="301">
        <f t="shared" si="41"/>
        <v>0.2439087636113349</v>
      </c>
      <c r="F81" s="305">
        <f t="shared" si="35"/>
        <v>0.17403438276087041</v>
      </c>
      <c r="G81" s="305">
        <f t="shared" si="35"/>
        <v>3.2196360810761021E-2</v>
      </c>
      <c r="H81" s="305">
        <f t="shared" si="36"/>
        <v>2.4660672037215337E-2</v>
      </c>
      <c r="I81" s="305">
        <f t="shared" si="37"/>
        <v>4.2912587530077637E-2</v>
      </c>
      <c r="J81" s="306">
        <f t="shared" si="38"/>
        <v>1.1505606415857543E-2</v>
      </c>
      <c r="K81" s="305">
        <f t="shared" si="39"/>
        <v>2.3011212831715085E-3</v>
      </c>
      <c r="L81" s="300">
        <f t="shared" si="42"/>
        <v>2.8608391686718422E-2</v>
      </c>
      <c r="M81" s="300">
        <f t="shared" si="42"/>
        <v>1.4304195843359211E-2</v>
      </c>
      <c r="N81" s="301">
        <f t="shared" si="43"/>
        <v>2.3011212831715085E-3</v>
      </c>
      <c r="O81" s="301">
        <f t="shared" si="43"/>
        <v>0</v>
      </c>
      <c r="P81" s="300">
        <f t="shared" si="44"/>
        <v>1.1505606415857543E-2</v>
      </c>
      <c r="Q81" s="302">
        <f t="shared" si="44"/>
        <v>0</v>
      </c>
    </row>
    <row r="82" spans="1:22" x14ac:dyDescent="0.35">
      <c r="A82" s="252" t="s">
        <v>16</v>
      </c>
      <c r="B82" s="303">
        <f t="shared" si="40"/>
        <v>9</v>
      </c>
      <c r="C82" s="304" t="s">
        <v>124</v>
      </c>
      <c r="D82" s="272">
        <f t="shared" si="45"/>
        <v>22374.300986377995</v>
      </c>
      <c r="E82" s="301">
        <f t="shared" si="41"/>
        <v>0.40924528712143504</v>
      </c>
      <c r="F82" s="305">
        <f t="shared" si="35"/>
        <v>0.26411503835122818</v>
      </c>
      <c r="G82" s="305">
        <f t="shared" si="35"/>
        <v>3.4334954985659666E-2</v>
      </c>
      <c r="H82" s="305">
        <f t="shared" si="36"/>
        <v>4.744386472249229E-2</v>
      </c>
      <c r="I82" s="305">
        <f t="shared" si="37"/>
        <v>6.5124256031809685E-2</v>
      </c>
      <c r="J82" s="306">
        <f t="shared" si="38"/>
        <v>0.1628106400795242</v>
      </c>
      <c r="K82" s="305">
        <f t="shared" si="39"/>
        <v>3.2562128015904843E-2</v>
      </c>
      <c r="L82" s="300">
        <f t="shared" si="42"/>
        <v>4.3416170687873124E-2</v>
      </c>
      <c r="M82" s="300">
        <f t="shared" si="42"/>
        <v>2.1708085343936562E-2</v>
      </c>
      <c r="N82" s="301">
        <f t="shared" si="43"/>
        <v>3.2562128015904843E-2</v>
      </c>
      <c r="O82" s="301">
        <f t="shared" si="43"/>
        <v>0</v>
      </c>
      <c r="P82" s="300">
        <f t="shared" si="44"/>
        <v>0.1628106400795242</v>
      </c>
      <c r="Q82" s="302">
        <f t="shared" si="44"/>
        <v>0</v>
      </c>
    </row>
    <row r="83" spans="1:22" x14ac:dyDescent="0.35">
      <c r="A83" s="252" t="s">
        <v>20</v>
      </c>
      <c r="B83" s="303">
        <f t="shared" si="40"/>
        <v>7</v>
      </c>
      <c r="C83" s="304" t="s">
        <v>111</v>
      </c>
      <c r="D83" s="272">
        <f t="shared" si="45"/>
        <v>34549.355883606142</v>
      </c>
      <c r="E83" s="301">
        <f t="shared" si="41"/>
        <v>0.44608515631392004</v>
      </c>
      <c r="F83" s="305">
        <f t="shared" si="35"/>
        <v>0.34769080056145668</v>
      </c>
      <c r="G83" s="305">
        <f t="shared" si="35"/>
        <v>8.6632957806562966E-2</v>
      </c>
      <c r="H83" s="305">
        <f t="shared" si="36"/>
        <v>5.375022190868179E-2</v>
      </c>
      <c r="I83" s="305">
        <f t="shared" si="37"/>
        <v>4.0008256502962136E-2</v>
      </c>
      <c r="J83" s="306">
        <f t="shared" si="38"/>
        <v>2.3179386704097114E-2</v>
      </c>
      <c r="K83" s="305">
        <f t="shared" si="39"/>
        <v>4.6358773408194231E-3</v>
      </c>
      <c r="L83" s="300">
        <f t="shared" si="42"/>
        <v>2.8577326073544383E-2</v>
      </c>
      <c r="M83" s="300">
        <f t="shared" si="42"/>
        <v>1.1430930429417755E-2</v>
      </c>
      <c r="N83" s="301">
        <f t="shared" si="43"/>
        <v>2.8974233380121392E-3</v>
      </c>
      <c r="O83" s="301">
        <f t="shared" si="43"/>
        <v>1.7384540028072837E-3</v>
      </c>
      <c r="P83" s="300">
        <f t="shared" si="44"/>
        <v>1.4487116690060696E-2</v>
      </c>
      <c r="Q83" s="302">
        <f t="shared" si="44"/>
        <v>8.6922700140364181E-3</v>
      </c>
    </row>
    <row r="84" spans="1:22" x14ac:dyDescent="0.35">
      <c r="A84" s="252" t="s">
        <v>26</v>
      </c>
      <c r="B84" s="303">
        <f t="shared" si="40"/>
        <v>18</v>
      </c>
      <c r="C84" s="304" t="s">
        <v>112</v>
      </c>
      <c r="D84" s="272">
        <f t="shared" si="45"/>
        <v>54741.052127394905</v>
      </c>
      <c r="E84" s="301">
        <f t="shared" si="41"/>
        <v>0.21501032020412555</v>
      </c>
      <c r="F84" s="305">
        <f t="shared" si="35"/>
        <v>0.17445773562727609</v>
      </c>
      <c r="G84" s="305">
        <f t="shared" si="35"/>
        <v>1.2114635924850764E-2</v>
      </c>
      <c r="H84" s="305">
        <f t="shared" si="36"/>
        <v>1.4838257848676255E-2</v>
      </c>
      <c r="I84" s="305">
        <f t="shared" si="37"/>
        <v>2.2942387150984254E-2</v>
      </c>
      <c r="J84" s="306">
        <f t="shared" si="38"/>
        <v>1.3859697885944714E-2</v>
      </c>
      <c r="K84" s="305">
        <f t="shared" si="39"/>
        <v>2.7719395771889426E-3</v>
      </c>
      <c r="L84" s="300">
        <f t="shared" si="42"/>
        <v>1.4338991969365158E-2</v>
      </c>
      <c r="M84" s="300">
        <f t="shared" si="42"/>
        <v>8.6033951816190946E-3</v>
      </c>
      <c r="N84" s="301">
        <f t="shared" si="43"/>
        <v>2.2291821774596396E-3</v>
      </c>
      <c r="O84" s="301">
        <f t="shared" si="43"/>
        <v>5.4275739972930331E-4</v>
      </c>
      <c r="P84" s="300">
        <f t="shared" si="44"/>
        <v>1.1145910887298197E-2</v>
      </c>
      <c r="Q84" s="302">
        <f t="shared" si="44"/>
        <v>2.7137869986465168E-3</v>
      </c>
    </row>
    <row r="85" spans="1:22" x14ac:dyDescent="0.35">
      <c r="A85" s="252" t="s">
        <v>25</v>
      </c>
      <c r="B85" s="303">
        <f t="shared" si="40"/>
        <v>8</v>
      </c>
      <c r="C85" s="304" t="s">
        <v>113</v>
      </c>
      <c r="D85" s="272">
        <f t="shared" si="45"/>
        <v>27559.248001674965</v>
      </c>
      <c r="E85" s="301">
        <f t="shared" si="41"/>
        <v>0.44346306982641354</v>
      </c>
      <c r="F85" s="305">
        <f t="shared" ref="F85:G88" si="46">+F61</f>
        <v>0.36960538658416342</v>
      </c>
      <c r="G85" s="305">
        <f t="shared" si="46"/>
        <v>3.4188498259035117E-2</v>
      </c>
      <c r="H85" s="305">
        <f t="shared" si="36"/>
        <v>2.8205511063703972E-2</v>
      </c>
      <c r="I85" s="305">
        <f t="shared" si="37"/>
        <v>3.9492082402143483E-2</v>
      </c>
      <c r="J85" s="306">
        <f t="shared" si="38"/>
        <v>3.0800448882013616E-2</v>
      </c>
      <c r="K85" s="305">
        <f t="shared" si="39"/>
        <v>6.160089776402723E-3</v>
      </c>
      <c r="L85" s="300">
        <f t="shared" si="42"/>
        <v>1.5189262462362879E-2</v>
      </c>
      <c r="M85" s="300">
        <f t="shared" si="42"/>
        <v>2.4302819939780607E-2</v>
      </c>
      <c r="N85" s="301">
        <f t="shared" si="43"/>
        <v>6.160089776402723E-3</v>
      </c>
      <c r="O85" s="301">
        <f t="shared" si="43"/>
        <v>0</v>
      </c>
      <c r="P85" s="300">
        <f t="shared" si="44"/>
        <v>3.0800448882013616E-2</v>
      </c>
      <c r="Q85" s="302">
        <f t="shared" si="44"/>
        <v>0</v>
      </c>
    </row>
    <row r="86" spans="1:22" x14ac:dyDescent="0.35">
      <c r="A86" s="252" t="s">
        <v>14</v>
      </c>
      <c r="B86" s="303">
        <f t="shared" si="40"/>
        <v>19</v>
      </c>
      <c r="C86" s="304" t="s">
        <v>114</v>
      </c>
      <c r="D86" s="272">
        <f t="shared" si="45"/>
        <v>65677.821889841638</v>
      </c>
      <c r="E86" s="301">
        <f t="shared" si="41"/>
        <v>0.1910618714567571</v>
      </c>
      <c r="F86" s="305">
        <f t="shared" si="46"/>
        <v>0.14994018775599496</v>
      </c>
      <c r="G86" s="305">
        <f t="shared" si="46"/>
        <v>2.7139173983835085E-2</v>
      </c>
      <c r="H86" s="305">
        <f t="shared" si="36"/>
        <v>1.7188993184159503E-2</v>
      </c>
      <c r="I86" s="305">
        <f t="shared" si="37"/>
        <v>2.0950546782344502E-2</v>
      </c>
      <c r="J86" s="306">
        <f t="shared" si="38"/>
        <v>1.491071867129061E-2</v>
      </c>
      <c r="K86" s="305">
        <f t="shared" si="39"/>
        <v>2.9821437342581218E-3</v>
      </c>
      <c r="L86" s="300">
        <f t="shared" ref="L86:M88" si="47">+Q62</f>
        <v>1.2323851048437941E-2</v>
      </c>
      <c r="M86" s="300">
        <f t="shared" si="47"/>
        <v>8.626695733906559E-3</v>
      </c>
      <c r="N86" s="301">
        <f t="shared" ref="N86:O88" si="48">+U62</f>
        <v>2.9821437342581218E-3</v>
      </c>
      <c r="O86" s="301">
        <f t="shared" si="48"/>
        <v>0</v>
      </c>
      <c r="P86" s="300">
        <f t="shared" ref="P86:Q88" si="49">+S62</f>
        <v>1.491071867129061E-2</v>
      </c>
      <c r="Q86" s="302">
        <f t="shared" si="49"/>
        <v>0</v>
      </c>
    </row>
    <row r="87" spans="1:22" x14ac:dyDescent="0.35">
      <c r="A87" s="252" t="s">
        <v>22</v>
      </c>
      <c r="B87" s="303">
        <f t="shared" si="40"/>
        <v>15</v>
      </c>
      <c r="C87" s="304" t="s">
        <v>115</v>
      </c>
      <c r="D87" s="272">
        <f t="shared" si="45"/>
        <v>43705.439247906645</v>
      </c>
      <c r="E87" s="301">
        <f t="shared" si="41"/>
        <v>0.25857741331262013</v>
      </c>
      <c r="F87" s="305">
        <f t="shared" si="46"/>
        <v>0.18819818749349776</v>
      </c>
      <c r="G87" s="305">
        <f t="shared" si="46"/>
        <v>1.1291891249609869E-2</v>
      </c>
      <c r="H87" s="305">
        <f t="shared" si="36"/>
        <v>2.9645919484913241E-2</v>
      </c>
      <c r="I87" s="305">
        <f t="shared" si="37"/>
        <v>2.5264962156661346E-2</v>
      </c>
      <c r="J87" s="306">
        <f t="shared" si="38"/>
        <v>7.7341720887738802E-2</v>
      </c>
      <c r="K87" s="305">
        <f t="shared" si="39"/>
        <v>1.546834417754776E-2</v>
      </c>
      <c r="L87" s="300">
        <f t="shared" si="47"/>
        <v>1.5468344177547761E-2</v>
      </c>
      <c r="M87" s="300">
        <f t="shared" si="47"/>
        <v>9.7966179791135824E-3</v>
      </c>
      <c r="N87" s="301">
        <f t="shared" si="48"/>
        <v>1.546834417754776E-2</v>
      </c>
      <c r="O87" s="301">
        <f t="shared" si="48"/>
        <v>0</v>
      </c>
      <c r="P87" s="300">
        <f t="shared" si="49"/>
        <v>7.7341720887738802E-2</v>
      </c>
      <c r="Q87" s="302">
        <f t="shared" si="49"/>
        <v>0</v>
      </c>
    </row>
    <row r="88" spans="1:22" ht="28" x14ac:dyDescent="0.35">
      <c r="A88" s="307" t="s">
        <v>31</v>
      </c>
      <c r="B88" s="308">
        <f t="shared" si="40"/>
        <v>21</v>
      </c>
      <c r="C88" s="309" t="s">
        <v>116</v>
      </c>
      <c r="D88" s="284">
        <f t="shared" si="45"/>
        <v>69279.42526894639</v>
      </c>
      <c r="E88" s="310">
        <f t="shared" si="41"/>
        <v>0.11365674275940464</v>
      </c>
      <c r="F88" s="311">
        <f t="shared" si="46"/>
        <v>9.775784691580669E-2</v>
      </c>
      <c r="G88" s="311">
        <f t="shared" si="46"/>
        <v>5.4646552354316964E-3</v>
      </c>
      <c r="H88" s="311">
        <f t="shared" si="36"/>
        <v>7.7033064857248241E-3</v>
      </c>
      <c r="I88" s="311">
        <f t="shared" si="37"/>
        <v>3.749616046085738E-3</v>
      </c>
      <c r="J88" s="312">
        <f t="shared" si="38"/>
        <v>2.222986655893687E-2</v>
      </c>
      <c r="K88" s="311">
        <f t="shared" si="39"/>
        <v>4.4459733117873743E-3</v>
      </c>
      <c r="L88" s="300">
        <f t="shared" si="47"/>
        <v>0</v>
      </c>
      <c r="M88" s="300">
        <f t="shared" si="47"/>
        <v>3.749616046085738E-3</v>
      </c>
      <c r="N88" s="301">
        <f t="shared" si="48"/>
        <v>4.4459733117873743E-3</v>
      </c>
      <c r="O88" s="301">
        <f t="shared" si="48"/>
        <v>0</v>
      </c>
      <c r="P88" s="300">
        <f t="shared" si="49"/>
        <v>2.222986655893687E-2</v>
      </c>
      <c r="Q88" s="302">
        <f t="shared" si="49"/>
        <v>0</v>
      </c>
    </row>
    <row r="89" spans="1:22" x14ac:dyDescent="0.35">
      <c r="A89" s="218" t="s">
        <v>59</v>
      </c>
      <c r="B89" s="279">
        <f>+RANK(E89,$E$69:$E$89,0)</f>
        <v>10</v>
      </c>
      <c r="C89" s="313" t="s">
        <v>125</v>
      </c>
      <c r="D89" s="314">
        <f t="shared" si="45"/>
        <v>0</v>
      </c>
      <c r="E89" s="315">
        <f>+AVERAGE(E69:E88)</f>
        <v>0.39974190467857013</v>
      </c>
      <c r="F89" s="315">
        <f t="shared" ref="F89:Q89" si="50">+AVERAGE(F69:F88)</f>
        <v>0.28710164447752173</v>
      </c>
      <c r="G89" s="315">
        <f t="shared" si="50"/>
        <v>3.1271478469017615E-2</v>
      </c>
      <c r="H89" s="315">
        <f t="shared" si="50"/>
        <v>5.2893357820881205E-2</v>
      </c>
      <c r="I89" s="315">
        <f t="shared" si="50"/>
        <v>4.5655335225720114E-2</v>
      </c>
      <c r="J89" s="315">
        <f t="shared" si="50"/>
        <v>7.0457835772234897E-2</v>
      </c>
      <c r="K89" s="315">
        <f t="shared" si="50"/>
        <v>1.4091567154446982E-2</v>
      </c>
      <c r="L89" s="315">
        <f t="shared" si="50"/>
        <v>3.0230761657497867E-2</v>
      </c>
      <c r="M89" s="315">
        <f t="shared" si="50"/>
        <v>1.5424573568222247E-2</v>
      </c>
      <c r="N89" s="315">
        <f t="shared" si="50"/>
        <v>1.2238356125344945E-2</v>
      </c>
      <c r="O89" s="315">
        <f t="shared" si="50"/>
        <v>1.8532110291020326E-3</v>
      </c>
      <c r="P89" s="315">
        <f t="shared" si="50"/>
        <v>6.1191780626724736E-2</v>
      </c>
      <c r="Q89" s="316">
        <f t="shared" si="50"/>
        <v>9.2660551455101652E-3</v>
      </c>
    </row>
    <row r="90" spans="1:22" x14ac:dyDescent="0.35">
      <c r="F90" s="305"/>
      <c r="G90" s="305"/>
      <c r="H90" s="305"/>
      <c r="I90" s="305"/>
      <c r="J90" s="306"/>
      <c r="K90" s="305"/>
    </row>
    <row r="92" spans="1:22" x14ac:dyDescent="0.35">
      <c r="A92" s="333" t="s">
        <v>126</v>
      </c>
      <c r="B92" s="264"/>
      <c r="C92" s="264"/>
      <c r="L92" s="921"/>
      <c r="M92" s="921"/>
      <c r="N92" s="921"/>
      <c r="O92" s="921"/>
      <c r="P92" s="921"/>
      <c r="Q92" s="921"/>
      <c r="R92" s="921"/>
      <c r="S92" s="921"/>
      <c r="T92" s="921"/>
      <c r="U92" s="921"/>
      <c r="V92" s="921"/>
    </row>
    <row r="93" spans="1:22" ht="52" x14ac:dyDescent="0.35">
      <c r="A93" s="317"/>
      <c r="B93" s="318"/>
      <c r="C93" s="263"/>
      <c r="D93" s="219" t="s">
        <v>127</v>
      </c>
      <c r="E93" s="255" t="s">
        <v>40</v>
      </c>
      <c r="F93" s="255" t="s">
        <v>41</v>
      </c>
      <c r="G93" s="255" t="s">
        <v>42</v>
      </c>
      <c r="H93" s="220" t="s">
        <v>43</v>
      </c>
      <c r="K93" s="319"/>
      <c r="L93" s="921"/>
      <c r="M93" s="921"/>
      <c r="N93" s="921"/>
      <c r="O93" s="921"/>
      <c r="P93" s="921"/>
      <c r="Q93" s="256"/>
      <c r="R93" s="256"/>
      <c r="S93" s="256"/>
      <c r="T93" s="256"/>
      <c r="U93" s="256"/>
      <c r="V93" s="256"/>
    </row>
    <row r="94" spans="1:22" x14ac:dyDescent="0.35">
      <c r="A94" s="253" t="s">
        <v>11</v>
      </c>
      <c r="B94" s="295">
        <f>+RANK(D94,$D$94:$D$114,0)</f>
        <v>6</v>
      </c>
      <c r="C94" s="296" t="s">
        <v>97</v>
      </c>
      <c r="D94" s="288">
        <f t="shared" ref="D94:H113" si="51">+G45</f>
        <v>3.277305555105902E-2</v>
      </c>
      <c r="E94" s="287">
        <f t="shared" si="51"/>
        <v>2.5750257932974946E-2</v>
      </c>
      <c r="F94" s="287">
        <f t="shared" si="51"/>
        <v>7.022797618084076E-3</v>
      </c>
      <c r="G94" s="287">
        <f>+J45</f>
        <v>0</v>
      </c>
      <c r="H94" s="217">
        <f t="shared" si="51"/>
        <v>0</v>
      </c>
      <c r="K94" s="319"/>
      <c r="L94" s="290"/>
      <c r="M94" s="290"/>
      <c r="N94" s="290"/>
      <c r="O94" s="290"/>
      <c r="P94" s="290"/>
      <c r="Q94" s="290"/>
      <c r="R94" s="290"/>
      <c r="S94" s="290"/>
      <c r="T94" s="290"/>
      <c r="U94" s="290"/>
      <c r="V94" s="290"/>
    </row>
    <row r="95" spans="1:22" ht="15" customHeight="1" x14ac:dyDescent="0.35">
      <c r="A95" s="252" t="s">
        <v>13</v>
      </c>
      <c r="B95" s="303">
        <f t="shared" ref="B95:B113" si="52">+RANK(D95,$D$94:$D$114,0)</f>
        <v>1</v>
      </c>
      <c r="C95" s="304" t="s">
        <v>98</v>
      </c>
      <c r="D95" s="291">
        <f t="shared" si="51"/>
        <v>0.12422312233441878</v>
      </c>
      <c r="E95" s="290">
        <f t="shared" si="51"/>
        <v>6.9523376700592804E-2</v>
      </c>
      <c r="F95" s="290">
        <f t="shared" si="51"/>
        <v>5.4699745633825972E-2</v>
      </c>
      <c r="G95" s="290">
        <f t="shared" si="51"/>
        <v>0</v>
      </c>
      <c r="H95" s="289">
        <f t="shared" si="51"/>
        <v>0</v>
      </c>
      <c r="K95" s="319"/>
      <c r="L95" s="290"/>
      <c r="M95" s="290"/>
      <c r="N95" s="290"/>
      <c r="O95" s="290"/>
      <c r="P95" s="290"/>
      <c r="Q95" s="290"/>
      <c r="R95" s="290"/>
      <c r="S95" s="290"/>
      <c r="T95" s="290"/>
      <c r="U95" s="290"/>
      <c r="V95" s="290"/>
    </row>
    <row r="96" spans="1:22" ht="31.5" customHeight="1" x14ac:dyDescent="0.35">
      <c r="A96" s="252" t="s">
        <v>12</v>
      </c>
      <c r="B96" s="303">
        <f t="shared" si="52"/>
        <v>17</v>
      </c>
      <c r="C96" s="304" t="s">
        <v>99</v>
      </c>
      <c r="D96" s="291">
        <f t="shared" si="51"/>
        <v>1.3434097571220365E-2</v>
      </c>
      <c r="E96" s="290">
        <f t="shared" si="51"/>
        <v>1.3434097571220365E-2</v>
      </c>
      <c r="F96" s="290">
        <f t="shared" si="51"/>
        <v>0</v>
      </c>
      <c r="G96" s="290">
        <f t="shared" si="51"/>
        <v>0</v>
      </c>
      <c r="H96" s="289">
        <f t="shared" si="51"/>
        <v>0</v>
      </c>
      <c r="K96" s="319"/>
      <c r="L96" s="290"/>
      <c r="M96" s="290"/>
      <c r="N96" s="290"/>
      <c r="O96" s="290"/>
      <c r="P96" s="290"/>
      <c r="Q96" s="290"/>
      <c r="R96" s="290"/>
      <c r="S96" s="290"/>
      <c r="T96" s="290"/>
      <c r="U96" s="290"/>
      <c r="V96" s="290"/>
    </row>
    <row r="97" spans="1:22" x14ac:dyDescent="0.35">
      <c r="A97" s="252" t="s">
        <v>28</v>
      </c>
      <c r="B97" s="303">
        <f t="shared" si="52"/>
        <v>11</v>
      </c>
      <c r="C97" s="304" t="s">
        <v>100</v>
      </c>
      <c r="D97" s="291">
        <f t="shared" si="51"/>
        <v>2.837992349843247E-2</v>
      </c>
      <c r="E97" s="290">
        <f t="shared" si="51"/>
        <v>1.4874173741316808E-2</v>
      </c>
      <c r="F97" s="290">
        <f t="shared" si="51"/>
        <v>1.0411921618921766E-2</v>
      </c>
      <c r="G97" s="290">
        <f t="shared" si="51"/>
        <v>8.924504244790084E-4</v>
      </c>
      <c r="H97" s="289">
        <f t="shared" si="51"/>
        <v>2.2013777137148871E-3</v>
      </c>
      <c r="K97" s="319"/>
      <c r="L97" s="290"/>
      <c r="M97" s="290"/>
      <c r="N97" s="290"/>
      <c r="O97" s="290"/>
      <c r="P97" s="290"/>
      <c r="Q97" s="290"/>
      <c r="R97" s="290"/>
      <c r="S97" s="290"/>
      <c r="T97" s="290"/>
      <c r="U97" s="290"/>
      <c r="V97" s="290"/>
    </row>
    <row r="98" spans="1:22" x14ac:dyDescent="0.35">
      <c r="A98" s="252" t="s">
        <v>15</v>
      </c>
      <c r="B98" s="303">
        <f t="shared" si="52"/>
        <v>15</v>
      </c>
      <c r="C98" s="304" t="s">
        <v>101</v>
      </c>
      <c r="D98" s="291">
        <f t="shared" si="51"/>
        <v>1.7206592880444391E-2</v>
      </c>
      <c r="E98" s="290">
        <f t="shared" si="51"/>
        <v>8.6032964402221954E-3</v>
      </c>
      <c r="F98" s="290">
        <f t="shared" si="51"/>
        <v>8.6032964402221954E-3</v>
      </c>
      <c r="G98" s="290">
        <f t="shared" si="51"/>
        <v>0</v>
      </c>
      <c r="H98" s="289">
        <f t="shared" si="51"/>
        <v>0</v>
      </c>
      <c r="K98" s="319"/>
      <c r="L98" s="290"/>
      <c r="M98" s="290"/>
      <c r="N98" s="290"/>
      <c r="O98" s="290"/>
      <c r="P98" s="290"/>
      <c r="Q98" s="290"/>
      <c r="R98" s="290"/>
      <c r="S98" s="290"/>
      <c r="T98" s="290"/>
      <c r="U98" s="290"/>
      <c r="V98" s="290"/>
    </row>
    <row r="99" spans="1:22" x14ac:dyDescent="0.35">
      <c r="A99" s="252" t="s">
        <v>18</v>
      </c>
      <c r="B99" s="303">
        <f t="shared" si="52"/>
        <v>8</v>
      </c>
      <c r="C99" s="304" t="s">
        <v>102</v>
      </c>
      <c r="D99" s="291">
        <f t="shared" si="51"/>
        <v>3.1643770489606773E-2</v>
      </c>
      <c r="E99" s="290">
        <f t="shared" si="51"/>
        <v>1.217968960369765E-2</v>
      </c>
      <c r="F99" s="290">
        <f t="shared" si="51"/>
        <v>1.2882364003910973E-2</v>
      </c>
      <c r="G99" s="290">
        <f t="shared" si="51"/>
        <v>0</v>
      </c>
      <c r="H99" s="289">
        <f t="shared" si="51"/>
        <v>6.5817168819981521E-3</v>
      </c>
      <c r="K99" s="319"/>
      <c r="L99" s="290"/>
      <c r="M99" s="290"/>
      <c r="N99" s="290"/>
      <c r="O99" s="290"/>
      <c r="P99" s="290"/>
      <c r="Q99" s="290"/>
      <c r="R99" s="290"/>
      <c r="S99" s="290"/>
      <c r="T99" s="290"/>
      <c r="U99" s="290"/>
      <c r="V99" s="290"/>
    </row>
    <row r="100" spans="1:22" x14ac:dyDescent="0.35">
      <c r="A100" s="252" t="s">
        <v>17</v>
      </c>
      <c r="B100" s="303">
        <f t="shared" si="52"/>
        <v>10</v>
      </c>
      <c r="C100" s="304" t="s">
        <v>103</v>
      </c>
      <c r="D100" s="291">
        <f t="shared" si="51"/>
        <v>2.906666015565541E-2</v>
      </c>
      <c r="E100" s="290">
        <f t="shared" si="51"/>
        <v>2.906666015565541E-2</v>
      </c>
      <c r="F100" s="290">
        <f t="shared" si="51"/>
        <v>0</v>
      </c>
      <c r="G100" s="290">
        <f t="shared" si="51"/>
        <v>0</v>
      </c>
      <c r="H100" s="289">
        <f t="shared" si="51"/>
        <v>0</v>
      </c>
      <c r="K100" s="319"/>
      <c r="L100" s="290"/>
      <c r="M100" s="290"/>
      <c r="N100" s="290"/>
      <c r="O100" s="290"/>
      <c r="P100" s="290"/>
      <c r="Q100" s="290"/>
      <c r="R100" s="290"/>
      <c r="S100" s="290"/>
      <c r="T100" s="290"/>
      <c r="U100" s="290"/>
      <c r="V100" s="290"/>
    </row>
    <row r="101" spans="1:22" x14ac:dyDescent="0.35">
      <c r="A101" s="252" t="s">
        <v>21</v>
      </c>
      <c r="B101" s="303">
        <f t="shared" si="52"/>
        <v>14</v>
      </c>
      <c r="C101" s="304" t="s">
        <v>104</v>
      </c>
      <c r="D101" s="291">
        <f t="shared" si="51"/>
        <v>1.7981100469055596E-2</v>
      </c>
      <c r="E101" s="290">
        <f t="shared" si="51"/>
        <v>6.8127150845490141E-3</v>
      </c>
      <c r="F101" s="290">
        <f t="shared" si="51"/>
        <v>7.4455902563377212E-3</v>
      </c>
      <c r="G101" s="290">
        <f t="shared" si="51"/>
        <v>3.7227951281688606E-3</v>
      </c>
      <c r="H101" s="289">
        <f t="shared" si="51"/>
        <v>0</v>
      </c>
      <c r="K101" s="319"/>
      <c r="L101" s="290"/>
      <c r="M101" s="290"/>
      <c r="N101" s="290"/>
      <c r="O101" s="290"/>
      <c r="P101" s="290"/>
      <c r="Q101" s="290"/>
      <c r="R101" s="290"/>
      <c r="S101" s="290"/>
      <c r="T101" s="290"/>
      <c r="U101" s="290"/>
      <c r="V101" s="290"/>
    </row>
    <row r="102" spans="1:22" x14ac:dyDescent="0.35">
      <c r="A102" s="252" t="s">
        <v>27</v>
      </c>
      <c r="B102" s="303">
        <f t="shared" si="52"/>
        <v>5</v>
      </c>
      <c r="C102" s="304" t="s">
        <v>105</v>
      </c>
      <c r="D102" s="291">
        <f t="shared" si="51"/>
        <v>3.3974308667172264E-2</v>
      </c>
      <c r="E102" s="290">
        <f t="shared" si="51"/>
        <v>6.7948617334344531E-3</v>
      </c>
      <c r="F102" s="290">
        <f t="shared" si="51"/>
        <v>1.6987154333586132E-2</v>
      </c>
      <c r="G102" s="290">
        <f t="shared" si="51"/>
        <v>0</v>
      </c>
      <c r="H102" s="289">
        <f t="shared" si="51"/>
        <v>1.019229260015168E-2</v>
      </c>
      <c r="K102" s="319"/>
      <c r="L102" s="290"/>
      <c r="M102" s="290"/>
      <c r="N102" s="290"/>
      <c r="O102" s="290"/>
      <c r="P102" s="290"/>
      <c r="Q102" s="290"/>
      <c r="R102" s="290"/>
      <c r="S102" s="290"/>
      <c r="T102" s="290"/>
      <c r="U102" s="290"/>
      <c r="V102" s="290"/>
    </row>
    <row r="103" spans="1:22" x14ac:dyDescent="0.35">
      <c r="A103" s="252" t="s">
        <v>29</v>
      </c>
      <c r="B103" s="303">
        <f t="shared" si="52"/>
        <v>16</v>
      </c>
      <c r="C103" s="304" t="s">
        <v>106</v>
      </c>
      <c r="D103" s="291">
        <f t="shared" si="51"/>
        <v>1.4483831116088251E-2</v>
      </c>
      <c r="E103" s="290">
        <f t="shared" si="51"/>
        <v>5.4094607343000006E-3</v>
      </c>
      <c r="F103" s="290">
        <f t="shared" si="51"/>
        <v>0</v>
      </c>
      <c r="G103" s="290">
        <f t="shared" si="51"/>
        <v>0</v>
      </c>
      <c r="H103" s="289">
        <f t="shared" si="51"/>
        <v>9.0743703817882503E-3</v>
      </c>
      <c r="K103" s="319"/>
      <c r="L103" s="290"/>
      <c r="M103" s="290"/>
      <c r="N103" s="290"/>
      <c r="O103" s="290"/>
      <c r="P103" s="290"/>
      <c r="Q103" s="290"/>
      <c r="R103" s="290"/>
      <c r="S103" s="290"/>
      <c r="T103" s="290"/>
      <c r="U103" s="290"/>
      <c r="V103" s="290"/>
    </row>
    <row r="104" spans="1:22" x14ac:dyDescent="0.35">
      <c r="A104" s="252" t="s">
        <v>24</v>
      </c>
      <c r="B104" s="303">
        <f t="shared" si="52"/>
        <v>19</v>
      </c>
      <c r="C104" s="304" t="s">
        <v>121</v>
      </c>
      <c r="D104" s="291">
        <f t="shared" si="51"/>
        <v>1.1642569677401148E-2</v>
      </c>
      <c r="E104" s="290">
        <f t="shared" si="51"/>
        <v>6.4680942652228599E-3</v>
      </c>
      <c r="F104" s="290">
        <f t="shared" si="51"/>
        <v>5.1744754121782885E-3</v>
      </c>
      <c r="G104" s="290">
        <f t="shared" si="51"/>
        <v>0</v>
      </c>
      <c r="H104" s="289">
        <f t="shared" si="51"/>
        <v>0</v>
      </c>
      <c r="K104" s="319"/>
      <c r="L104" s="290"/>
      <c r="M104" s="290"/>
      <c r="N104" s="290"/>
      <c r="O104" s="290"/>
      <c r="P104" s="290"/>
      <c r="Q104" s="290"/>
      <c r="R104" s="290"/>
      <c r="S104" s="290"/>
      <c r="T104" s="290"/>
      <c r="U104" s="290"/>
      <c r="V104" s="290"/>
    </row>
    <row r="105" spans="1:22" x14ac:dyDescent="0.35">
      <c r="A105" s="252" t="s">
        <v>23</v>
      </c>
      <c r="B105" s="303">
        <f t="shared" si="52"/>
        <v>12</v>
      </c>
      <c r="C105" s="304" t="s">
        <v>108</v>
      </c>
      <c r="D105" s="291">
        <f t="shared" si="51"/>
        <v>2.7257408714051828E-2</v>
      </c>
      <c r="E105" s="290">
        <f t="shared" si="51"/>
        <v>1.7444741576993172E-2</v>
      </c>
      <c r="F105" s="290">
        <f t="shared" si="51"/>
        <v>9.812667137058655E-3</v>
      </c>
      <c r="G105" s="290">
        <f t="shared" si="51"/>
        <v>0</v>
      </c>
      <c r="H105" s="289">
        <f t="shared" si="51"/>
        <v>0</v>
      </c>
      <c r="K105" s="319"/>
      <c r="L105" s="290"/>
      <c r="M105" s="290"/>
      <c r="N105" s="290"/>
      <c r="O105" s="290"/>
      <c r="P105" s="290"/>
      <c r="Q105" s="290"/>
      <c r="R105" s="290"/>
      <c r="S105" s="290"/>
      <c r="T105" s="290"/>
      <c r="U105" s="290"/>
      <c r="V105" s="290"/>
    </row>
    <row r="106" spans="1:22" x14ac:dyDescent="0.35">
      <c r="A106" s="252" t="s">
        <v>19</v>
      </c>
      <c r="B106" s="303">
        <f t="shared" si="52"/>
        <v>7</v>
      </c>
      <c r="C106" s="304" t="s">
        <v>122</v>
      </c>
      <c r="D106" s="291">
        <f t="shared" si="51"/>
        <v>3.2196360810761021E-2</v>
      </c>
      <c r="E106" s="290">
        <f t="shared" si="51"/>
        <v>1.6098180405380511E-2</v>
      </c>
      <c r="F106" s="290">
        <f t="shared" si="51"/>
        <v>1.3922750620869631E-2</v>
      </c>
      <c r="G106" s="290">
        <f t="shared" si="51"/>
        <v>0</v>
      </c>
      <c r="H106" s="289">
        <f t="shared" si="51"/>
        <v>2.1754297845108803E-3</v>
      </c>
      <c r="K106" s="319"/>
      <c r="L106" s="290"/>
      <c r="M106" s="290"/>
      <c r="N106" s="290"/>
      <c r="O106" s="290"/>
      <c r="P106" s="290"/>
      <c r="Q106" s="290"/>
      <c r="R106" s="290"/>
      <c r="S106" s="290"/>
      <c r="T106" s="290"/>
      <c r="U106" s="290"/>
      <c r="V106" s="290"/>
    </row>
    <row r="107" spans="1:22" x14ac:dyDescent="0.35">
      <c r="A107" s="252" t="s">
        <v>16</v>
      </c>
      <c r="B107" s="303">
        <f t="shared" si="52"/>
        <v>3</v>
      </c>
      <c r="C107" s="304" t="s">
        <v>110</v>
      </c>
      <c r="D107" s="291">
        <f t="shared" si="51"/>
        <v>3.4334954985659666E-2</v>
      </c>
      <c r="E107" s="290">
        <f t="shared" si="51"/>
        <v>3.4334954985659666E-2</v>
      </c>
      <c r="F107" s="290">
        <f t="shared" si="51"/>
        <v>0</v>
      </c>
      <c r="G107" s="290">
        <f t="shared" si="51"/>
        <v>0</v>
      </c>
      <c r="H107" s="289">
        <f t="shared" si="51"/>
        <v>0</v>
      </c>
      <c r="K107" s="319"/>
      <c r="L107" s="290"/>
      <c r="M107" s="290"/>
      <c r="N107" s="290"/>
      <c r="O107" s="290"/>
      <c r="P107" s="290"/>
      <c r="Q107" s="290"/>
      <c r="R107" s="290"/>
      <c r="S107" s="290"/>
      <c r="T107" s="290"/>
      <c r="U107" s="290"/>
      <c r="V107" s="290"/>
    </row>
    <row r="108" spans="1:22" x14ac:dyDescent="0.35">
      <c r="A108" s="252" t="s">
        <v>20</v>
      </c>
      <c r="B108" s="303">
        <f t="shared" si="52"/>
        <v>2</v>
      </c>
      <c r="C108" s="304" t="s">
        <v>111</v>
      </c>
      <c r="D108" s="291">
        <f t="shared" si="51"/>
        <v>8.6632957806562966E-2</v>
      </c>
      <c r="E108" s="290">
        <f t="shared" si="51"/>
        <v>3.3899853054742031E-2</v>
      </c>
      <c r="F108" s="290">
        <f t="shared" si="51"/>
        <v>5.2733104751820942E-2</v>
      </c>
      <c r="G108" s="290">
        <f t="shared" si="51"/>
        <v>0</v>
      </c>
      <c r="H108" s="289">
        <f t="shared" si="51"/>
        <v>0</v>
      </c>
      <c r="K108" s="319"/>
      <c r="L108" s="290"/>
      <c r="M108" s="290"/>
      <c r="N108" s="290"/>
      <c r="O108" s="290"/>
      <c r="P108" s="290"/>
      <c r="Q108" s="290"/>
      <c r="R108" s="290"/>
      <c r="S108" s="290"/>
      <c r="T108" s="290"/>
      <c r="U108" s="290"/>
      <c r="V108" s="290"/>
    </row>
    <row r="109" spans="1:22" x14ac:dyDescent="0.35">
      <c r="A109" s="252" t="s">
        <v>26</v>
      </c>
      <c r="B109" s="303">
        <f t="shared" si="52"/>
        <v>18</v>
      </c>
      <c r="C109" s="304" t="s">
        <v>112</v>
      </c>
      <c r="D109" s="291">
        <f t="shared" si="51"/>
        <v>1.2114635924850764E-2</v>
      </c>
      <c r="E109" s="290">
        <f t="shared" si="51"/>
        <v>5.4241817635447267E-3</v>
      </c>
      <c r="F109" s="290">
        <f t="shared" si="51"/>
        <v>5.7454747599916265E-3</v>
      </c>
      <c r="G109" s="290">
        <f t="shared" si="51"/>
        <v>0</v>
      </c>
      <c r="H109" s="289">
        <f t="shared" si="51"/>
        <v>9.4497940131441224E-4</v>
      </c>
      <c r="K109" s="319"/>
      <c r="L109" s="290"/>
      <c r="M109" s="290"/>
      <c r="N109" s="290"/>
      <c r="O109" s="290"/>
      <c r="P109" s="290"/>
      <c r="Q109" s="290"/>
      <c r="R109" s="290"/>
      <c r="S109" s="290"/>
      <c r="T109" s="290"/>
      <c r="U109" s="290"/>
      <c r="V109" s="290"/>
    </row>
    <row r="110" spans="1:22" x14ac:dyDescent="0.35">
      <c r="A110" s="252" t="s">
        <v>25</v>
      </c>
      <c r="B110" s="303">
        <f t="shared" si="52"/>
        <v>4</v>
      </c>
      <c r="C110" s="304" t="s">
        <v>113</v>
      </c>
      <c r="D110" s="291">
        <f t="shared" si="51"/>
        <v>3.4188498259035117E-2</v>
      </c>
      <c r="E110" s="290">
        <f t="shared" si="51"/>
        <v>2.3100336661510214E-2</v>
      </c>
      <c r="F110" s="290">
        <f t="shared" si="51"/>
        <v>1.1088161597524902E-2</v>
      </c>
      <c r="G110" s="290">
        <f t="shared" si="51"/>
        <v>0</v>
      </c>
      <c r="H110" s="289">
        <f t="shared" si="51"/>
        <v>0</v>
      </c>
      <c r="K110" s="319"/>
      <c r="L110" s="290"/>
      <c r="M110" s="290"/>
      <c r="N110" s="290"/>
      <c r="O110" s="290"/>
      <c r="P110" s="290"/>
      <c r="Q110" s="290"/>
      <c r="R110" s="290"/>
      <c r="S110" s="290"/>
      <c r="T110" s="290"/>
      <c r="U110" s="290"/>
      <c r="V110" s="290"/>
    </row>
    <row r="111" spans="1:22" x14ac:dyDescent="0.35">
      <c r="A111" s="252" t="s">
        <v>14</v>
      </c>
      <c r="B111" s="303">
        <f t="shared" si="52"/>
        <v>13</v>
      </c>
      <c r="C111" s="304" t="s">
        <v>114</v>
      </c>
      <c r="D111" s="291">
        <f t="shared" si="51"/>
        <v>2.7139173983835085E-2</v>
      </c>
      <c r="E111" s="290">
        <f t="shared" si="51"/>
        <v>2.2491028163399242E-2</v>
      </c>
      <c r="F111" s="290">
        <f t="shared" si="51"/>
        <v>4.4982056326798485E-3</v>
      </c>
      <c r="G111" s="290">
        <f t="shared" si="51"/>
        <v>0</v>
      </c>
      <c r="H111" s="289">
        <f t="shared" si="51"/>
        <v>1.4994018775599496E-4</v>
      </c>
      <c r="L111" s="290"/>
      <c r="M111" s="290"/>
      <c r="N111" s="290"/>
      <c r="O111" s="290"/>
      <c r="P111" s="290"/>
      <c r="Q111" s="290"/>
      <c r="R111" s="290"/>
      <c r="S111" s="290"/>
      <c r="T111" s="290"/>
      <c r="U111" s="290"/>
      <c r="V111" s="290"/>
    </row>
    <row r="112" spans="1:22" x14ac:dyDescent="0.35">
      <c r="A112" s="278" t="s">
        <v>22</v>
      </c>
      <c r="B112" s="303">
        <f t="shared" si="52"/>
        <v>20</v>
      </c>
      <c r="C112" s="304" t="s">
        <v>115</v>
      </c>
      <c r="D112" s="291">
        <f t="shared" si="51"/>
        <v>1.1291891249609869E-2</v>
      </c>
      <c r="E112" s="290">
        <f t="shared" si="51"/>
        <v>7.527927499739912E-3</v>
      </c>
      <c r="F112" s="290">
        <f t="shared" si="51"/>
        <v>0</v>
      </c>
      <c r="G112" s="290">
        <f t="shared" si="51"/>
        <v>9.40990937467489E-4</v>
      </c>
      <c r="H112" s="289">
        <f t="shared" si="51"/>
        <v>2.8229728124024673E-3</v>
      </c>
      <c r="K112" s="300"/>
      <c r="L112" s="290"/>
      <c r="M112" s="290"/>
      <c r="N112" s="290"/>
      <c r="O112" s="290"/>
      <c r="P112" s="290"/>
      <c r="Q112" s="290"/>
      <c r="R112" s="290"/>
      <c r="S112" s="290"/>
      <c r="T112" s="290"/>
      <c r="U112" s="290"/>
      <c r="V112" s="290"/>
    </row>
    <row r="113" spans="1:22" ht="28" x14ac:dyDescent="0.35">
      <c r="A113" s="278" t="s">
        <v>31</v>
      </c>
      <c r="B113" s="303">
        <f t="shared" si="52"/>
        <v>21</v>
      </c>
      <c r="C113" s="280" t="s">
        <v>116</v>
      </c>
      <c r="D113" s="294">
        <f t="shared" si="51"/>
        <v>5.4646552354316964E-3</v>
      </c>
      <c r="E113" s="293">
        <f t="shared" si="51"/>
        <v>3.8516532428624121E-3</v>
      </c>
      <c r="F113" s="293">
        <f t="shared" si="51"/>
        <v>1.6130019925692839E-3</v>
      </c>
      <c r="G113" s="293">
        <f t="shared" si="51"/>
        <v>0</v>
      </c>
      <c r="H113" s="292">
        <f t="shared" si="51"/>
        <v>0</v>
      </c>
      <c r="K113" s="300"/>
      <c r="L113" s="290"/>
      <c r="M113" s="290"/>
      <c r="N113" s="290"/>
      <c r="O113" s="290"/>
      <c r="P113" s="290"/>
      <c r="Q113" s="290"/>
      <c r="R113" s="290"/>
      <c r="S113" s="290"/>
      <c r="T113" s="290"/>
      <c r="U113" s="290"/>
      <c r="V113" s="290"/>
    </row>
    <row r="114" spans="1:22" x14ac:dyDescent="0.35">
      <c r="A114" s="218"/>
      <c r="B114" s="308">
        <f>+RANK(D114,$D$94:$D$114,0)</f>
        <v>9</v>
      </c>
      <c r="C114" s="313" t="s">
        <v>125</v>
      </c>
      <c r="D114" s="315">
        <f>+AVERAGE(D94:D113)</f>
        <v>3.1271478469017615E-2</v>
      </c>
      <c r="E114" s="315">
        <f>+AVERAGE(E94:E113)</f>
        <v>1.8154477065850917E-2</v>
      </c>
      <c r="F114" s="315">
        <f>+AVERAGE(F94:F113)</f>
        <v>1.11320355904791E-2</v>
      </c>
      <c r="G114" s="315">
        <f>+AVERAGE(G94:G113)</f>
        <v>2.778118245057679E-4</v>
      </c>
      <c r="H114" s="315">
        <f>+AVERAGE(H94:H113)</f>
        <v>1.7071539881818357E-3</v>
      </c>
      <c r="K114" s="300"/>
    </row>
    <row r="115" spans="1:22" x14ac:dyDescent="0.35">
      <c r="K115" s="300"/>
    </row>
    <row r="116" spans="1:22" x14ac:dyDescent="0.35">
      <c r="K116" s="300"/>
    </row>
    <row r="117" spans="1:22" x14ac:dyDescent="0.35">
      <c r="A117" s="333" t="s">
        <v>128</v>
      </c>
      <c r="B117" s="264"/>
      <c r="C117" s="264"/>
      <c r="K117" s="300"/>
    </row>
    <row r="118" spans="1:22" ht="52" x14ac:dyDescent="0.35">
      <c r="A118" s="317"/>
      <c r="B118" s="317"/>
      <c r="C118" s="263"/>
      <c r="D118" s="219" t="s">
        <v>129</v>
      </c>
      <c r="E118" s="255" t="s">
        <v>40</v>
      </c>
      <c r="F118" s="255" t="s">
        <v>41</v>
      </c>
      <c r="G118" s="255" t="s">
        <v>42</v>
      </c>
      <c r="H118" s="220" t="s">
        <v>43</v>
      </c>
      <c r="K118" s="300"/>
    </row>
    <row r="119" spans="1:22" x14ac:dyDescent="0.35">
      <c r="A119" s="253" t="s">
        <v>11</v>
      </c>
      <c r="B119" s="265">
        <f t="shared" ref="B119:B139" si="53">+RANK(D119,$D$119:$D$139,0)</f>
        <v>12</v>
      </c>
      <c r="C119" s="266" t="s">
        <v>97</v>
      </c>
      <c r="D119" s="287">
        <f t="shared" ref="D119:H138" si="54">+L45</f>
        <v>4.6514329557110198E-2</v>
      </c>
      <c r="E119" s="287">
        <f t="shared" si="54"/>
        <v>2.5211843448921835E-2</v>
      </c>
      <c r="F119" s="287">
        <f t="shared" si="54"/>
        <v>3.511398809042038E-3</v>
      </c>
      <c r="G119" s="287">
        <f t="shared" si="54"/>
        <v>6.7887043641479397E-3</v>
      </c>
      <c r="H119" s="217">
        <f t="shared" si="54"/>
        <v>1.1002382934998386E-2</v>
      </c>
      <c r="K119" s="300"/>
    </row>
    <row r="120" spans="1:22" x14ac:dyDescent="0.35">
      <c r="A120" s="252" t="s">
        <v>13</v>
      </c>
      <c r="B120" s="259">
        <f t="shared" si="53"/>
        <v>3</v>
      </c>
      <c r="C120" s="215" t="s">
        <v>98</v>
      </c>
      <c r="D120" s="290">
        <f t="shared" si="54"/>
        <v>8.046332582735799E-2</v>
      </c>
      <c r="E120" s="290">
        <f t="shared" si="54"/>
        <v>1.6409923690147789E-2</v>
      </c>
      <c r="F120" s="290">
        <f t="shared" si="54"/>
        <v>5.4699745633825972E-2</v>
      </c>
      <c r="G120" s="290">
        <f t="shared" si="54"/>
        <v>9.3536565033842407E-3</v>
      </c>
      <c r="H120" s="289">
        <f t="shared" si="54"/>
        <v>0</v>
      </c>
      <c r="K120" s="300"/>
    </row>
    <row r="121" spans="1:22" x14ac:dyDescent="0.35">
      <c r="A121" s="252" t="s">
        <v>12</v>
      </c>
      <c r="B121" s="259">
        <f t="shared" si="53"/>
        <v>6</v>
      </c>
      <c r="C121" s="215" t="s">
        <v>99</v>
      </c>
      <c r="D121" s="290">
        <f t="shared" si="54"/>
        <v>5.7430767116967062E-2</v>
      </c>
      <c r="E121" s="290">
        <f t="shared" si="54"/>
        <v>3.3585243928050908E-2</v>
      </c>
      <c r="F121" s="290">
        <f t="shared" si="54"/>
        <v>0</v>
      </c>
      <c r="G121" s="290">
        <f t="shared" si="54"/>
        <v>1.6792621964025456E-3</v>
      </c>
      <c r="H121" s="289">
        <f t="shared" si="54"/>
        <v>2.2166260992513599E-2</v>
      </c>
      <c r="K121" s="300"/>
    </row>
    <row r="122" spans="1:22" x14ac:dyDescent="0.35">
      <c r="A122" s="252" t="s">
        <v>28</v>
      </c>
      <c r="B122" s="259">
        <f t="shared" si="53"/>
        <v>21</v>
      </c>
      <c r="C122" s="215" t="s">
        <v>100</v>
      </c>
      <c r="D122" s="290">
        <f t="shared" si="54"/>
        <v>6.856994094747047E-3</v>
      </c>
      <c r="E122" s="290">
        <f t="shared" si="54"/>
        <v>0</v>
      </c>
      <c r="F122" s="290">
        <f t="shared" si="54"/>
        <v>0</v>
      </c>
      <c r="G122" s="290">
        <f t="shared" si="54"/>
        <v>4.9828482033411302E-3</v>
      </c>
      <c r="H122" s="289">
        <f t="shared" si="54"/>
        <v>1.8741458914059176E-3</v>
      </c>
      <c r="K122" s="300"/>
    </row>
    <row r="123" spans="1:22" x14ac:dyDescent="0.35">
      <c r="A123" s="252" t="s">
        <v>15</v>
      </c>
      <c r="B123" s="259">
        <f t="shared" si="53"/>
        <v>7</v>
      </c>
      <c r="C123" s="215" t="s">
        <v>101</v>
      </c>
      <c r="D123" s="290">
        <f t="shared" si="54"/>
        <v>5.6560781425666271E-2</v>
      </c>
      <c r="E123" s="290">
        <f t="shared" si="54"/>
        <v>2.7931250086748769E-2</v>
      </c>
      <c r="F123" s="290">
        <f t="shared" si="54"/>
        <v>0</v>
      </c>
      <c r="G123" s="290">
        <f t="shared" si="54"/>
        <v>1.9319114643334568E-2</v>
      </c>
      <c r="H123" s="289">
        <f t="shared" si="54"/>
        <v>9.3104166955829248E-3</v>
      </c>
      <c r="K123" s="300"/>
    </row>
    <row r="124" spans="1:22" x14ac:dyDescent="0.35">
      <c r="A124" s="252" t="s">
        <v>18</v>
      </c>
      <c r="B124" s="259">
        <f t="shared" si="53"/>
        <v>5</v>
      </c>
      <c r="C124" s="215" t="s">
        <v>102</v>
      </c>
      <c r="D124" s="290">
        <f t="shared" si="54"/>
        <v>6.3375825711548039E-2</v>
      </c>
      <c r="E124" s="290">
        <f t="shared" si="54"/>
        <v>2.0307290166165119E-2</v>
      </c>
      <c r="F124" s="290">
        <f t="shared" si="54"/>
        <v>2.1665794006577546E-2</v>
      </c>
      <c r="G124" s="290">
        <f t="shared" si="54"/>
        <v>9.0807153258337485E-4</v>
      </c>
      <c r="H124" s="289">
        <f t="shared" si="54"/>
        <v>4.3046864930817216E-3</v>
      </c>
      <c r="K124" s="300"/>
    </row>
    <row r="125" spans="1:22" x14ac:dyDescent="0.35">
      <c r="A125" s="252" t="s">
        <v>17</v>
      </c>
      <c r="B125" s="259">
        <f t="shared" si="53"/>
        <v>1</v>
      </c>
      <c r="C125" s="215" t="s">
        <v>103</v>
      </c>
      <c r="D125" s="290">
        <f t="shared" si="54"/>
        <v>0.21349111683604136</v>
      </c>
      <c r="E125" s="290">
        <f t="shared" si="54"/>
        <v>1.6722084607621035E-2</v>
      </c>
      <c r="F125" s="290">
        <f t="shared" si="54"/>
        <v>2.2587946747467155E-2</v>
      </c>
      <c r="G125" s="290">
        <f t="shared" si="54"/>
        <v>0.16634534426429301</v>
      </c>
      <c r="H125" s="289">
        <f t="shared" si="54"/>
        <v>7.8357412166601172E-3</v>
      </c>
      <c r="K125" s="300"/>
    </row>
    <row r="126" spans="1:22" x14ac:dyDescent="0.35">
      <c r="A126" s="252" t="s">
        <v>21</v>
      </c>
      <c r="B126" s="259">
        <f t="shared" si="53"/>
        <v>11</v>
      </c>
      <c r="C126" s="215" t="s">
        <v>104</v>
      </c>
      <c r="D126" s="290">
        <f t="shared" si="54"/>
        <v>4.7167814273899461E-2</v>
      </c>
      <c r="E126" s="290">
        <f t="shared" si="54"/>
        <v>1.3662658120379719E-2</v>
      </c>
      <c r="F126" s="290">
        <f t="shared" si="54"/>
        <v>1.4891180512675442E-2</v>
      </c>
      <c r="G126" s="290">
        <f t="shared" si="54"/>
        <v>1.1168385384506581E-2</v>
      </c>
      <c r="H126" s="289">
        <f t="shared" si="54"/>
        <v>7.4455902563377212E-3</v>
      </c>
      <c r="K126" s="300"/>
    </row>
    <row r="127" spans="1:22" x14ac:dyDescent="0.35">
      <c r="A127" s="252" t="s">
        <v>27</v>
      </c>
      <c r="B127" s="259">
        <f t="shared" si="53"/>
        <v>18</v>
      </c>
      <c r="C127" s="215" t="s">
        <v>105</v>
      </c>
      <c r="D127" s="290">
        <f t="shared" si="54"/>
        <v>1.6987154333586132E-2</v>
      </c>
      <c r="E127" s="290">
        <f t="shared" si="54"/>
        <v>0</v>
      </c>
      <c r="F127" s="290">
        <f t="shared" si="54"/>
        <v>0</v>
      </c>
      <c r="G127" s="290">
        <f t="shared" si="54"/>
        <v>0</v>
      </c>
      <c r="H127" s="289">
        <f t="shared" si="54"/>
        <v>1.6987154333586132E-2</v>
      </c>
      <c r="K127" s="300"/>
    </row>
    <row r="128" spans="1:22" x14ac:dyDescent="0.35">
      <c r="A128" s="252" t="s">
        <v>29</v>
      </c>
      <c r="B128" s="259">
        <f t="shared" si="53"/>
        <v>15</v>
      </c>
      <c r="C128" s="215" t="s">
        <v>106</v>
      </c>
      <c r="D128" s="290">
        <f t="shared" si="54"/>
        <v>2.5803127702611003E-2</v>
      </c>
      <c r="E128" s="290">
        <f t="shared" si="54"/>
        <v>5.4094607343000006E-3</v>
      </c>
      <c r="F128" s="290">
        <f t="shared" si="54"/>
        <v>0</v>
      </c>
      <c r="G128" s="290">
        <f t="shared" si="54"/>
        <v>0</v>
      </c>
      <c r="H128" s="289">
        <f t="shared" si="54"/>
        <v>2.0393666968311002E-2</v>
      </c>
      <c r="K128" s="300"/>
    </row>
    <row r="129" spans="1:11" x14ac:dyDescent="0.35">
      <c r="A129" s="252" t="s">
        <v>24</v>
      </c>
      <c r="B129" s="259">
        <f t="shared" si="53"/>
        <v>2</v>
      </c>
      <c r="C129" s="215" t="s">
        <v>121</v>
      </c>
      <c r="D129" s="290">
        <f t="shared" si="54"/>
        <v>0.14056092851795735</v>
      </c>
      <c r="E129" s="290">
        <f t="shared" si="54"/>
        <v>2.5502771674307277E-2</v>
      </c>
      <c r="F129" s="290">
        <f t="shared" si="54"/>
        <v>8.5563646994233827E-2</v>
      </c>
      <c r="G129" s="290">
        <f t="shared" si="54"/>
        <v>7.318186654366436E-3</v>
      </c>
      <c r="H129" s="289">
        <f t="shared" si="54"/>
        <v>2.2176323195049804E-2</v>
      </c>
      <c r="K129" s="300"/>
    </row>
    <row r="130" spans="1:11" x14ac:dyDescent="0.35">
      <c r="A130" s="252" t="s">
        <v>23</v>
      </c>
      <c r="B130" s="259">
        <f t="shared" si="53"/>
        <v>4</v>
      </c>
      <c r="C130" s="215" t="s">
        <v>108</v>
      </c>
      <c r="D130" s="290">
        <f t="shared" si="54"/>
        <v>7.9218244284564865E-2</v>
      </c>
      <c r="E130" s="290">
        <f t="shared" si="54"/>
        <v>3.0528297759738046E-2</v>
      </c>
      <c r="F130" s="290">
        <f t="shared" si="54"/>
        <v>2.6167112365489749E-2</v>
      </c>
      <c r="G130" s="290">
        <f t="shared" si="54"/>
        <v>6.5417780913724372E-3</v>
      </c>
      <c r="H130" s="289">
        <f t="shared" si="54"/>
        <v>1.5981056067964631E-2</v>
      </c>
      <c r="K130" s="300"/>
    </row>
    <row r="131" spans="1:11" x14ac:dyDescent="0.35">
      <c r="A131" s="252" t="s">
        <v>19</v>
      </c>
      <c r="B131" s="259">
        <f t="shared" si="53"/>
        <v>16</v>
      </c>
      <c r="C131" s="215" t="s">
        <v>122</v>
      </c>
      <c r="D131" s="290">
        <f t="shared" si="54"/>
        <v>2.4660672037215337E-2</v>
      </c>
      <c r="E131" s="290">
        <f t="shared" si="54"/>
        <v>7.3964612673369928E-3</v>
      </c>
      <c r="F131" s="290">
        <f t="shared" si="54"/>
        <v>1.3922750620869631E-2</v>
      </c>
      <c r="G131" s="290">
        <f t="shared" si="54"/>
        <v>7.3094440759565566E-4</v>
      </c>
      <c r="H131" s="289">
        <f t="shared" si="54"/>
        <v>2.6105157414130563E-3</v>
      </c>
    </row>
    <row r="132" spans="1:11" x14ac:dyDescent="0.35">
      <c r="A132" s="252" t="s">
        <v>16</v>
      </c>
      <c r="B132" s="259">
        <f t="shared" si="53"/>
        <v>10</v>
      </c>
      <c r="C132" s="215" t="s">
        <v>110</v>
      </c>
      <c r="D132" s="290">
        <f t="shared" si="54"/>
        <v>4.744386472249229E-2</v>
      </c>
      <c r="E132" s="290">
        <f t="shared" si="54"/>
        <v>0</v>
      </c>
      <c r="F132" s="290">
        <f t="shared" si="54"/>
        <v>2.3770353451610535E-2</v>
      </c>
      <c r="G132" s="290">
        <f t="shared" si="54"/>
        <v>2.3673511270881752E-2</v>
      </c>
      <c r="H132" s="289">
        <f t="shared" si="54"/>
        <v>0</v>
      </c>
    </row>
    <row r="133" spans="1:11" x14ac:dyDescent="0.35">
      <c r="A133" s="252" t="s">
        <v>20</v>
      </c>
      <c r="B133" s="259">
        <f t="shared" si="53"/>
        <v>8</v>
      </c>
      <c r="C133" s="215" t="s">
        <v>111</v>
      </c>
      <c r="D133" s="290">
        <f t="shared" si="54"/>
        <v>5.375022190868179E-2</v>
      </c>
      <c r="E133" s="290">
        <f t="shared" si="54"/>
        <v>5.2733104751820942E-2</v>
      </c>
      <c r="F133" s="290">
        <f t="shared" si="54"/>
        <v>0</v>
      </c>
      <c r="G133" s="290">
        <f t="shared" si="54"/>
        <v>0</v>
      </c>
      <c r="H133" s="289">
        <f t="shared" si="54"/>
        <v>1.0171171568608469E-3</v>
      </c>
    </row>
    <row r="134" spans="1:11" x14ac:dyDescent="0.35">
      <c r="A134" s="252" t="s">
        <v>26</v>
      </c>
      <c r="B134" s="259">
        <f t="shared" si="53"/>
        <v>19</v>
      </c>
      <c r="C134" s="215" t="s">
        <v>112</v>
      </c>
      <c r="D134" s="290">
        <f t="shared" si="54"/>
        <v>1.4838257848676255E-2</v>
      </c>
      <c r="E134" s="290">
        <f t="shared" si="54"/>
        <v>1.3735825979514834E-2</v>
      </c>
      <c r="F134" s="290">
        <f t="shared" si="54"/>
        <v>8.6013915066440413E-4</v>
      </c>
      <c r="G134" s="290">
        <f t="shared" si="54"/>
        <v>1.2114635924850763E-4</v>
      </c>
      <c r="H134" s="289">
        <f t="shared" si="54"/>
        <v>1.2114635924850763E-4</v>
      </c>
    </row>
    <row r="135" spans="1:11" x14ac:dyDescent="0.35">
      <c r="A135" s="252" t="s">
        <v>25</v>
      </c>
      <c r="B135" s="259">
        <f t="shared" si="53"/>
        <v>14</v>
      </c>
      <c r="C135" s="215" t="s">
        <v>113</v>
      </c>
      <c r="D135" s="290">
        <f t="shared" si="54"/>
        <v>2.8205511063703972E-2</v>
      </c>
      <c r="E135" s="290">
        <f t="shared" si="54"/>
        <v>2.494836359443103E-2</v>
      </c>
      <c r="F135" s="290">
        <f t="shared" si="54"/>
        <v>2.5641373694276336E-3</v>
      </c>
      <c r="G135" s="290">
        <f t="shared" si="54"/>
        <v>6.9301009984530637E-4</v>
      </c>
      <c r="H135" s="289">
        <f t="shared" si="54"/>
        <v>0</v>
      </c>
    </row>
    <row r="136" spans="1:11" x14ac:dyDescent="0.35">
      <c r="A136" s="252" t="s">
        <v>14</v>
      </c>
      <c r="B136" s="259">
        <f t="shared" si="53"/>
        <v>17</v>
      </c>
      <c r="C136" s="215" t="s">
        <v>114</v>
      </c>
      <c r="D136" s="290">
        <f t="shared" si="54"/>
        <v>1.7188993184159503E-2</v>
      </c>
      <c r="E136" s="290">
        <f t="shared" si="54"/>
        <v>1.1245514081699621E-2</v>
      </c>
      <c r="F136" s="290">
        <f t="shared" si="54"/>
        <v>1.3569586991917543E-3</v>
      </c>
      <c r="G136" s="290">
        <f t="shared" si="54"/>
        <v>1.8726030048846212E-3</v>
      </c>
      <c r="H136" s="289">
        <f t="shared" si="54"/>
        <v>2.7139173983835086E-3</v>
      </c>
    </row>
    <row r="137" spans="1:11" x14ac:dyDescent="0.35">
      <c r="A137" s="278" t="s">
        <v>22</v>
      </c>
      <c r="B137" s="259">
        <f t="shared" si="53"/>
        <v>13</v>
      </c>
      <c r="C137" s="215" t="s">
        <v>115</v>
      </c>
      <c r="D137" s="290">
        <f t="shared" si="54"/>
        <v>2.9645919484913241E-2</v>
      </c>
      <c r="E137" s="290">
        <f t="shared" si="54"/>
        <v>1.6937836874414802E-2</v>
      </c>
      <c r="F137" s="290">
        <f t="shared" si="54"/>
        <v>0</v>
      </c>
      <c r="G137" s="290">
        <f t="shared" si="54"/>
        <v>5.180155110758527E-3</v>
      </c>
      <c r="H137" s="289">
        <f t="shared" si="54"/>
        <v>7.527927499739912E-3</v>
      </c>
    </row>
    <row r="138" spans="1:11" ht="28" x14ac:dyDescent="0.35">
      <c r="A138" s="278" t="s">
        <v>31</v>
      </c>
      <c r="B138" s="279">
        <f t="shared" si="53"/>
        <v>20</v>
      </c>
      <c r="C138" s="280" t="s">
        <v>116</v>
      </c>
      <c r="D138" s="293">
        <f t="shared" si="54"/>
        <v>7.7033064857248241E-3</v>
      </c>
      <c r="E138" s="293">
        <f t="shared" si="54"/>
        <v>7.7033064857248241E-3</v>
      </c>
      <c r="F138" s="293">
        <f t="shared" si="54"/>
        <v>0</v>
      </c>
      <c r="G138" s="293">
        <f t="shared" si="54"/>
        <v>0</v>
      </c>
      <c r="H138" s="292">
        <f t="shared" si="54"/>
        <v>0</v>
      </c>
    </row>
    <row r="139" spans="1:11" x14ac:dyDescent="0.35">
      <c r="A139" s="218"/>
      <c r="B139" s="218">
        <f t="shared" si="53"/>
        <v>9</v>
      </c>
      <c r="C139" s="320" t="s">
        <v>125</v>
      </c>
      <c r="D139" s="315">
        <f>+AVERAGE(D119:D138)</f>
        <v>5.2893357820881205E-2</v>
      </c>
      <c r="E139" s="315">
        <f>+AVERAGE(E119:E138)</f>
        <v>1.7498561862566174E-2</v>
      </c>
      <c r="F139" s="315">
        <f>+AVERAGE(F119:F138)</f>
        <v>1.3578058218053784E-2</v>
      </c>
      <c r="G139" s="315">
        <f>+AVERAGE(G119:G138)</f>
        <v>1.3333836104547327E-2</v>
      </c>
      <c r="H139" s="315">
        <f>+AVERAGE(H119:H138)</f>
        <v>7.6734024600568886E-3</v>
      </c>
    </row>
    <row r="141" spans="1:11" x14ac:dyDescent="0.35">
      <c r="A141" s="333" t="s">
        <v>130</v>
      </c>
    </row>
    <row r="142" spans="1:11" ht="34.5" x14ac:dyDescent="0.35">
      <c r="A142" s="321"/>
      <c r="B142" s="322"/>
      <c r="C142" s="323"/>
      <c r="D142" s="324" t="s">
        <v>131</v>
      </c>
      <c r="E142" s="321" t="s">
        <v>132</v>
      </c>
      <c r="F142" s="321" t="s">
        <v>133</v>
      </c>
      <c r="G142" s="321" t="s">
        <v>47</v>
      </c>
      <c r="H142" s="323" t="s">
        <v>48</v>
      </c>
    </row>
    <row r="143" spans="1:11" x14ac:dyDescent="0.35">
      <c r="A143" s="253" t="s">
        <v>11</v>
      </c>
      <c r="B143" s="295">
        <f>+RANK(D143,$D$143:$D$163,0)</f>
        <v>4</v>
      </c>
      <c r="C143" s="266" t="s">
        <v>97</v>
      </c>
      <c r="D143" s="325">
        <f>+G143+H143</f>
        <v>2.5210042731583865E-2</v>
      </c>
      <c r="E143" s="297">
        <f t="shared" ref="E143:F162" si="55">+S45</f>
        <v>9.0035866898513797E-2</v>
      </c>
      <c r="F143" s="297">
        <f t="shared" si="55"/>
        <v>3.6014346759405513E-2</v>
      </c>
      <c r="G143" s="297">
        <f>+E143/5</f>
        <v>1.800717337970276E-2</v>
      </c>
      <c r="H143" s="326">
        <f>+F143/5</f>
        <v>7.202869351881103E-3</v>
      </c>
    </row>
    <row r="144" spans="1:11" x14ac:dyDescent="0.35">
      <c r="A144" s="252" t="s">
        <v>13</v>
      </c>
      <c r="B144" s="303">
        <f t="shared" ref="B144:B163" si="56">+RANK(D144,$D$143:$D$163,0)</f>
        <v>7</v>
      </c>
      <c r="C144" s="215" t="s">
        <v>98</v>
      </c>
      <c r="D144" s="327">
        <f t="shared" ref="D144:D163" si="57">+G144+H144</f>
        <v>1.4586598835686925E-2</v>
      </c>
      <c r="E144" s="301">
        <f>+S46</f>
        <v>4.5583121361521636E-2</v>
      </c>
      <c r="F144" s="301">
        <f t="shared" si="55"/>
        <v>2.7349872816912986E-2</v>
      </c>
      <c r="G144" s="301">
        <f>+E144/5</f>
        <v>9.1166242723043269E-3</v>
      </c>
      <c r="H144" s="302">
        <f t="shared" ref="H144:H162" si="58">+F144/5</f>
        <v>5.4699745633825974E-3</v>
      </c>
    </row>
    <row r="145" spans="1:8" x14ac:dyDescent="0.35">
      <c r="A145" s="252" t="s">
        <v>12</v>
      </c>
      <c r="B145" s="303">
        <f t="shared" si="56"/>
        <v>11</v>
      </c>
      <c r="C145" s="215" t="s">
        <v>99</v>
      </c>
      <c r="D145" s="327">
        <f t="shared" si="57"/>
        <v>8.468583025908534E-3</v>
      </c>
      <c r="E145" s="301">
        <f t="shared" si="55"/>
        <v>2.4487468990578892E-2</v>
      </c>
      <c r="F145" s="301">
        <f t="shared" si="55"/>
        <v>1.7855446138963778E-2</v>
      </c>
      <c r="G145" s="301">
        <f t="shared" ref="G145:G162" si="59">+E145/5</f>
        <v>4.8974937981157785E-3</v>
      </c>
      <c r="H145" s="302">
        <f t="shared" si="58"/>
        <v>3.5710892277927555E-3</v>
      </c>
    </row>
    <row r="146" spans="1:8" x14ac:dyDescent="0.35">
      <c r="A146" s="252" t="s">
        <v>28</v>
      </c>
      <c r="B146" s="303">
        <f t="shared" si="56"/>
        <v>6</v>
      </c>
      <c r="C146" s="215" t="s">
        <v>100</v>
      </c>
      <c r="D146" s="327">
        <f t="shared" si="57"/>
        <v>1.4670417936641235E-2</v>
      </c>
      <c r="E146" s="301">
        <f t="shared" si="55"/>
        <v>6.1126741402671811E-2</v>
      </c>
      <c r="F146" s="301">
        <f t="shared" si="55"/>
        <v>1.2225348280534362E-2</v>
      </c>
      <c r="G146" s="301">
        <f t="shared" si="59"/>
        <v>1.2225348280534362E-2</v>
      </c>
      <c r="H146" s="302">
        <f t="shared" si="58"/>
        <v>2.4450696561068722E-3</v>
      </c>
    </row>
    <row r="147" spans="1:8" x14ac:dyDescent="0.35">
      <c r="A147" s="252" t="s">
        <v>15</v>
      </c>
      <c r="B147" s="303">
        <f t="shared" si="56"/>
        <v>9</v>
      </c>
      <c r="C147" s="215" t="s">
        <v>101</v>
      </c>
      <c r="D147" s="327">
        <f t="shared" si="57"/>
        <v>1.3847771667480932E-2</v>
      </c>
      <c r="E147" s="301">
        <f t="shared" si="55"/>
        <v>6.4819356741400103E-2</v>
      </c>
      <c r="F147" s="301">
        <f t="shared" si="55"/>
        <v>4.4195015960045523E-3</v>
      </c>
      <c r="G147" s="301">
        <f t="shared" si="59"/>
        <v>1.2963871348280021E-2</v>
      </c>
      <c r="H147" s="302">
        <f t="shared" si="58"/>
        <v>8.8390031920091046E-4</v>
      </c>
    </row>
    <row r="148" spans="1:8" x14ac:dyDescent="0.35">
      <c r="A148" s="252" t="s">
        <v>18</v>
      </c>
      <c r="B148" s="303">
        <f t="shared" si="56"/>
        <v>18</v>
      </c>
      <c r="C148" s="215" t="s">
        <v>102</v>
      </c>
      <c r="D148" s="327">
        <f t="shared" si="57"/>
        <v>3.2719402840702553E-3</v>
      </c>
      <c r="E148" s="301">
        <f t="shared" si="55"/>
        <v>1.2756242957718837E-2</v>
      </c>
      <c r="F148" s="301">
        <f t="shared" si="55"/>
        <v>3.6034584626324397E-3</v>
      </c>
      <c r="G148" s="301">
        <f t="shared" si="59"/>
        <v>2.5512485915437674E-3</v>
      </c>
      <c r="H148" s="302">
        <f t="shared" si="58"/>
        <v>7.2069169252648795E-4</v>
      </c>
    </row>
    <row r="149" spans="1:8" x14ac:dyDescent="0.35">
      <c r="A149" s="252" t="s">
        <v>17</v>
      </c>
      <c r="B149" s="303">
        <f t="shared" si="56"/>
        <v>13</v>
      </c>
      <c r="C149" s="215" t="s">
        <v>103</v>
      </c>
      <c r="D149" s="327">
        <f t="shared" si="57"/>
        <v>6.7346293224410129E-3</v>
      </c>
      <c r="E149" s="301">
        <f t="shared" si="55"/>
        <v>3.3673146612205065E-2</v>
      </c>
      <c r="F149" s="301">
        <f t="shared" si="55"/>
        <v>0</v>
      </c>
      <c r="G149" s="301">
        <f t="shared" si="59"/>
        <v>6.7346293224410129E-3</v>
      </c>
      <c r="H149" s="302">
        <f t="shared" si="58"/>
        <v>0</v>
      </c>
    </row>
    <row r="150" spans="1:8" x14ac:dyDescent="0.35">
      <c r="A150" s="252" t="s">
        <v>21</v>
      </c>
      <c r="B150" s="303">
        <f t="shared" si="56"/>
        <v>14</v>
      </c>
      <c r="C150" s="215" t="s">
        <v>104</v>
      </c>
      <c r="D150" s="327">
        <f t="shared" si="57"/>
        <v>6.2046585469481014E-3</v>
      </c>
      <c r="E150" s="301">
        <f t="shared" si="55"/>
        <v>3.1023292734740505E-2</v>
      </c>
      <c r="F150" s="301">
        <f t="shared" si="55"/>
        <v>0</v>
      </c>
      <c r="G150" s="301">
        <f t="shared" si="59"/>
        <v>6.2046585469481014E-3</v>
      </c>
      <c r="H150" s="302">
        <f t="shared" si="58"/>
        <v>0</v>
      </c>
    </row>
    <row r="151" spans="1:8" x14ac:dyDescent="0.35">
      <c r="A151" s="252" t="s">
        <v>27</v>
      </c>
      <c r="B151" s="303">
        <f t="shared" si="56"/>
        <v>1</v>
      </c>
      <c r="C151" s="215" t="s">
        <v>105</v>
      </c>
      <c r="D151" s="327">
        <f t="shared" si="57"/>
        <v>6.701781435716174E-2</v>
      </c>
      <c r="E151" s="301">
        <f t="shared" si="55"/>
        <v>0.27924089315484057</v>
      </c>
      <c r="F151" s="301">
        <f t="shared" si="55"/>
        <v>5.5848178630968109E-2</v>
      </c>
      <c r="G151" s="301">
        <f t="shared" si="59"/>
        <v>5.5848178630968116E-2</v>
      </c>
      <c r="H151" s="302">
        <f t="shared" si="58"/>
        <v>1.1169635726193622E-2</v>
      </c>
    </row>
    <row r="152" spans="1:8" x14ac:dyDescent="0.35">
      <c r="A152" s="252" t="s">
        <v>29</v>
      </c>
      <c r="B152" s="303">
        <f t="shared" si="56"/>
        <v>10</v>
      </c>
      <c r="C152" s="215" t="s">
        <v>106</v>
      </c>
      <c r="D152" s="327">
        <f t="shared" si="57"/>
        <v>1.1619225248469043E-2</v>
      </c>
      <c r="E152" s="301">
        <f t="shared" si="55"/>
        <v>4.1497233030246584E-2</v>
      </c>
      <c r="F152" s="301">
        <f t="shared" si="55"/>
        <v>1.659889321209863E-2</v>
      </c>
      <c r="G152" s="301">
        <f t="shared" si="59"/>
        <v>8.2994466060493169E-3</v>
      </c>
      <c r="H152" s="302">
        <f t="shared" si="58"/>
        <v>3.3197786424197261E-3</v>
      </c>
    </row>
    <row r="153" spans="1:8" x14ac:dyDescent="0.35">
      <c r="A153" s="252" t="s">
        <v>24</v>
      </c>
      <c r="B153" s="303">
        <f t="shared" si="56"/>
        <v>12</v>
      </c>
      <c r="C153" s="215" t="s">
        <v>121</v>
      </c>
      <c r="D153" s="327">
        <f t="shared" si="57"/>
        <v>7.8060657646575309E-3</v>
      </c>
      <c r="E153" s="301">
        <f t="shared" si="55"/>
        <v>3.9030328823287656E-2</v>
      </c>
      <c r="F153" s="301">
        <f t="shared" si="55"/>
        <v>0</v>
      </c>
      <c r="G153" s="301">
        <f t="shared" si="59"/>
        <v>7.8060657646575309E-3</v>
      </c>
      <c r="H153" s="302">
        <f t="shared" si="58"/>
        <v>0</v>
      </c>
    </row>
    <row r="154" spans="1:8" x14ac:dyDescent="0.35">
      <c r="A154" s="252" t="s">
        <v>23</v>
      </c>
      <c r="B154" s="303">
        <f t="shared" si="56"/>
        <v>3</v>
      </c>
      <c r="C154" s="215" t="s">
        <v>108</v>
      </c>
      <c r="D154" s="327">
        <f t="shared" si="57"/>
        <v>3.1065978150809755E-2</v>
      </c>
      <c r="E154" s="301">
        <f t="shared" si="55"/>
        <v>0.15532989075404877</v>
      </c>
      <c r="F154" s="301">
        <f t="shared" si="55"/>
        <v>0</v>
      </c>
      <c r="G154" s="301">
        <f t="shared" si="59"/>
        <v>3.1065978150809755E-2</v>
      </c>
      <c r="H154" s="302">
        <f t="shared" si="58"/>
        <v>0</v>
      </c>
    </row>
    <row r="155" spans="1:8" x14ac:dyDescent="0.35">
      <c r="A155" s="252" t="s">
        <v>19</v>
      </c>
      <c r="B155" s="303">
        <f t="shared" si="56"/>
        <v>21</v>
      </c>
      <c r="C155" s="215" t="s">
        <v>122</v>
      </c>
      <c r="D155" s="327">
        <f t="shared" si="57"/>
        <v>2.3011212831715085E-3</v>
      </c>
      <c r="E155" s="301">
        <f t="shared" si="55"/>
        <v>1.1505606415857543E-2</v>
      </c>
      <c r="F155" s="301">
        <f t="shared" si="55"/>
        <v>0</v>
      </c>
      <c r="G155" s="301">
        <f t="shared" si="59"/>
        <v>2.3011212831715085E-3</v>
      </c>
      <c r="H155" s="302">
        <f t="shared" si="58"/>
        <v>0</v>
      </c>
    </row>
    <row r="156" spans="1:8" x14ac:dyDescent="0.35">
      <c r="A156" s="252" t="s">
        <v>16</v>
      </c>
      <c r="B156" s="303">
        <f t="shared" si="56"/>
        <v>2</v>
      </c>
      <c r="C156" s="215" t="s">
        <v>110</v>
      </c>
      <c r="D156" s="327">
        <f t="shared" si="57"/>
        <v>3.2562128015904843E-2</v>
      </c>
      <c r="E156" s="301">
        <f t="shared" si="55"/>
        <v>0.1628106400795242</v>
      </c>
      <c r="F156" s="301">
        <f t="shared" si="55"/>
        <v>0</v>
      </c>
      <c r="G156" s="301">
        <f t="shared" si="59"/>
        <v>3.2562128015904843E-2</v>
      </c>
      <c r="H156" s="302">
        <f t="shared" si="58"/>
        <v>0</v>
      </c>
    </row>
    <row r="157" spans="1:8" x14ac:dyDescent="0.35">
      <c r="A157" s="252" t="s">
        <v>20</v>
      </c>
      <c r="B157" s="303">
        <f t="shared" si="56"/>
        <v>16</v>
      </c>
      <c r="C157" s="215" t="s">
        <v>111</v>
      </c>
      <c r="D157" s="327">
        <f t="shared" si="57"/>
        <v>4.6358773408194231E-3</v>
      </c>
      <c r="E157" s="301">
        <f t="shared" si="55"/>
        <v>1.4487116690060696E-2</v>
      </c>
      <c r="F157" s="301">
        <f t="shared" si="55"/>
        <v>8.6922700140364181E-3</v>
      </c>
      <c r="G157" s="301">
        <f t="shared" si="59"/>
        <v>2.8974233380121392E-3</v>
      </c>
      <c r="H157" s="302">
        <f t="shared" si="58"/>
        <v>1.7384540028072837E-3</v>
      </c>
    </row>
    <row r="158" spans="1:8" x14ac:dyDescent="0.35">
      <c r="A158" s="252" t="s">
        <v>26</v>
      </c>
      <c r="B158" s="303">
        <f t="shared" si="56"/>
        <v>20</v>
      </c>
      <c r="C158" s="215" t="s">
        <v>112</v>
      </c>
      <c r="D158" s="327">
        <f t="shared" si="57"/>
        <v>2.7719395771889426E-3</v>
      </c>
      <c r="E158" s="301">
        <f t="shared" si="55"/>
        <v>1.1145910887298197E-2</v>
      </c>
      <c r="F158" s="301">
        <f t="shared" si="55"/>
        <v>2.7137869986465168E-3</v>
      </c>
      <c r="G158" s="301">
        <f t="shared" si="59"/>
        <v>2.2291821774596396E-3</v>
      </c>
      <c r="H158" s="302">
        <f t="shared" si="58"/>
        <v>5.4275739972930331E-4</v>
      </c>
    </row>
    <row r="159" spans="1:8" x14ac:dyDescent="0.35">
      <c r="A159" s="252" t="s">
        <v>25</v>
      </c>
      <c r="B159" s="303">
        <f t="shared" si="56"/>
        <v>15</v>
      </c>
      <c r="C159" s="215" t="s">
        <v>113</v>
      </c>
      <c r="D159" s="327">
        <f t="shared" si="57"/>
        <v>6.160089776402723E-3</v>
      </c>
      <c r="E159" s="301">
        <f t="shared" si="55"/>
        <v>3.0800448882013616E-2</v>
      </c>
      <c r="F159" s="301">
        <f t="shared" si="55"/>
        <v>0</v>
      </c>
      <c r="G159" s="301">
        <f t="shared" si="59"/>
        <v>6.160089776402723E-3</v>
      </c>
      <c r="H159" s="302">
        <f t="shared" si="58"/>
        <v>0</v>
      </c>
    </row>
    <row r="160" spans="1:8" x14ac:dyDescent="0.35">
      <c r="A160" s="252" t="s">
        <v>14</v>
      </c>
      <c r="B160" s="303">
        <f t="shared" si="56"/>
        <v>19</v>
      </c>
      <c r="C160" s="215" t="s">
        <v>114</v>
      </c>
      <c r="D160" s="327">
        <f t="shared" si="57"/>
        <v>2.9821437342581218E-3</v>
      </c>
      <c r="E160" s="301">
        <f t="shared" si="55"/>
        <v>1.491071867129061E-2</v>
      </c>
      <c r="F160" s="301">
        <f t="shared" si="55"/>
        <v>0</v>
      </c>
      <c r="G160" s="301">
        <f t="shared" si="59"/>
        <v>2.9821437342581218E-3</v>
      </c>
      <c r="H160" s="302">
        <f t="shared" si="58"/>
        <v>0</v>
      </c>
    </row>
    <row r="161" spans="1:8" x14ac:dyDescent="0.35">
      <c r="A161" s="278" t="s">
        <v>22</v>
      </c>
      <c r="B161" s="303">
        <f t="shared" si="56"/>
        <v>5</v>
      </c>
      <c r="C161" s="328" t="s">
        <v>115</v>
      </c>
      <c r="D161" s="329">
        <f t="shared" si="57"/>
        <v>1.546834417754776E-2</v>
      </c>
      <c r="E161" s="301">
        <f t="shared" si="55"/>
        <v>7.7341720887738802E-2</v>
      </c>
      <c r="F161" s="301">
        <f t="shared" si="55"/>
        <v>0</v>
      </c>
      <c r="G161" s="301">
        <f t="shared" si="59"/>
        <v>1.546834417754776E-2</v>
      </c>
      <c r="H161" s="302">
        <f t="shared" si="58"/>
        <v>0</v>
      </c>
    </row>
    <row r="162" spans="1:8" ht="28" x14ac:dyDescent="0.35">
      <c r="A162" s="278" t="s">
        <v>31</v>
      </c>
      <c r="B162" s="303">
        <f t="shared" si="56"/>
        <v>17</v>
      </c>
      <c r="C162" s="280" t="s">
        <v>116</v>
      </c>
      <c r="D162" s="330">
        <f t="shared" si="57"/>
        <v>4.4459733117873743E-3</v>
      </c>
      <c r="E162" s="310">
        <f t="shared" si="55"/>
        <v>2.222986655893687E-2</v>
      </c>
      <c r="F162" s="310">
        <f t="shared" si="55"/>
        <v>0</v>
      </c>
      <c r="G162" s="310">
        <f t="shared" si="59"/>
        <v>4.4459733117873743E-3</v>
      </c>
      <c r="H162" s="331">
        <f t="shared" si="58"/>
        <v>0</v>
      </c>
    </row>
    <row r="163" spans="1:8" x14ac:dyDescent="0.35">
      <c r="A163" s="218"/>
      <c r="B163" s="308">
        <f t="shared" si="56"/>
        <v>8</v>
      </c>
      <c r="C163" s="313" t="s">
        <v>125</v>
      </c>
      <c r="D163" s="332">
        <f t="shared" si="57"/>
        <v>1.4091567154446977E-2</v>
      </c>
      <c r="E163" s="315">
        <f>+AVERAGE(E143:E162)</f>
        <v>6.1191780626724736E-2</v>
      </c>
      <c r="F163" s="315">
        <f>+AVERAGE(F143:F162)</f>
        <v>9.2660551455101652E-3</v>
      </c>
      <c r="G163" s="315">
        <f>+AVERAGE(G143:G162)</f>
        <v>1.2238356125344945E-2</v>
      </c>
      <c r="H163" s="316">
        <f>+AVERAGE(H143:H162)</f>
        <v>1.8532110291020326E-3</v>
      </c>
    </row>
  </sheetData>
  <mergeCells count="76">
    <mergeCell ref="AE1:AE2"/>
    <mergeCell ref="Y1:Y2"/>
    <mergeCell ref="Z1:Z2"/>
    <mergeCell ref="AA1:AA2"/>
    <mergeCell ref="AB1:AB2"/>
    <mergeCell ref="AD1:AD2"/>
    <mergeCell ref="AL1:AL2"/>
    <mergeCell ref="AM1:AP1"/>
    <mergeCell ref="D3:D4"/>
    <mergeCell ref="E3:E4"/>
    <mergeCell ref="F3:F4"/>
    <mergeCell ref="G3:G4"/>
    <mergeCell ref="H3:H4"/>
    <mergeCell ref="I3:I4"/>
    <mergeCell ref="J3:J4"/>
    <mergeCell ref="K3:K4"/>
    <mergeCell ref="AF1:AF2"/>
    <mergeCell ref="AG1:AG2"/>
    <mergeCell ref="AH1:AH2"/>
    <mergeCell ref="AI1:AI2"/>
    <mergeCell ref="AJ1:AJ2"/>
    <mergeCell ref="AK1:AK2"/>
    <mergeCell ref="M3:M4"/>
    <mergeCell ref="N3:N4"/>
    <mergeCell ref="O3:O4"/>
    <mergeCell ref="P3:P4"/>
    <mergeCell ref="Q3:T3"/>
    <mergeCell ref="I27:I28"/>
    <mergeCell ref="J27:J28"/>
    <mergeCell ref="K27:K28"/>
    <mergeCell ref="L27:L28"/>
    <mergeCell ref="L3:L4"/>
    <mergeCell ref="D27:D28"/>
    <mergeCell ref="E27:E28"/>
    <mergeCell ref="F27:F28"/>
    <mergeCell ref="G27:G28"/>
    <mergeCell ref="H27:H28"/>
    <mergeCell ref="D43:D44"/>
    <mergeCell ref="E43:E44"/>
    <mergeCell ref="F43:F44"/>
    <mergeCell ref="G43:G44"/>
    <mergeCell ref="H43:H44"/>
    <mergeCell ref="M27:M28"/>
    <mergeCell ref="N27:N28"/>
    <mergeCell ref="O27:O28"/>
    <mergeCell ref="P27:P28"/>
    <mergeCell ref="Q27:V27"/>
    <mergeCell ref="O43:O44"/>
    <mergeCell ref="P43:P44"/>
    <mergeCell ref="Q43:V43"/>
    <mergeCell ref="D67:D68"/>
    <mergeCell ref="E67:E68"/>
    <mergeCell ref="F67:F68"/>
    <mergeCell ref="G67:G68"/>
    <mergeCell ref="H67:H68"/>
    <mergeCell ref="I67:I68"/>
    <mergeCell ref="J67:J68"/>
    <mergeCell ref="I43:I44"/>
    <mergeCell ref="J43:J44"/>
    <mergeCell ref="K43:K44"/>
    <mergeCell ref="L43:L44"/>
    <mergeCell ref="M43:M44"/>
    <mergeCell ref="N43:N44"/>
    <mergeCell ref="K67:K68"/>
    <mergeCell ref="L67:L68"/>
    <mergeCell ref="M67:M68"/>
    <mergeCell ref="N67:N68"/>
    <mergeCell ref="O67:O68"/>
    <mergeCell ref="Q67:Q68"/>
    <mergeCell ref="L92:L93"/>
    <mergeCell ref="M92:M93"/>
    <mergeCell ref="N92:N93"/>
    <mergeCell ref="O92:O93"/>
    <mergeCell ref="P92:P93"/>
    <mergeCell ref="Q92:V92"/>
    <mergeCell ref="P67:P68"/>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17C798-70F7-4215-9AA9-3CC1DED80E4A}">
  <dimension ref="A1:G38"/>
  <sheetViews>
    <sheetView showGridLines="0" zoomScale="77" zoomScaleNormal="85" workbookViewId="0">
      <selection activeCell="C25" sqref="C25"/>
    </sheetView>
  </sheetViews>
  <sheetFormatPr defaultRowHeight="14.5" x14ac:dyDescent="0.35"/>
  <cols>
    <col min="1" max="1" width="9.1796875" customWidth="1"/>
    <col min="2" max="2" width="11.08984375" customWidth="1"/>
    <col min="3" max="3" width="10.26953125" customWidth="1"/>
    <col min="4" max="4" width="15.6328125" customWidth="1"/>
    <col min="5" max="6" width="8.81640625" style="22" customWidth="1"/>
    <col min="7" max="7" width="8.81640625" customWidth="1"/>
  </cols>
  <sheetData>
    <row r="1" spans="1:7" ht="18.5" x14ac:dyDescent="0.45">
      <c r="A1" s="21" t="s">
        <v>630</v>
      </c>
    </row>
    <row r="3" spans="1:7" x14ac:dyDescent="0.35">
      <c r="G3" s="674"/>
    </row>
    <row r="4" spans="1:7" x14ac:dyDescent="0.35">
      <c r="A4" s="16" t="s">
        <v>169</v>
      </c>
      <c r="B4" s="709" t="s">
        <v>528</v>
      </c>
      <c r="C4" s="709" t="s">
        <v>529</v>
      </c>
      <c r="D4" s="709" t="s">
        <v>490</v>
      </c>
      <c r="E4" s="634"/>
      <c r="F4" s="634"/>
      <c r="G4" s="674"/>
    </row>
    <row r="5" spans="1:7" x14ac:dyDescent="0.35">
      <c r="A5" s="573" t="s">
        <v>27</v>
      </c>
      <c r="B5" s="12">
        <v>0.67596416751640787</v>
      </c>
      <c r="C5" s="12">
        <v>0.7514074923714763</v>
      </c>
      <c r="D5" s="12">
        <v>0.79559695446012157</v>
      </c>
      <c r="E5" s="673"/>
      <c r="F5" s="673"/>
      <c r="G5" s="674"/>
    </row>
    <row r="6" spans="1:7" x14ac:dyDescent="0.35">
      <c r="A6" s="573" t="s">
        <v>20</v>
      </c>
      <c r="B6" s="12">
        <v>0.47318120586002876</v>
      </c>
      <c r="C6" s="12">
        <v>0.35294303772197783</v>
      </c>
      <c r="D6" s="12">
        <v>0.36249304285204764</v>
      </c>
      <c r="E6" s="673"/>
      <c r="F6" s="673"/>
      <c r="G6" s="674"/>
    </row>
    <row r="7" spans="1:7" x14ac:dyDescent="0.35">
      <c r="A7" s="573" t="s">
        <v>21</v>
      </c>
      <c r="B7" s="12">
        <v>0.43111501740565356</v>
      </c>
      <c r="C7" s="12">
        <v>0.35819143483257881</v>
      </c>
      <c r="D7" s="12">
        <v>0.33934482184678116</v>
      </c>
      <c r="E7" s="673"/>
      <c r="F7" s="673"/>
      <c r="G7" s="674"/>
    </row>
    <row r="8" spans="1:7" x14ac:dyDescent="0.35">
      <c r="A8" s="573" t="s">
        <v>13</v>
      </c>
      <c r="B8" s="12">
        <v>0.3326097924019949</v>
      </c>
      <c r="C8" s="12">
        <v>0.60912005316749462</v>
      </c>
      <c r="D8" s="12">
        <v>0.65952889453992392</v>
      </c>
      <c r="E8" s="673"/>
      <c r="F8" s="673"/>
      <c r="G8" s="674"/>
    </row>
    <row r="9" spans="1:7" x14ac:dyDescent="0.35">
      <c r="A9" s="573" t="s">
        <v>17</v>
      </c>
      <c r="B9" s="12">
        <v>0.2913081495303475</v>
      </c>
      <c r="C9" s="12">
        <v>0.38760764283361826</v>
      </c>
      <c r="D9" s="12">
        <v>0.3990160088028501</v>
      </c>
      <c r="E9" s="673"/>
      <c r="F9" s="673"/>
      <c r="G9" s="674"/>
    </row>
    <row r="10" spans="1:7" x14ac:dyDescent="0.35">
      <c r="A10" s="573" t="s">
        <v>18</v>
      </c>
      <c r="B10" s="12">
        <v>0.28651801085937362</v>
      </c>
      <c r="C10" s="12">
        <v>0.23664740855778121</v>
      </c>
      <c r="D10" s="12">
        <v>0.23853123661312109</v>
      </c>
      <c r="E10" s="673"/>
      <c r="F10" s="673"/>
      <c r="G10" s="674"/>
    </row>
    <row r="11" spans="1:7" x14ac:dyDescent="0.35">
      <c r="A11" s="573" t="s">
        <v>16</v>
      </c>
      <c r="B11" s="12">
        <v>0.26411503835122818</v>
      </c>
      <c r="C11" s="12">
        <v>0.22901326073318545</v>
      </c>
      <c r="D11" s="12">
        <v>0.23627178982566321</v>
      </c>
      <c r="E11" s="673"/>
      <c r="F11" s="673"/>
      <c r="G11" s="674"/>
    </row>
    <row r="12" spans="1:7" x14ac:dyDescent="0.35">
      <c r="A12" s="573" t="s">
        <v>25</v>
      </c>
      <c r="B12" s="12">
        <v>0.23788580981115715</v>
      </c>
      <c r="C12" s="12">
        <v>0.32696399688780686</v>
      </c>
      <c r="D12" s="12">
        <v>0.36850822214440498</v>
      </c>
      <c r="E12" s="673"/>
      <c r="F12" s="673"/>
      <c r="G12" s="674"/>
    </row>
    <row r="13" spans="1:7" x14ac:dyDescent="0.35">
      <c r="A13" s="573" t="s">
        <v>19</v>
      </c>
      <c r="B13" s="12">
        <v>0.2249650878874413</v>
      </c>
      <c r="C13" s="12">
        <v>0.18973565157016781</v>
      </c>
      <c r="D13" s="12">
        <v>0.19540515295546967</v>
      </c>
      <c r="E13" s="673"/>
      <c r="F13" s="673"/>
      <c r="G13" s="674"/>
    </row>
    <row r="14" spans="1:7" x14ac:dyDescent="0.35">
      <c r="A14" s="573" t="s">
        <v>29</v>
      </c>
      <c r="B14" s="12">
        <v>0.21637842937200005</v>
      </c>
      <c r="C14" s="12">
        <v>0.34927186820475431</v>
      </c>
      <c r="D14" s="12">
        <v>0.41868439201574137</v>
      </c>
      <c r="E14" s="673"/>
      <c r="F14" s="673"/>
      <c r="G14" s="674"/>
    </row>
    <row r="15" spans="1:7" x14ac:dyDescent="0.35">
      <c r="A15" s="573" t="s">
        <v>15</v>
      </c>
      <c r="B15" s="12">
        <v>0.21508241100555492</v>
      </c>
      <c r="C15" s="12">
        <v>0.23271004888417116</v>
      </c>
      <c r="D15" s="12">
        <v>0.26866958839796823</v>
      </c>
      <c r="E15" s="673"/>
      <c r="F15" s="673"/>
      <c r="G15" s="674"/>
    </row>
    <row r="16" spans="1:7" x14ac:dyDescent="0.35">
      <c r="A16" s="573" t="s">
        <v>22</v>
      </c>
      <c r="B16" s="12">
        <v>0.18819818749349776</v>
      </c>
      <c r="C16" s="12">
        <v>6.1986797623778738E-3</v>
      </c>
      <c r="D16" s="12">
        <v>6.1986797623778738E-3</v>
      </c>
      <c r="E16" s="673"/>
      <c r="F16" s="673"/>
      <c r="G16" s="674"/>
    </row>
    <row r="17" spans="1:7" x14ac:dyDescent="0.35">
      <c r="A17" s="573" t="s">
        <v>11</v>
      </c>
      <c r="B17" s="12">
        <v>0.17312014846446763</v>
      </c>
      <c r="C17" s="12">
        <v>0.17756910344678647</v>
      </c>
      <c r="D17" s="12">
        <v>0.14672339936476791</v>
      </c>
      <c r="E17" s="673"/>
      <c r="F17" s="673"/>
      <c r="G17" s="674"/>
    </row>
    <row r="18" spans="1:7" x14ac:dyDescent="0.35">
      <c r="A18" s="573" t="s">
        <v>12</v>
      </c>
      <c r="B18" s="12">
        <v>0.15517232954099469</v>
      </c>
      <c r="C18" s="12">
        <v>0.15394615942433684</v>
      </c>
      <c r="D18" s="12">
        <v>0.16563150338532012</v>
      </c>
      <c r="E18" s="673"/>
      <c r="F18" s="673"/>
      <c r="G18" s="674"/>
    </row>
    <row r="19" spans="1:7" x14ac:dyDescent="0.35">
      <c r="A19" s="573" t="s">
        <v>28</v>
      </c>
      <c r="B19" s="12">
        <v>0.14874173741316807</v>
      </c>
      <c r="C19" s="12">
        <v>0.19568298367505335</v>
      </c>
      <c r="D19" s="12">
        <v>0.2055041822830394</v>
      </c>
      <c r="E19" s="673"/>
      <c r="F19" s="673"/>
      <c r="G19" s="674"/>
    </row>
    <row r="20" spans="1:7" x14ac:dyDescent="0.35">
      <c r="A20" s="573" t="s">
        <v>14</v>
      </c>
      <c r="B20" s="12">
        <v>0.13173998974395107</v>
      </c>
      <c r="C20" s="12">
        <v>0.14731482041465788</v>
      </c>
      <c r="D20" s="12">
        <v>0.15402084951629272</v>
      </c>
      <c r="E20" s="673"/>
      <c r="F20" s="673"/>
      <c r="G20" s="674"/>
    </row>
    <row r="21" spans="1:7" x14ac:dyDescent="0.35">
      <c r="A21" s="573" t="s">
        <v>26</v>
      </c>
      <c r="B21" s="12">
        <v>0.12699283786302737</v>
      </c>
      <c r="C21" s="12">
        <v>0.17661738487060613</v>
      </c>
      <c r="D21" s="12">
        <v>0.19019474646326937</v>
      </c>
      <c r="E21" s="673"/>
      <c r="F21" s="673"/>
    </row>
    <row r="22" spans="1:7" x14ac:dyDescent="0.35">
      <c r="A22" s="573" t="s">
        <v>31</v>
      </c>
      <c r="B22" s="12">
        <v>9.7757846915806731E-2</v>
      </c>
      <c r="C22" s="12">
        <v>0.13687481379564073</v>
      </c>
      <c r="D22" s="12">
        <v>0.1541622635018241</v>
      </c>
      <c r="E22" s="673"/>
      <c r="F22" s="673"/>
    </row>
    <row r="23" spans="1:7" x14ac:dyDescent="0.35">
      <c r="A23" s="573" t="s">
        <v>24</v>
      </c>
      <c r="B23" s="12">
        <v>7.6071345235242713E-2</v>
      </c>
      <c r="C23" s="12">
        <v>0.14296248294433631</v>
      </c>
      <c r="D23" s="12">
        <v>0.18083926013157414</v>
      </c>
      <c r="E23" s="673"/>
      <c r="F23" s="673"/>
    </row>
    <row r="24" spans="1:7" x14ac:dyDescent="0.35">
      <c r="E24" s="673"/>
    </row>
    <row r="25" spans="1:7" x14ac:dyDescent="0.35">
      <c r="E25" s="673"/>
    </row>
    <row r="26" spans="1:7" x14ac:dyDescent="0.35">
      <c r="E26" s="673"/>
    </row>
    <row r="27" spans="1:7" x14ac:dyDescent="0.35">
      <c r="E27" s="673"/>
    </row>
    <row r="28" spans="1:7" x14ac:dyDescent="0.35">
      <c r="E28" s="673"/>
    </row>
    <row r="29" spans="1:7" x14ac:dyDescent="0.35">
      <c r="E29" s="673"/>
    </row>
    <row r="30" spans="1:7" x14ac:dyDescent="0.35">
      <c r="E30" s="673"/>
    </row>
    <row r="31" spans="1:7" x14ac:dyDescent="0.35">
      <c r="E31" s="673"/>
    </row>
    <row r="32" spans="1:7" x14ac:dyDescent="0.35">
      <c r="E32" s="673"/>
    </row>
    <row r="33" spans="5:5" x14ac:dyDescent="0.35">
      <c r="E33" s="673"/>
    </row>
    <row r="34" spans="5:5" x14ac:dyDescent="0.35">
      <c r="E34" s="673"/>
    </row>
    <row r="35" spans="5:5" x14ac:dyDescent="0.35">
      <c r="E35" s="673"/>
    </row>
    <row r="36" spans="5:5" x14ac:dyDescent="0.35">
      <c r="E36" s="673"/>
    </row>
    <row r="37" spans="5:5" x14ac:dyDescent="0.35">
      <c r="E37" s="673"/>
    </row>
    <row r="38" spans="5:5" x14ac:dyDescent="0.35">
      <c r="E38" s="673"/>
    </row>
  </sheetData>
  <conditionalFormatting sqref="E5:E38">
    <cfRule type="dataBar" priority="109">
      <dataBar>
        <cfvo type="min"/>
        <cfvo type="max"/>
        <color rgb="FF638EC6"/>
      </dataBar>
      <extLst>
        <ext xmlns:x14="http://schemas.microsoft.com/office/spreadsheetml/2009/9/main" uri="{B025F937-C7B1-47D3-B67F-A62EFF666E3E}">
          <x14:id>{2B614466-124A-4ED1-B47F-B5D2D112EE80}</x14:id>
        </ext>
      </extLst>
    </cfRule>
  </conditionalFormatting>
  <conditionalFormatting sqref="F5:F23">
    <cfRule type="dataBar" priority="52">
      <dataBar>
        <cfvo type="min"/>
        <cfvo type="max"/>
        <color rgb="FF638EC6"/>
      </dataBar>
      <extLst>
        <ext xmlns:x14="http://schemas.microsoft.com/office/spreadsheetml/2009/9/main" uri="{B025F937-C7B1-47D3-B67F-A62EFF666E3E}">
          <x14:id>{53FB8FD3-A7B6-448C-B72C-0B760941648A}</x14:id>
        </ext>
      </extLst>
    </cfRule>
  </conditionalFormatting>
  <conditionalFormatting sqref="G3:G20">
    <cfRule type="colorScale" priority="110">
      <colorScale>
        <cfvo type="min"/>
        <cfvo type="percentile" val="50"/>
        <cfvo type="max"/>
        <color rgb="FFF8696B"/>
        <color rgb="FFFCFCFF"/>
        <color rgb="FF5A8AC6"/>
      </colorScale>
    </cfRule>
  </conditionalFormatting>
  <pageMargins left="0.7" right="0.7" top="0.75" bottom="0.75" header="0.3" footer="0.3"/>
  <drawing r:id="rId1"/>
  <tableParts count="1">
    <tablePart r:id="rId2"/>
  </tableParts>
  <extLst>
    <ext xmlns:x14="http://schemas.microsoft.com/office/spreadsheetml/2009/9/main" uri="{78C0D931-6437-407d-A8EE-F0AAD7539E65}">
      <x14:conditionalFormattings>
        <x14:conditionalFormatting xmlns:xm="http://schemas.microsoft.com/office/excel/2006/main">
          <x14:cfRule type="dataBar" id="{2B614466-124A-4ED1-B47F-B5D2D112EE80}">
            <x14:dataBar minLength="0" maxLength="100" gradient="0">
              <x14:cfvo type="autoMin"/>
              <x14:cfvo type="autoMax"/>
              <x14:negativeFillColor rgb="FFFF0000"/>
              <x14:axisColor rgb="FF000000"/>
            </x14:dataBar>
          </x14:cfRule>
          <xm:sqref>E5:E38</xm:sqref>
        </x14:conditionalFormatting>
        <x14:conditionalFormatting xmlns:xm="http://schemas.microsoft.com/office/excel/2006/main">
          <x14:cfRule type="dataBar" id="{53FB8FD3-A7B6-448C-B72C-0B760941648A}">
            <x14:dataBar minLength="0" maxLength="100" gradient="0">
              <x14:cfvo type="autoMin"/>
              <x14:cfvo type="autoMax"/>
              <x14:negativeFillColor rgb="FFFF0000"/>
              <x14:axisColor rgb="FF000000"/>
            </x14:dataBar>
          </x14:cfRule>
          <xm:sqref>F5:F23</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9D6761-80FD-494F-BD31-4787B8254E62}">
  <dimension ref="A1:AA93"/>
  <sheetViews>
    <sheetView showGridLines="0" zoomScale="75" zoomScaleNormal="55" workbookViewId="0"/>
  </sheetViews>
  <sheetFormatPr defaultColWidth="9.1796875" defaultRowHeight="14.5" x14ac:dyDescent="0.35"/>
  <cols>
    <col min="1" max="3" width="13.54296875" customWidth="1"/>
    <col min="4" max="4" width="10.81640625" customWidth="1"/>
    <col min="6" max="6" width="12.54296875" customWidth="1"/>
    <col min="7" max="7" width="12.36328125" customWidth="1"/>
    <col min="8" max="8" width="14.1796875" customWidth="1"/>
    <col min="9" max="9" width="10.36328125" customWidth="1"/>
    <col min="11" max="11" width="9.1796875" customWidth="1"/>
    <col min="12" max="12" width="9.90625" customWidth="1"/>
    <col min="13" max="13" width="13.54296875" customWidth="1"/>
    <col min="14" max="14" width="14.36328125" customWidth="1"/>
    <col min="15" max="15" width="13.81640625" customWidth="1"/>
    <col min="16" max="16" width="13.54296875" customWidth="1"/>
    <col min="17" max="17" width="12.81640625" customWidth="1"/>
    <col min="19" max="19" width="14.08984375" customWidth="1"/>
    <col min="20" max="20" width="10.54296875" customWidth="1"/>
    <col min="21" max="21" width="12.08984375" customWidth="1"/>
  </cols>
  <sheetData>
    <row r="1" spans="1:23" ht="18.5" x14ac:dyDescent="0.45">
      <c r="A1" s="21" t="s">
        <v>145</v>
      </c>
      <c r="B1" s="21"/>
    </row>
    <row r="2" spans="1:23" x14ac:dyDescent="0.35">
      <c r="A2" t="s">
        <v>146</v>
      </c>
    </row>
    <row r="4" spans="1:23" s="33" customFormat="1" ht="15" hidden="1" customHeight="1" x14ac:dyDescent="0.35">
      <c r="A4" s="932"/>
      <c r="B4" s="188"/>
      <c r="C4" s="935" t="s">
        <v>68</v>
      </c>
      <c r="D4" s="935"/>
      <c r="E4" s="935"/>
      <c r="F4" s="935"/>
      <c r="G4" s="935"/>
      <c r="H4" s="935"/>
      <c r="I4" s="935"/>
      <c r="J4" s="935"/>
      <c r="K4" s="935"/>
      <c r="L4" s="935"/>
      <c r="M4" s="936" t="s">
        <v>69</v>
      </c>
      <c r="N4" s="937"/>
      <c r="O4" s="935" t="s">
        <v>70</v>
      </c>
      <c r="P4" s="935"/>
      <c r="Q4" s="935"/>
      <c r="R4" s="935"/>
      <c r="S4" s="945" t="s">
        <v>147</v>
      </c>
      <c r="T4" s="945" t="s">
        <v>148</v>
      </c>
      <c r="U4" s="950" t="s">
        <v>149</v>
      </c>
    </row>
    <row r="5" spans="1:23" s="33" customFormat="1" hidden="1" x14ac:dyDescent="0.35">
      <c r="A5" s="933"/>
      <c r="B5" s="937" t="s">
        <v>68</v>
      </c>
      <c r="C5" s="916" t="s">
        <v>72</v>
      </c>
      <c r="D5" s="916"/>
      <c r="E5" s="916"/>
      <c r="F5" s="916"/>
      <c r="G5" s="916"/>
      <c r="H5" s="940" t="s">
        <v>71</v>
      </c>
      <c r="I5" s="916"/>
      <c r="J5" s="916"/>
      <c r="K5" s="916"/>
      <c r="L5" s="916"/>
      <c r="M5" s="938"/>
      <c r="N5" s="939"/>
      <c r="O5" s="940" t="s">
        <v>74</v>
      </c>
      <c r="P5" s="941"/>
      <c r="Q5" s="942" t="s">
        <v>73</v>
      </c>
      <c r="R5" s="943"/>
      <c r="S5" s="946"/>
      <c r="T5" s="946"/>
      <c r="U5" s="951"/>
    </row>
    <row r="6" spans="1:23" s="33" customFormat="1" ht="52" hidden="1" x14ac:dyDescent="0.35">
      <c r="A6" s="934"/>
      <c r="B6" s="939"/>
      <c r="C6" s="458" t="s">
        <v>75</v>
      </c>
      <c r="D6" s="458" t="s">
        <v>76</v>
      </c>
      <c r="E6" s="458" t="s">
        <v>77</v>
      </c>
      <c r="F6" s="458" t="s">
        <v>78</v>
      </c>
      <c r="G6" s="458" t="s">
        <v>79</v>
      </c>
      <c r="H6" s="35" t="s">
        <v>75</v>
      </c>
      <c r="I6" s="458" t="s">
        <v>76</v>
      </c>
      <c r="J6" s="458" t="s">
        <v>77</v>
      </c>
      <c r="K6" s="458" t="s">
        <v>78</v>
      </c>
      <c r="L6" s="458" t="s">
        <v>79</v>
      </c>
      <c r="M6" s="35" t="s">
        <v>5</v>
      </c>
      <c r="N6" s="36" t="s">
        <v>4</v>
      </c>
      <c r="O6" s="35" t="s">
        <v>80</v>
      </c>
      <c r="P6" s="36" t="s">
        <v>81</v>
      </c>
      <c r="Q6" s="458" t="s">
        <v>80</v>
      </c>
      <c r="R6" s="458" t="s">
        <v>81</v>
      </c>
      <c r="S6" s="947"/>
      <c r="T6" s="947"/>
      <c r="U6" s="952"/>
    </row>
    <row r="7" spans="1:23" s="23" customFormat="1" hidden="1" x14ac:dyDescent="0.35">
      <c r="A7" s="727" t="s">
        <v>11</v>
      </c>
      <c r="B7" s="601">
        <v>0.45407255997371021</v>
      </c>
      <c r="C7" s="37">
        <v>0.1839664804469274</v>
      </c>
      <c r="D7" s="464">
        <v>0.11903713440683537</v>
      </c>
      <c r="E7" s="464">
        <v>6.4929346040092026E-2</v>
      </c>
      <c r="F7" s="464">
        <v>0</v>
      </c>
      <c r="G7" s="464">
        <v>0</v>
      </c>
      <c r="H7" s="37">
        <v>0.27010607952678278</v>
      </c>
      <c r="I7" s="464">
        <v>0.11654817614196518</v>
      </c>
      <c r="J7" s="464">
        <v>8.2135622740716396E-2</v>
      </c>
      <c r="K7" s="464">
        <v>1.0821557673348669E-2</v>
      </c>
      <c r="L7" s="464">
        <v>6.0600722970752557E-2</v>
      </c>
      <c r="M7" s="522">
        <v>8.2155767334866917E-2</v>
      </c>
      <c r="N7" s="523">
        <v>3.8339358089604557E-2</v>
      </c>
      <c r="O7" s="522">
        <v>8.2155767334866903E-2</v>
      </c>
      <c r="P7" s="523">
        <v>3.2862306933946768E-2</v>
      </c>
      <c r="Q7" s="61">
        <v>0.41077883667433451</v>
      </c>
      <c r="R7" s="61">
        <v>0.16431153466973383</v>
      </c>
      <c r="S7" s="189">
        <v>0.68958575966699531</v>
      </c>
      <c r="T7" s="213">
        <v>0.30001822854052601</v>
      </c>
      <c r="U7" s="730" t="s">
        <v>11</v>
      </c>
      <c r="V7" s="213"/>
      <c r="W7" s="213"/>
    </row>
    <row r="8" spans="1:23" s="23" customFormat="1" hidden="1" x14ac:dyDescent="0.35">
      <c r="A8" s="728" t="s">
        <v>13</v>
      </c>
      <c r="B8" s="602">
        <v>0.2742</v>
      </c>
      <c r="C8" s="39">
        <v>0.12709999999999999</v>
      </c>
      <c r="D8" s="518">
        <v>0.12709999999999999</v>
      </c>
      <c r="E8" s="518">
        <v>0</v>
      </c>
      <c r="F8" s="518">
        <v>0</v>
      </c>
      <c r="G8" s="518">
        <v>0</v>
      </c>
      <c r="H8" s="39">
        <v>0.14710000000000001</v>
      </c>
      <c r="I8" s="518">
        <v>3.0000000000000002E-2</v>
      </c>
      <c r="J8" s="518">
        <v>0.1</v>
      </c>
      <c r="K8" s="518">
        <v>1.7100000000000001E-2</v>
      </c>
      <c r="L8" s="518">
        <v>0</v>
      </c>
      <c r="M8" s="522">
        <v>0.16431153466973381</v>
      </c>
      <c r="N8" s="523">
        <v>5.4770511556577944E-2</v>
      </c>
      <c r="O8" s="522">
        <v>8.2155767334866903E-2</v>
      </c>
      <c r="P8" s="523">
        <v>4.9293460400920155E-2</v>
      </c>
      <c r="Q8" s="61">
        <v>0.41077883667433451</v>
      </c>
      <c r="R8" s="61">
        <v>0.24646730200460076</v>
      </c>
      <c r="S8" s="189">
        <v>0.62473127396209882</v>
      </c>
      <c r="T8" s="213">
        <v>0.97138279838366004</v>
      </c>
      <c r="U8" s="730" t="s">
        <v>13</v>
      </c>
      <c r="V8" s="213"/>
      <c r="W8" s="213"/>
    </row>
    <row r="9" spans="1:23" s="23" customFormat="1" hidden="1" x14ac:dyDescent="0.35">
      <c r="A9" s="728" t="s">
        <v>12</v>
      </c>
      <c r="B9" s="602">
        <v>0.46532697995399275</v>
      </c>
      <c r="C9" s="39">
        <v>9.7394019060138018E-2</v>
      </c>
      <c r="D9" s="518">
        <v>9.7394019060138018E-2</v>
      </c>
      <c r="E9" s="518">
        <v>0</v>
      </c>
      <c r="F9" s="518">
        <v>0</v>
      </c>
      <c r="G9" s="518">
        <v>0</v>
      </c>
      <c r="H9" s="39">
        <v>0.36793296089385474</v>
      </c>
      <c r="I9" s="518">
        <v>0.21643115346697342</v>
      </c>
      <c r="J9" s="518">
        <v>0</v>
      </c>
      <c r="K9" s="518">
        <v>1.0821557673348669E-2</v>
      </c>
      <c r="L9" s="518">
        <v>0.14068024975353269</v>
      </c>
      <c r="M9" s="522">
        <v>8.2155767334866917E-2</v>
      </c>
      <c r="N9" s="523">
        <v>0.10954102311315589</v>
      </c>
      <c r="O9" s="522">
        <v>3.1547814656588888E-2</v>
      </c>
      <c r="P9" s="523">
        <v>2.4646730200460074E-2</v>
      </c>
      <c r="Q9" s="61">
        <v>0.15773907328294445</v>
      </c>
      <c r="R9" s="61">
        <v>0.12323365100230037</v>
      </c>
      <c r="S9" s="189">
        <v>0.71321831525906454</v>
      </c>
      <c r="T9" s="213">
        <v>0.26374337988956575</v>
      </c>
      <c r="U9" s="730" t="s">
        <v>12</v>
      </c>
      <c r="V9" s="213"/>
      <c r="W9" s="213"/>
    </row>
    <row r="10" spans="1:23" s="23" customFormat="1" hidden="1" x14ac:dyDescent="0.35">
      <c r="A10" s="728" t="s">
        <v>28</v>
      </c>
      <c r="B10" s="602">
        <v>0.23899999999999999</v>
      </c>
      <c r="C10" s="39">
        <v>0.191</v>
      </c>
      <c r="D10" s="518">
        <v>0.1</v>
      </c>
      <c r="E10" s="518">
        <v>7.0000000000000007E-2</v>
      </c>
      <c r="F10" s="518">
        <v>0</v>
      </c>
      <c r="G10" s="518">
        <v>2.1000000000000001E-2</v>
      </c>
      <c r="H10" s="39">
        <v>4.8000000000000001E-2</v>
      </c>
      <c r="I10" s="518">
        <v>0</v>
      </c>
      <c r="J10" s="518">
        <v>0</v>
      </c>
      <c r="K10" s="518">
        <v>8.9999999999999993E-3</v>
      </c>
      <c r="L10" s="518">
        <v>3.9E-2</v>
      </c>
      <c r="M10" s="522">
        <v>0</v>
      </c>
      <c r="N10" s="523">
        <v>4.1077883667433451E-2</v>
      </c>
      <c r="O10" s="522">
        <v>8.215576733486693E-2</v>
      </c>
      <c r="P10" s="523">
        <v>1.6431153466973381E-2</v>
      </c>
      <c r="Q10" s="61">
        <v>0.41077883667433468</v>
      </c>
      <c r="R10" s="61">
        <v>8.2155767334866903E-2</v>
      </c>
      <c r="S10" s="189">
        <v>0.37866480446927375</v>
      </c>
      <c r="T10" s="213">
        <v>0.2697812424263315</v>
      </c>
      <c r="U10" s="730" t="s">
        <v>28</v>
      </c>
      <c r="V10" s="213"/>
      <c r="W10" s="213"/>
    </row>
    <row r="11" spans="1:23" s="23" customFormat="1" hidden="1" x14ac:dyDescent="0.35">
      <c r="A11" s="728" t="s">
        <v>15</v>
      </c>
      <c r="B11" s="602">
        <v>0.35053894183371676</v>
      </c>
      <c r="C11" s="39">
        <v>0.08</v>
      </c>
      <c r="D11" s="518">
        <v>0.04</v>
      </c>
      <c r="E11" s="518">
        <v>0.04</v>
      </c>
      <c r="F11" s="518">
        <v>0</v>
      </c>
      <c r="G11" s="518">
        <v>0</v>
      </c>
      <c r="H11" s="39">
        <v>0.27053894183371674</v>
      </c>
      <c r="I11" s="518">
        <v>0.12985869208018402</v>
      </c>
      <c r="J11" s="518">
        <v>0</v>
      </c>
      <c r="K11" s="518">
        <v>7.5750903713440688E-3</v>
      </c>
      <c r="L11" s="518">
        <v>0.13310515938218864</v>
      </c>
      <c r="M11" s="522">
        <v>8.2155767334866917E-2</v>
      </c>
      <c r="N11" s="523">
        <v>4.1077883667433451E-2</v>
      </c>
      <c r="O11" s="522">
        <v>6.0247562712235733E-2</v>
      </c>
      <c r="P11" s="523">
        <v>4.1077883667433443E-3</v>
      </c>
      <c r="Q11" s="61">
        <v>0.30123781356117868</v>
      </c>
      <c r="R11" s="61">
        <v>2.0538941833716722E-2</v>
      </c>
      <c r="S11" s="189">
        <v>0.53812794391499619</v>
      </c>
      <c r="T11" s="213">
        <v>0.35793782901856841</v>
      </c>
      <c r="U11" s="730" t="s">
        <v>15</v>
      </c>
      <c r="V11" s="213"/>
      <c r="W11" s="213"/>
    </row>
    <row r="12" spans="1:23" s="23" customFormat="1" hidden="1" x14ac:dyDescent="0.35">
      <c r="A12" s="728" t="s">
        <v>18</v>
      </c>
      <c r="B12" s="602">
        <v>0.41522316792638847</v>
      </c>
      <c r="C12" s="39">
        <v>0.12661222477817943</v>
      </c>
      <c r="D12" s="518">
        <v>5.6272099901413089E-2</v>
      </c>
      <c r="E12" s="518">
        <v>5.9518567203417687E-2</v>
      </c>
      <c r="F12" s="518">
        <v>0</v>
      </c>
      <c r="G12" s="518">
        <v>1.0821557673348671E-2</v>
      </c>
      <c r="H12" s="39">
        <v>0.28861094314820906</v>
      </c>
      <c r="I12" s="518">
        <v>9.3822905027932973E-2</v>
      </c>
      <c r="J12" s="518">
        <v>0.1000994084784752</v>
      </c>
      <c r="K12" s="518">
        <v>0</v>
      </c>
      <c r="L12" s="518">
        <v>9.4688629641800887E-2</v>
      </c>
      <c r="M12" s="522">
        <v>8.2155767334866917E-2</v>
      </c>
      <c r="N12" s="523">
        <v>3.8339358089604557E-2</v>
      </c>
      <c r="O12" s="522">
        <v>5.8166283273085762E-2</v>
      </c>
      <c r="P12" s="523">
        <v>1.6431153466973381E-2</v>
      </c>
      <c r="Q12" s="61">
        <v>0.29083141636542881</v>
      </c>
      <c r="R12" s="61">
        <v>8.2155767334866903E-2</v>
      </c>
      <c r="S12" s="189">
        <v>0.61031573009091922</v>
      </c>
      <c r="T12" s="213">
        <v>0.38107704448584745</v>
      </c>
      <c r="U12" s="730" t="s">
        <v>18</v>
      </c>
      <c r="V12" s="213"/>
      <c r="W12" s="213"/>
    </row>
    <row r="13" spans="1:23" s="23" customFormat="1" hidden="1" x14ac:dyDescent="0.35">
      <c r="A13" s="728" t="s">
        <v>17</v>
      </c>
      <c r="B13" s="602">
        <v>0.31306766348997705</v>
      </c>
      <c r="C13" s="39">
        <v>0.10226372001314495</v>
      </c>
      <c r="D13" s="518">
        <v>7.1855142951035178E-2</v>
      </c>
      <c r="E13" s="518">
        <v>0</v>
      </c>
      <c r="F13" s="518">
        <v>0</v>
      </c>
      <c r="G13" s="518">
        <v>3.0408577062109768E-2</v>
      </c>
      <c r="H13" s="39">
        <v>0.2108039434768321</v>
      </c>
      <c r="I13" s="518">
        <v>4.1338350312191914E-2</v>
      </c>
      <c r="J13" s="518">
        <v>5.5839237594479132E-2</v>
      </c>
      <c r="K13" s="518">
        <v>4.1121919158724953E-3</v>
      </c>
      <c r="L13" s="518">
        <v>0.10951416365428855</v>
      </c>
      <c r="M13" s="522">
        <v>0.1343828745208934</v>
      </c>
      <c r="N13" s="523">
        <v>4.1666666666666664E-2</v>
      </c>
      <c r="O13" s="522">
        <v>8.2155767334866917E-2</v>
      </c>
      <c r="P13" s="523">
        <v>0</v>
      </c>
      <c r="Q13" s="61">
        <v>0.41077883667433457</v>
      </c>
      <c r="R13" s="61">
        <v>0</v>
      </c>
      <c r="S13" s="189">
        <v>0.57127297201240401</v>
      </c>
      <c r="T13" s="213">
        <v>0.6210944239243088</v>
      </c>
      <c r="U13" s="730" t="s">
        <v>17</v>
      </c>
      <c r="V13" s="213"/>
      <c r="W13" s="213"/>
    </row>
    <row r="14" spans="1:23" s="23" customFormat="1" hidden="1" x14ac:dyDescent="0.35">
      <c r="A14" s="728" t="s">
        <v>21</v>
      </c>
      <c r="B14" s="602">
        <v>0.17500000000000002</v>
      </c>
      <c r="C14" s="39">
        <v>4.8300000000000003E-2</v>
      </c>
      <c r="D14" s="518">
        <v>1.83E-2</v>
      </c>
      <c r="E14" s="518">
        <v>0.02</v>
      </c>
      <c r="F14" s="518">
        <v>0.01</v>
      </c>
      <c r="G14" s="518">
        <v>0</v>
      </c>
      <c r="H14" s="39">
        <v>0.12670000000000001</v>
      </c>
      <c r="I14" s="518">
        <v>3.6700000000000003E-2</v>
      </c>
      <c r="J14" s="518">
        <v>0.04</v>
      </c>
      <c r="K14" s="518">
        <v>3.0000000000000002E-2</v>
      </c>
      <c r="L14" s="518">
        <v>0.02</v>
      </c>
      <c r="M14" s="522">
        <v>0.16431153466973381</v>
      </c>
      <c r="N14" s="523">
        <v>4.1077883667433451E-2</v>
      </c>
      <c r="O14" s="522">
        <v>8.2155767334866917E-2</v>
      </c>
      <c r="P14" s="523">
        <v>0</v>
      </c>
      <c r="Q14" s="61">
        <v>0.41077883667433457</v>
      </c>
      <c r="R14" s="61">
        <v>0</v>
      </c>
      <c r="S14" s="189">
        <v>0.46254518567203418</v>
      </c>
      <c r="T14" s="213">
        <v>0.52387115856334632</v>
      </c>
      <c r="U14" s="730" t="s">
        <v>21</v>
      </c>
      <c r="V14" s="213"/>
      <c r="W14" s="213"/>
    </row>
    <row r="15" spans="1:23" s="23" customFormat="1" hidden="1" x14ac:dyDescent="0.35">
      <c r="A15" s="728" t="s">
        <v>27</v>
      </c>
      <c r="B15" s="602">
        <v>0.14700000000000002</v>
      </c>
      <c r="C15" s="39">
        <v>0.05</v>
      </c>
      <c r="D15" s="518">
        <v>0.01</v>
      </c>
      <c r="E15" s="518">
        <v>2.5000000000000001E-2</v>
      </c>
      <c r="F15" s="518">
        <v>0</v>
      </c>
      <c r="G15" s="518">
        <v>1.4999999999999999E-2</v>
      </c>
      <c r="H15" s="39">
        <v>9.7000000000000003E-2</v>
      </c>
      <c r="I15" s="518">
        <v>0.02</v>
      </c>
      <c r="J15" s="518">
        <v>0.05</v>
      </c>
      <c r="K15" s="518">
        <v>2E-3</v>
      </c>
      <c r="L15" s="518">
        <v>2.5000000000000001E-2</v>
      </c>
      <c r="M15" s="522">
        <v>0.16431153466973381</v>
      </c>
      <c r="N15" s="523">
        <v>5.4770511556577944E-2</v>
      </c>
      <c r="O15" s="522">
        <v>8.2155767334866917E-2</v>
      </c>
      <c r="P15" s="523">
        <v>3.2862306933946761E-2</v>
      </c>
      <c r="Q15" s="61">
        <v>0.41077883667433457</v>
      </c>
      <c r="R15" s="61">
        <v>0.16431153466973381</v>
      </c>
      <c r="S15" s="189">
        <v>0.48110012049512541</v>
      </c>
      <c r="T15" s="213">
        <v>1.0603112030263302</v>
      </c>
      <c r="U15" s="730" t="s">
        <v>27</v>
      </c>
      <c r="V15" s="213"/>
      <c r="W15" s="213"/>
    </row>
    <row r="16" spans="1:23" s="23" customFormat="1" hidden="1" x14ac:dyDescent="0.35">
      <c r="A16" s="728" t="s">
        <v>24</v>
      </c>
      <c r="B16" s="602">
        <v>0.23999312292980507</v>
      </c>
      <c r="C16" s="39">
        <v>2.2118122929805063E-2</v>
      </c>
      <c r="D16" s="518">
        <v>1.171875E-2</v>
      </c>
      <c r="E16" s="518">
        <v>1.0399372929805063E-2</v>
      </c>
      <c r="F16" s="518">
        <v>0</v>
      </c>
      <c r="G16" s="518">
        <v>0</v>
      </c>
      <c r="H16" s="39">
        <v>0.21787500000000001</v>
      </c>
      <c r="I16" s="518">
        <v>6.2666666666666676E-2</v>
      </c>
      <c r="J16" s="518">
        <v>7.2083333333333333E-2</v>
      </c>
      <c r="K16" s="518">
        <v>2.0625000000000001E-2</v>
      </c>
      <c r="L16" s="518">
        <v>6.25E-2</v>
      </c>
      <c r="M16" s="522">
        <v>4.1666666666666664E-2</v>
      </c>
      <c r="N16" s="523">
        <v>5.4770511556577937E-2</v>
      </c>
      <c r="O16" s="522">
        <v>0.10406397195749809</v>
      </c>
      <c r="P16" s="523">
        <v>0</v>
      </c>
      <c r="Q16" s="61">
        <v>0.5203198597874904</v>
      </c>
      <c r="R16" s="61">
        <v>0</v>
      </c>
      <c r="S16" s="189">
        <v>0.44049427311054778</v>
      </c>
      <c r="T16" s="213">
        <v>0.21360716658986392</v>
      </c>
      <c r="U16" s="730" t="s">
        <v>24</v>
      </c>
      <c r="V16" s="213"/>
      <c r="W16" s="213"/>
    </row>
    <row r="17" spans="1:27" s="23" customFormat="1" hidden="1" x14ac:dyDescent="0.35">
      <c r="A17" s="728" t="s">
        <v>29</v>
      </c>
      <c r="B17" s="602">
        <v>0.19500000000000001</v>
      </c>
      <c r="C17" s="39">
        <v>7.0000000000000007E-2</v>
      </c>
      <c r="D17" s="518">
        <v>0.03</v>
      </c>
      <c r="E17" s="518">
        <v>0</v>
      </c>
      <c r="F17" s="518">
        <v>0</v>
      </c>
      <c r="G17" s="518">
        <v>0.04</v>
      </c>
      <c r="H17" s="39">
        <v>0.12499999999999999</v>
      </c>
      <c r="I17" s="518">
        <v>0.03</v>
      </c>
      <c r="J17" s="518">
        <v>0</v>
      </c>
      <c r="K17" s="518">
        <v>0</v>
      </c>
      <c r="L17" s="518">
        <v>9.4999999999999987E-2</v>
      </c>
      <c r="M17" s="522">
        <v>0</v>
      </c>
      <c r="N17" s="523">
        <v>3.8339358089604557E-2</v>
      </c>
      <c r="O17" s="522">
        <v>3.8339358089604557E-2</v>
      </c>
      <c r="P17" s="523">
        <v>1.5335743235841821E-2</v>
      </c>
      <c r="Q17" s="61">
        <v>0.19169679044802279</v>
      </c>
      <c r="R17" s="61">
        <v>7.66787161792091E-2</v>
      </c>
      <c r="S17" s="189">
        <v>0.28701445941505094</v>
      </c>
      <c r="T17" s="213">
        <v>0.4495179446464268</v>
      </c>
      <c r="U17" s="730" t="s">
        <v>29</v>
      </c>
      <c r="V17" s="213"/>
      <c r="W17" s="213"/>
    </row>
    <row r="18" spans="1:27" s="23" customFormat="1" hidden="1" x14ac:dyDescent="0.35">
      <c r="A18" s="728" t="s">
        <v>19</v>
      </c>
      <c r="B18" s="602">
        <v>0.28976913900755835</v>
      </c>
      <c r="C18" s="39">
        <v>0.11706861375835249</v>
      </c>
      <c r="D18" s="518">
        <v>9.8541666666666652E-2</v>
      </c>
      <c r="E18" s="518">
        <v>5.0000000000000001E-3</v>
      </c>
      <c r="F18" s="518">
        <v>0</v>
      </c>
      <c r="G18" s="518">
        <v>1.3526947091685837E-2</v>
      </c>
      <c r="H18" s="39">
        <v>0.17270052524920584</v>
      </c>
      <c r="I18" s="518">
        <v>5.1458333333333342E-2</v>
      </c>
      <c r="J18" s="518">
        <v>0.08</v>
      </c>
      <c r="K18" s="518">
        <v>4.1999999999999997E-3</v>
      </c>
      <c r="L18" s="518">
        <v>3.7042191915872491E-2</v>
      </c>
      <c r="M18" s="522">
        <v>8.2155767334866917E-2</v>
      </c>
      <c r="N18" s="523">
        <v>8.2155767334866917E-2</v>
      </c>
      <c r="O18" s="522">
        <v>6.5176908752327747E-2</v>
      </c>
      <c r="P18" s="523">
        <v>0</v>
      </c>
      <c r="Q18" s="61">
        <v>0.32588454376163872</v>
      </c>
      <c r="R18" s="61">
        <v>0</v>
      </c>
      <c r="S18" s="189">
        <v>0.51925758242961995</v>
      </c>
      <c r="T18" s="213">
        <v>0.28825732730520182</v>
      </c>
      <c r="U18" s="730" t="s">
        <v>19</v>
      </c>
      <c r="V18" s="213"/>
      <c r="W18" s="213"/>
    </row>
    <row r="19" spans="1:27" s="23" customFormat="1" hidden="1" x14ac:dyDescent="0.35">
      <c r="A19" s="728" t="s">
        <v>16</v>
      </c>
      <c r="B19" s="602">
        <v>0.34766049950706546</v>
      </c>
      <c r="C19" s="39">
        <v>0.15136049950706543</v>
      </c>
      <c r="D19" s="518">
        <v>0.15136049950706543</v>
      </c>
      <c r="E19" s="518">
        <v>0</v>
      </c>
      <c r="F19" s="518">
        <v>0</v>
      </c>
      <c r="G19" s="518">
        <v>0</v>
      </c>
      <c r="H19" s="39">
        <v>0.19630000000000003</v>
      </c>
      <c r="I19" s="518">
        <v>0</v>
      </c>
      <c r="J19" s="518">
        <v>0.09</v>
      </c>
      <c r="K19" s="518">
        <v>6.3E-3</v>
      </c>
      <c r="L19" s="518">
        <v>0.10000000000000002</v>
      </c>
      <c r="M19" s="522">
        <v>0.16431153466973383</v>
      </c>
      <c r="N19" s="523">
        <v>8.2155767334866917E-2</v>
      </c>
      <c r="O19" s="522">
        <v>0.12323365100230037</v>
      </c>
      <c r="P19" s="523">
        <v>0</v>
      </c>
      <c r="Q19" s="61">
        <v>0.61616825501150185</v>
      </c>
      <c r="R19" s="61">
        <v>0</v>
      </c>
      <c r="S19" s="189">
        <v>0.71736145251396655</v>
      </c>
      <c r="T19" s="213">
        <v>0.39668520292747417</v>
      </c>
      <c r="U19" s="730" t="s">
        <v>16</v>
      </c>
      <c r="V19" s="213"/>
      <c r="W19" s="213"/>
    </row>
    <row r="20" spans="1:27" s="23" customFormat="1" hidden="1" x14ac:dyDescent="0.35">
      <c r="A20" s="728" t="s">
        <v>20</v>
      </c>
      <c r="B20" s="602">
        <v>0.28136049950706538</v>
      </c>
      <c r="C20" s="39">
        <v>9.7394019060138018E-2</v>
      </c>
      <c r="D20" s="518">
        <v>9.7394019060138018E-2</v>
      </c>
      <c r="E20" s="518">
        <v>0</v>
      </c>
      <c r="F20" s="518">
        <v>0</v>
      </c>
      <c r="G20" s="518">
        <v>0</v>
      </c>
      <c r="H20" s="39">
        <v>0.18396648044692737</v>
      </c>
      <c r="I20" s="518">
        <v>0.15150180742688138</v>
      </c>
      <c r="J20" s="518">
        <v>0</v>
      </c>
      <c r="K20" s="518">
        <v>0</v>
      </c>
      <c r="L20" s="518">
        <v>3.2464673020046006E-2</v>
      </c>
      <c r="M20" s="522">
        <v>8.2155767334866917E-2</v>
      </c>
      <c r="N20" s="523">
        <v>3.2862306933946768E-2</v>
      </c>
      <c r="O20" s="522">
        <v>4.1077883667433458E-2</v>
      </c>
      <c r="P20" s="523">
        <v>2.4646730200460074E-2</v>
      </c>
      <c r="Q20" s="61">
        <v>0.20538941833716728</v>
      </c>
      <c r="R20" s="61">
        <v>0.12323365100230037</v>
      </c>
      <c r="S20" s="189">
        <v>0.46210318764377262</v>
      </c>
      <c r="T20" s="213">
        <v>0.51603914050998012</v>
      </c>
      <c r="U20" s="730" t="s">
        <v>20</v>
      </c>
      <c r="V20" s="213"/>
      <c r="W20" s="213"/>
    </row>
    <row r="21" spans="1:27" s="23" customFormat="1" hidden="1" x14ac:dyDescent="0.35">
      <c r="A21" s="728" t="s">
        <v>26</v>
      </c>
      <c r="B21" s="602">
        <v>0.24467541899441336</v>
      </c>
      <c r="C21" s="39">
        <v>6.9366184686164969E-2</v>
      </c>
      <c r="D21" s="518">
        <v>3.1057870522510678E-2</v>
      </c>
      <c r="E21" s="518">
        <v>3.2897535326979956E-2</v>
      </c>
      <c r="F21" s="518">
        <v>0</v>
      </c>
      <c r="G21" s="518">
        <v>5.4107788366743355E-3</v>
      </c>
      <c r="H21" s="39">
        <v>0.17530923430824841</v>
      </c>
      <c r="I21" s="518">
        <v>7.683305948077554E-2</v>
      </c>
      <c r="J21" s="518">
        <v>7.683305948077554E-2</v>
      </c>
      <c r="K21" s="518">
        <v>1.0821557673348671E-2</v>
      </c>
      <c r="L21" s="518">
        <v>1.0821557673348671E-2</v>
      </c>
      <c r="M21" s="522">
        <v>8.2155767334866917E-2</v>
      </c>
      <c r="N21" s="523">
        <v>4.9293460400920149E-2</v>
      </c>
      <c r="O21" s="522">
        <v>6.2986088290064621E-2</v>
      </c>
      <c r="P21" s="523">
        <v>1.5335743235841822E-2</v>
      </c>
      <c r="Q21" s="61">
        <v>0.31493044145032312</v>
      </c>
      <c r="R21" s="61">
        <v>7.6678716179209114E-2</v>
      </c>
      <c r="S21" s="189">
        <v>0.45444647825610684</v>
      </c>
      <c r="T21" s="213">
        <v>0.25688053342385653</v>
      </c>
      <c r="U21" s="730" t="s">
        <v>26</v>
      </c>
      <c r="V21" s="213"/>
      <c r="W21" s="213"/>
    </row>
    <row r="22" spans="1:27" s="23" customFormat="1" hidden="1" x14ac:dyDescent="0.35">
      <c r="A22" s="728" t="s">
        <v>25</v>
      </c>
      <c r="B22" s="602">
        <v>0.27499999999999997</v>
      </c>
      <c r="C22" s="39">
        <v>0.10249999999999999</v>
      </c>
      <c r="D22" s="518">
        <v>7.2499999999999995E-2</v>
      </c>
      <c r="E22" s="518">
        <v>0.03</v>
      </c>
      <c r="F22" s="518">
        <v>0</v>
      </c>
      <c r="G22" s="518">
        <v>0</v>
      </c>
      <c r="H22" s="39">
        <v>0.17249999999999999</v>
      </c>
      <c r="I22" s="518">
        <v>8.7499999999999994E-2</v>
      </c>
      <c r="J22" s="518">
        <v>7.4999999999999997E-2</v>
      </c>
      <c r="K22" s="518">
        <v>0</v>
      </c>
      <c r="L22" s="518">
        <v>0.01</v>
      </c>
      <c r="M22" s="522">
        <v>5.2031985978749036E-2</v>
      </c>
      <c r="N22" s="523">
        <v>5.2031985978749036E-2</v>
      </c>
      <c r="O22" s="522">
        <v>8.2155767334866903E-2</v>
      </c>
      <c r="P22" s="523">
        <v>0</v>
      </c>
      <c r="Q22" s="61">
        <v>0.41077883667433451</v>
      </c>
      <c r="R22" s="61">
        <v>0</v>
      </c>
      <c r="S22" s="189">
        <v>0.46121973929236493</v>
      </c>
      <c r="T22" s="213">
        <v>0.47776624629039077</v>
      </c>
      <c r="U22" s="730" t="s">
        <v>25</v>
      </c>
      <c r="V22" s="213"/>
      <c r="W22" s="213"/>
    </row>
    <row r="23" spans="1:27" s="23" customFormat="1" hidden="1" x14ac:dyDescent="0.35">
      <c r="A23" s="728" t="s">
        <v>31</v>
      </c>
      <c r="B23" s="602">
        <v>0.13200000000000001</v>
      </c>
      <c r="C23" s="39">
        <v>4.3999999999999997E-2</v>
      </c>
      <c r="D23" s="518">
        <v>4.3999999999999997E-2</v>
      </c>
      <c r="E23" s="518">
        <v>0</v>
      </c>
      <c r="F23" s="518">
        <v>0</v>
      </c>
      <c r="G23" s="518">
        <v>0</v>
      </c>
      <c r="H23" s="39">
        <v>8.7999999999999995E-2</v>
      </c>
      <c r="I23" s="518">
        <v>8.7999999999999995E-2</v>
      </c>
      <c r="J23" s="518">
        <v>0</v>
      </c>
      <c r="K23" s="518">
        <v>0</v>
      </c>
      <c r="L23" s="518">
        <v>0</v>
      </c>
      <c r="M23" s="522">
        <v>0</v>
      </c>
      <c r="N23" s="523">
        <v>3.833935808960455E-2</v>
      </c>
      <c r="O23" s="522">
        <v>4.1077883667433451E-2</v>
      </c>
      <c r="P23" s="523">
        <v>0</v>
      </c>
      <c r="Q23" s="61">
        <v>0.20538941833716726</v>
      </c>
      <c r="R23" s="61">
        <v>0</v>
      </c>
      <c r="S23" s="189">
        <v>0.21141724175703799</v>
      </c>
      <c r="T23" s="213">
        <v>0.16581250939432327</v>
      </c>
      <c r="U23" s="730" t="s">
        <v>31</v>
      </c>
      <c r="V23" s="213"/>
      <c r="W23" s="213"/>
    </row>
    <row r="24" spans="1:27" s="23" customFormat="1" hidden="1" x14ac:dyDescent="0.35">
      <c r="A24" s="728" t="s">
        <v>14</v>
      </c>
      <c r="B24" s="602">
        <v>0.40514173948806109</v>
      </c>
      <c r="C24" s="39">
        <v>0.20389790117061121</v>
      </c>
      <c r="D24" s="518">
        <v>0.16232336510023004</v>
      </c>
      <c r="E24" s="518">
        <v>4.0492380303046319E-2</v>
      </c>
      <c r="F24" s="518">
        <v>0</v>
      </c>
      <c r="G24" s="518">
        <v>1.0821557673348669E-3</v>
      </c>
      <c r="H24" s="39">
        <v>0.20124383831744988</v>
      </c>
      <c r="I24" s="518">
        <v>8.1161682550115022E-2</v>
      </c>
      <c r="J24" s="518">
        <v>0.05</v>
      </c>
      <c r="K24" s="518">
        <v>6.9000000000000006E-2</v>
      </c>
      <c r="L24" s="518">
        <v>1.0821557673348669E-3</v>
      </c>
      <c r="M24" s="522">
        <v>8.2155767334866917E-2</v>
      </c>
      <c r="N24" s="523">
        <v>5.7509037134406839E-2</v>
      </c>
      <c r="O24" s="522">
        <v>9.8039215686274508E-2</v>
      </c>
      <c r="P24" s="523">
        <v>0</v>
      </c>
      <c r="Q24" s="61">
        <v>0.49019607843137253</v>
      </c>
      <c r="R24" s="61">
        <v>0</v>
      </c>
      <c r="S24" s="189">
        <v>0.64284575964360935</v>
      </c>
      <c r="T24" s="34">
        <v>0.24118649639170847</v>
      </c>
      <c r="U24" s="730" t="s">
        <v>14</v>
      </c>
      <c r="V24" s="213"/>
      <c r="W24" s="213"/>
    </row>
    <row r="25" spans="1:27" s="23" customFormat="1" hidden="1" x14ac:dyDescent="0.35">
      <c r="A25" s="729" t="s">
        <v>22</v>
      </c>
      <c r="B25" s="603">
        <v>0.2175</v>
      </c>
      <c r="C25" s="41">
        <v>0.06</v>
      </c>
      <c r="D25" s="519">
        <v>0.04</v>
      </c>
      <c r="E25" s="519">
        <v>0</v>
      </c>
      <c r="F25" s="519">
        <v>0</v>
      </c>
      <c r="G25" s="519">
        <v>0.02</v>
      </c>
      <c r="H25" s="524">
        <v>0.1575</v>
      </c>
      <c r="I25" s="519">
        <v>0.09</v>
      </c>
      <c r="J25" s="519">
        <v>0</v>
      </c>
      <c r="K25" s="519">
        <v>7.4999999999999997E-3</v>
      </c>
      <c r="L25" s="519">
        <v>0.06</v>
      </c>
      <c r="M25" s="524">
        <v>8.2155767334866903E-2</v>
      </c>
      <c r="N25" s="525">
        <v>5.2031985978749043E-2</v>
      </c>
      <c r="O25" s="524">
        <v>8.2155767334866903E-2</v>
      </c>
      <c r="P25" s="525">
        <v>0</v>
      </c>
      <c r="Q25" s="467">
        <v>0.41077883667433451</v>
      </c>
      <c r="R25" s="467">
        <v>0</v>
      </c>
      <c r="S25" s="732">
        <v>0.43384352064848286</v>
      </c>
      <c r="T25" s="198"/>
      <c r="U25" s="731" t="s">
        <v>22</v>
      </c>
      <c r="V25" s="213"/>
      <c r="W25" s="213"/>
    </row>
    <row r="26" spans="1:27" s="23" customFormat="1" hidden="1" x14ac:dyDescent="0.35">
      <c r="A26" s="23" t="s">
        <v>125</v>
      </c>
      <c r="B26" s="189">
        <v>0.28744893329535542</v>
      </c>
      <c r="C26" s="189">
        <v>0.10233377817950143</v>
      </c>
      <c r="D26" s="189">
        <v>7.2571293009264876E-2</v>
      </c>
      <c r="E26" s="189">
        <v>2.0959852726491635E-2</v>
      </c>
      <c r="F26" s="189">
        <v>5.263157894736842E-4</v>
      </c>
      <c r="G26" s="189">
        <v>8.2763166542712367E-3</v>
      </c>
      <c r="H26" s="189">
        <v>0.18511515511585402</v>
      </c>
      <c r="I26" s="189">
        <v>7.3885306657211561E-2</v>
      </c>
      <c r="J26" s="189">
        <v>4.5894245348830513E-2</v>
      </c>
      <c r="K26" s="189">
        <v>1.1046155542487507E-2</v>
      </c>
      <c r="L26" s="189">
        <v>5.4289447567324498E-2</v>
      </c>
      <c r="M26" s="189">
        <v>8.5512082729423525E-2</v>
      </c>
      <c r="N26" s="189">
        <v>5.2639506258251624E-2</v>
      </c>
      <c r="O26" s="189">
        <v>7.269488212809383E-2</v>
      </c>
      <c r="P26" s="189">
        <v>1.2208058760110926E-2</v>
      </c>
      <c r="Q26" s="189">
        <v>0.36347441064046909</v>
      </c>
      <c r="R26" s="189">
        <v>6.1040293800554618E-2</v>
      </c>
      <c r="S26" s="189">
        <v>0.51050346317123541</v>
      </c>
      <c r="T26" s="189">
        <v>0.43083165976320614</v>
      </c>
      <c r="U26" s="189" t="s">
        <v>125</v>
      </c>
      <c r="V26" s="189"/>
    </row>
    <row r="27" spans="1:27" x14ac:dyDescent="0.35">
      <c r="H27" s="7"/>
    </row>
    <row r="28" spans="1:27" ht="18.5" x14ac:dyDescent="0.45">
      <c r="A28" s="21"/>
      <c r="B28" s="21"/>
    </row>
    <row r="29" spans="1:27" ht="15" customHeight="1" x14ac:dyDescent="0.35">
      <c r="L29" s="953" t="s">
        <v>536</v>
      </c>
      <c r="M29" s="953" t="s">
        <v>151</v>
      </c>
      <c r="N29" s="953" t="s">
        <v>68</v>
      </c>
      <c r="O29" s="953" t="s">
        <v>69</v>
      </c>
      <c r="P29" s="953"/>
      <c r="Q29" s="953" t="s">
        <v>70</v>
      </c>
      <c r="R29" s="953"/>
      <c r="S29" s="623"/>
    </row>
    <row r="30" spans="1:27" ht="39" x14ac:dyDescent="0.35">
      <c r="L30" s="953"/>
      <c r="M30" s="953"/>
      <c r="N30" s="953"/>
      <c r="O30" s="184" t="s">
        <v>82</v>
      </c>
      <c r="P30" s="184" t="s">
        <v>83</v>
      </c>
      <c r="Q30" s="184" t="s">
        <v>84</v>
      </c>
      <c r="R30" s="184" t="s">
        <v>85</v>
      </c>
      <c r="S30" s="184" t="s">
        <v>86</v>
      </c>
      <c r="T30" s="25"/>
      <c r="U30" s="25"/>
      <c r="V30" s="25"/>
      <c r="Y30" s="25"/>
      <c r="Z30" s="25"/>
    </row>
    <row r="31" spans="1:27" x14ac:dyDescent="0.35">
      <c r="L31" s="948" t="s">
        <v>11</v>
      </c>
      <c r="M31" s="733">
        <v>2013</v>
      </c>
      <c r="N31" s="734">
        <v>0.44456438356164374</v>
      </c>
      <c r="O31" s="734">
        <v>8.2191780821917804E-2</v>
      </c>
      <c r="P31" s="734">
        <v>3.8339358089604557E-2</v>
      </c>
      <c r="Q31" s="734">
        <v>8.2155767334866903E-2</v>
      </c>
      <c r="R31" s="734">
        <v>3.2862306933946768E-2</v>
      </c>
      <c r="S31" s="734">
        <v>0.68011359674197969</v>
      </c>
      <c r="T31" s="30"/>
      <c r="U31" s="30"/>
      <c r="X31" s="9"/>
      <c r="AA31" s="30"/>
    </row>
    <row r="32" spans="1:27" x14ac:dyDescent="0.35">
      <c r="L32" s="948"/>
      <c r="M32" s="733">
        <v>2023</v>
      </c>
      <c r="N32" s="735">
        <v>0.45407255997371021</v>
      </c>
      <c r="O32" s="735">
        <v>8.2155767334866917E-2</v>
      </c>
      <c r="P32" s="735">
        <v>3.8339358089604557E-2</v>
      </c>
      <c r="Q32" s="735">
        <v>8.2155767334866903E-2</v>
      </c>
      <c r="R32" s="735">
        <v>3.2862306933946768E-2</v>
      </c>
      <c r="S32" s="734">
        <v>0.68958575966699531</v>
      </c>
      <c r="T32" s="30"/>
      <c r="U32" s="30"/>
      <c r="V32" s="2"/>
      <c r="W32" s="2"/>
      <c r="X32" s="9"/>
      <c r="AA32" s="30"/>
    </row>
    <row r="33" spans="11:24" x14ac:dyDescent="0.35">
      <c r="L33" s="948" t="s">
        <v>12</v>
      </c>
      <c r="M33" s="733">
        <v>2013</v>
      </c>
      <c r="N33" s="734">
        <v>0.46750684931506853</v>
      </c>
      <c r="O33" s="734">
        <v>8.2191780821917804E-2</v>
      </c>
      <c r="P33" s="734">
        <v>0.1095890410958904</v>
      </c>
      <c r="Q33" s="734">
        <v>3.1561643835616437E-2</v>
      </c>
      <c r="R33" s="734">
        <v>2.3013698630136987E-2</v>
      </c>
      <c r="S33" s="734">
        <v>0.71386301369863026</v>
      </c>
      <c r="T33" s="30"/>
      <c r="U33" s="30"/>
      <c r="X33" s="9"/>
    </row>
    <row r="34" spans="11:24" x14ac:dyDescent="0.35">
      <c r="L34" s="948"/>
      <c r="M34" s="733">
        <v>2023</v>
      </c>
      <c r="N34" s="734">
        <v>0.46532697995399275</v>
      </c>
      <c r="O34" s="734">
        <v>8.2155767334866917E-2</v>
      </c>
      <c r="P34" s="734">
        <v>0.10954102311315589</v>
      </c>
      <c r="Q34" s="734">
        <v>3.1547814656588888E-2</v>
      </c>
      <c r="R34" s="734">
        <v>2.4646730200460074E-2</v>
      </c>
      <c r="S34" s="734">
        <v>0.71321831525906454</v>
      </c>
      <c r="T34" s="30"/>
      <c r="U34" s="30"/>
      <c r="V34" s="2"/>
      <c r="W34" s="2"/>
      <c r="X34" s="9"/>
    </row>
    <row r="35" spans="11:24" x14ac:dyDescent="0.35">
      <c r="K35" s="63"/>
      <c r="L35" s="931" t="s">
        <v>16</v>
      </c>
      <c r="M35" s="736">
        <v>2013</v>
      </c>
      <c r="N35" s="737">
        <v>0.33066049950706544</v>
      </c>
      <c r="O35" s="737">
        <v>0.16431153466973383</v>
      </c>
      <c r="P35" s="737">
        <v>8.2155767334866917E-2</v>
      </c>
      <c r="Q35" s="737">
        <v>0.12323365100230035</v>
      </c>
      <c r="R35" s="737">
        <v>0</v>
      </c>
      <c r="S35" s="737">
        <v>0.70036145251396653</v>
      </c>
      <c r="T35" s="30"/>
      <c r="U35" s="30"/>
      <c r="X35" s="9"/>
    </row>
    <row r="36" spans="11:24" x14ac:dyDescent="0.35">
      <c r="K36" s="63"/>
      <c r="L36" s="931"/>
      <c r="M36" s="736">
        <v>2023</v>
      </c>
      <c r="N36" s="737">
        <v>0.34766049950706546</v>
      </c>
      <c r="O36" s="737">
        <v>0.16431153466973383</v>
      </c>
      <c r="P36" s="737">
        <v>8.2155767334866917E-2</v>
      </c>
      <c r="Q36" s="737">
        <v>0.12323365100230037</v>
      </c>
      <c r="R36" s="737">
        <v>0</v>
      </c>
      <c r="S36" s="737">
        <v>0.71736145251396655</v>
      </c>
      <c r="T36" s="30"/>
      <c r="U36" s="30"/>
      <c r="V36" s="2"/>
      <c r="W36" s="2"/>
      <c r="X36" s="9"/>
    </row>
    <row r="37" spans="11:24" x14ac:dyDescent="0.35">
      <c r="K37" s="63"/>
      <c r="L37" s="931" t="s">
        <v>14</v>
      </c>
      <c r="M37" s="736">
        <v>2013</v>
      </c>
      <c r="N37" s="738">
        <v>0.40479900088802745</v>
      </c>
      <c r="O37" s="738">
        <v>8.2155767334866917E-2</v>
      </c>
      <c r="P37" s="738">
        <v>5.7509037134406839E-2</v>
      </c>
      <c r="Q37" s="738">
        <v>9.8039215686274522E-2</v>
      </c>
      <c r="R37" s="738">
        <v>0</v>
      </c>
      <c r="S37" s="738">
        <v>0.64250302104357571</v>
      </c>
      <c r="T37" s="30"/>
      <c r="U37" s="30"/>
      <c r="V37" s="502"/>
      <c r="W37" s="2"/>
      <c r="X37" s="9"/>
    </row>
    <row r="38" spans="11:24" x14ac:dyDescent="0.35">
      <c r="K38" s="63"/>
      <c r="L38" s="931"/>
      <c r="M38" s="736">
        <v>2023</v>
      </c>
      <c r="N38" s="738">
        <v>0.40514173948806109</v>
      </c>
      <c r="O38" s="738">
        <v>8.2155767334866917E-2</v>
      </c>
      <c r="P38" s="738">
        <v>5.7509037134406839E-2</v>
      </c>
      <c r="Q38" s="738">
        <v>9.8039215686274508E-2</v>
      </c>
      <c r="R38" s="738">
        <v>0</v>
      </c>
      <c r="S38" s="734">
        <v>0.64284575964360935</v>
      </c>
      <c r="T38" s="30"/>
      <c r="U38" s="30"/>
      <c r="V38" s="2"/>
      <c r="W38" s="2"/>
      <c r="X38" s="9"/>
    </row>
    <row r="39" spans="11:24" x14ac:dyDescent="0.35">
      <c r="K39" s="63"/>
      <c r="L39" s="948" t="s">
        <v>17</v>
      </c>
      <c r="M39" s="733">
        <v>2013</v>
      </c>
      <c r="N39" s="734">
        <v>0.31308046</v>
      </c>
      <c r="O39" s="734">
        <v>0.12215908155296826</v>
      </c>
      <c r="P39" s="734">
        <v>4.1666666666666664E-2</v>
      </c>
      <c r="Q39" s="734">
        <v>8.2191780821917804E-2</v>
      </c>
      <c r="R39" s="734">
        <v>0</v>
      </c>
      <c r="S39" s="734">
        <v>0.55909798904155283</v>
      </c>
      <c r="T39" s="30"/>
      <c r="U39" s="30"/>
      <c r="X39" s="9"/>
    </row>
    <row r="40" spans="11:24" x14ac:dyDescent="0.35">
      <c r="K40" s="63"/>
      <c r="L40" s="948"/>
      <c r="M40" s="733">
        <v>2023</v>
      </c>
      <c r="N40" s="734">
        <v>0.31306766348997705</v>
      </c>
      <c r="O40" s="734">
        <v>0.1343828745208934</v>
      </c>
      <c r="P40" s="734">
        <v>4.1666666666666664E-2</v>
      </c>
      <c r="Q40" s="734">
        <v>8.2155767334866917E-2</v>
      </c>
      <c r="R40" s="734">
        <v>0</v>
      </c>
      <c r="S40" s="734">
        <v>0.57127297201240401</v>
      </c>
      <c r="T40" s="30"/>
      <c r="U40" s="30"/>
      <c r="V40" s="2"/>
      <c r="W40" s="7"/>
      <c r="X40" s="9"/>
    </row>
    <row r="41" spans="11:24" x14ac:dyDescent="0.35">
      <c r="L41" s="948" t="s">
        <v>13</v>
      </c>
      <c r="M41" s="733">
        <v>2013</v>
      </c>
      <c r="N41" s="734">
        <v>0.2742</v>
      </c>
      <c r="O41" s="734">
        <v>0.16438356164383561</v>
      </c>
      <c r="P41" s="734">
        <v>5.4794520547945202E-2</v>
      </c>
      <c r="Q41" s="734">
        <v>8.2191780821917804E-2</v>
      </c>
      <c r="R41" s="734">
        <v>4.9315068493150691E-2</v>
      </c>
      <c r="S41" s="734">
        <v>0.62488493150684932</v>
      </c>
      <c r="T41" s="30"/>
      <c r="U41" s="30"/>
      <c r="X41" s="9"/>
    </row>
    <row r="42" spans="11:24" x14ac:dyDescent="0.35">
      <c r="L42" s="948"/>
      <c r="M42" s="733">
        <v>2023</v>
      </c>
      <c r="N42" s="735">
        <v>0.2742</v>
      </c>
      <c r="O42" s="735">
        <v>0.16431153466973381</v>
      </c>
      <c r="P42" s="735">
        <v>5.4770511556577944E-2</v>
      </c>
      <c r="Q42" s="735">
        <v>8.2155767334866903E-2</v>
      </c>
      <c r="R42" s="735">
        <v>4.9293460400920155E-2</v>
      </c>
      <c r="S42" s="734">
        <v>0.62473127396209882</v>
      </c>
      <c r="T42" s="30"/>
      <c r="U42" s="30"/>
      <c r="V42" s="2"/>
      <c r="W42" s="2"/>
      <c r="X42" s="9"/>
    </row>
    <row r="43" spans="11:24" x14ac:dyDescent="0.35">
      <c r="L43" s="931" t="s">
        <v>18</v>
      </c>
      <c r="M43" s="736">
        <v>2013</v>
      </c>
      <c r="N43" s="737">
        <v>0.38574657534246581</v>
      </c>
      <c r="O43" s="737">
        <v>8.2191780821917804E-2</v>
      </c>
      <c r="P43" s="737">
        <v>3.8356164383561646E-2</v>
      </c>
      <c r="Q43" s="737">
        <v>5.8082191780821926E-2</v>
      </c>
      <c r="R43" s="737">
        <v>1.643835616438356E-2</v>
      </c>
      <c r="S43" s="734">
        <v>0.58081506849315079</v>
      </c>
      <c r="T43" s="30"/>
      <c r="U43" s="30"/>
      <c r="X43" s="9"/>
    </row>
    <row r="44" spans="11:24" x14ac:dyDescent="0.35">
      <c r="L44" s="931"/>
      <c r="M44" s="736">
        <v>2023</v>
      </c>
      <c r="N44" s="737">
        <v>0.41522316792638847</v>
      </c>
      <c r="O44" s="737">
        <v>8.2155767334866917E-2</v>
      </c>
      <c r="P44" s="737">
        <v>3.8339358089604557E-2</v>
      </c>
      <c r="Q44" s="737">
        <v>5.8166283273085762E-2</v>
      </c>
      <c r="R44" s="737">
        <v>1.6431153466973381E-2</v>
      </c>
      <c r="S44" s="737">
        <v>0.61031573009091922</v>
      </c>
      <c r="T44" s="30"/>
      <c r="U44" s="30"/>
      <c r="V44" s="2"/>
      <c r="W44" s="2"/>
      <c r="X44" s="9"/>
    </row>
    <row r="45" spans="11:24" x14ac:dyDescent="0.35">
      <c r="L45" s="931" t="s">
        <v>15</v>
      </c>
      <c r="M45" s="736">
        <v>2013</v>
      </c>
      <c r="N45" s="737">
        <v>0.3467386301369863</v>
      </c>
      <c r="O45" s="737">
        <v>8.2191780821917804E-2</v>
      </c>
      <c r="P45" s="737">
        <v>4.1095890410958902E-2</v>
      </c>
      <c r="Q45" s="737">
        <v>6.0273972602739735E-2</v>
      </c>
      <c r="R45" s="737">
        <v>4.10958904109589E-3</v>
      </c>
      <c r="S45" s="734">
        <v>0.53440986301369864</v>
      </c>
      <c r="T45" s="30"/>
      <c r="U45" s="30"/>
      <c r="X45" s="9"/>
    </row>
    <row r="46" spans="11:24" x14ac:dyDescent="0.35">
      <c r="L46" s="931"/>
      <c r="M46" s="736">
        <v>2023</v>
      </c>
      <c r="N46" s="737">
        <v>0.35053894183371676</v>
      </c>
      <c r="O46" s="737">
        <v>8.2155767334866917E-2</v>
      </c>
      <c r="P46" s="737">
        <v>4.1077883667433451E-2</v>
      </c>
      <c r="Q46" s="737">
        <v>6.0247562712235733E-2</v>
      </c>
      <c r="R46" s="737">
        <v>4.1077883667433443E-3</v>
      </c>
      <c r="S46" s="734">
        <v>0.53812794391499619</v>
      </c>
      <c r="T46" s="30"/>
      <c r="U46" s="30"/>
      <c r="V46" s="2"/>
      <c r="W46" s="2"/>
      <c r="X46" s="9"/>
    </row>
    <row r="47" spans="11:24" x14ac:dyDescent="0.35">
      <c r="L47" s="948" t="s">
        <v>19</v>
      </c>
      <c r="M47" s="733">
        <v>2013</v>
      </c>
      <c r="N47" s="734">
        <v>0.28976913900755835</v>
      </c>
      <c r="O47" s="734">
        <v>8.2155767334866917E-2</v>
      </c>
      <c r="P47" s="734">
        <v>8.2155767334866917E-2</v>
      </c>
      <c r="Q47" s="734">
        <v>6.5176908752327747E-2</v>
      </c>
      <c r="R47" s="734">
        <v>0</v>
      </c>
      <c r="S47" s="734">
        <v>0.51925758242961995</v>
      </c>
      <c r="T47" s="30"/>
      <c r="U47" s="30"/>
      <c r="X47" s="9"/>
    </row>
    <row r="48" spans="11:24" x14ac:dyDescent="0.35">
      <c r="L48" s="948"/>
      <c r="M48" s="733">
        <v>2023</v>
      </c>
      <c r="N48" s="734">
        <v>0.28976913900755835</v>
      </c>
      <c r="O48" s="734">
        <v>8.2155767334866917E-2</v>
      </c>
      <c r="P48" s="734">
        <v>8.2155767334866917E-2</v>
      </c>
      <c r="Q48" s="734">
        <v>6.5176908752327747E-2</v>
      </c>
      <c r="R48" s="734">
        <v>0</v>
      </c>
      <c r="S48" s="734">
        <v>0.51925758242961995</v>
      </c>
      <c r="T48" s="30"/>
      <c r="U48" s="30"/>
      <c r="V48" s="2"/>
      <c r="W48" s="2"/>
      <c r="X48" s="9"/>
    </row>
    <row r="49" spans="12:24" x14ac:dyDescent="0.35">
      <c r="L49" s="948" t="s">
        <v>125</v>
      </c>
      <c r="M49" s="733">
        <v>2013</v>
      </c>
      <c r="N49" s="740">
        <v>0.28088396404102545</v>
      </c>
      <c r="O49" s="740">
        <v>8.4885784224977875E-2</v>
      </c>
      <c r="P49" s="740">
        <v>5.1814119519338939E-2</v>
      </c>
      <c r="Q49" s="740">
        <v>7.2936492821824947E-2</v>
      </c>
      <c r="R49" s="740">
        <v>1.212445376583004E-2</v>
      </c>
      <c r="S49" s="740">
        <v>0.50264481437299724</v>
      </c>
      <c r="T49" s="30"/>
      <c r="U49" s="30"/>
      <c r="X49" s="9"/>
    </row>
    <row r="50" spans="12:24" x14ac:dyDescent="0.35">
      <c r="L50" s="948"/>
      <c r="M50" s="733">
        <v>2023</v>
      </c>
      <c r="N50" s="740">
        <v>0.28744893329535542</v>
      </c>
      <c r="O50" s="740">
        <v>8.5512082729423525E-2</v>
      </c>
      <c r="P50" s="740">
        <v>5.2639506258251624E-2</v>
      </c>
      <c r="Q50" s="740">
        <v>7.269488212809383E-2</v>
      </c>
      <c r="R50" s="740">
        <v>1.2208058760110926E-2</v>
      </c>
      <c r="S50" s="740">
        <v>0.51050346317123529</v>
      </c>
      <c r="T50" s="30"/>
      <c r="U50" s="30"/>
      <c r="V50" s="2"/>
      <c r="W50" s="7"/>
      <c r="X50" s="9"/>
    </row>
    <row r="51" spans="12:24" x14ac:dyDescent="0.35">
      <c r="L51" s="948" t="s">
        <v>27</v>
      </c>
      <c r="M51" s="733">
        <v>2013</v>
      </c>
      <c r="N51" s="734">
        <v>0.14700000000000002</v>
      </c>
      <c r="O51" s="734">
        <v>0.16431153466973381</v>
      </c>
      <c r="P51" s="734">
        <v>5.4770511556577951E-2</v>
      </c>
      <c r="Q51" s="734">
        <v>8.2155767334866917E-2</v>
      </c>
      <c r="R51" s="734">
        <v>3.2862306933946761E-2</v>
      </c>
      <c r="S51" s="734">
        <v>0.48110012049512546</v>
      </c>
      <c r="T51" s="30"/>
      <c r="U51" s="30"/>
      <c r="X51" s="9"/>
    </row>
    <row r="52" spans="12:24" x14ac:dyDescent="0.35">
      <c r="L52" s="948"/>
      <c r="M52" s="733">
        <v>2023</v>
      </c>
      <c r="N52" s="734">
        <v>0.14700000000000002</v>
      </c>
      <c r="O52" s="734">
        <v>0.16431153466973381</v>
      </c>
      <c r="P52" s="734">
        <v>5.4770511556577944E-2</v>
      </c>
      <c r="Q52" s="734">
        <v>8.2155767334866917E-2</v>
      </c>
      <c r="R52" s="734">
        <v>3.2862306933946761E-2</v>
      </c>
      <c r="S52" s="734">
        <v>0.48110012049512546</v>
      </c>
      <c r="T52" s="682"/>
      <c r="U52" s="30"/>
      <c r="V52" s="2"/>
      <c r="W52" s="7"/>
      <c r="X52" s="9"/>
    </row>
    <row r="53" spans="12:24" x14ac:dyDescent="0.35">
      <c r="L53" s="948" t="s">
        <v>21</v>
      </c>
      <c r="M53" s="733">
        <v>2013</v>
      </c>
      <c r="N53" s="734">
        <v>0.17500000000000002</v>
      </c>
      <c r="O53" s="734">
        <v>0.16438356164383561</v>
      </c>
      <c r="P53" s="734">
        <v>4.1095890410958902E-2</v>
      </c>
      <c r="Q53" s="734">
        <v>8.2191780821917818E-2</v>
      </c>
      <c r="R53" s="734">
        <v>0</v>
      </c>
      <c r="S53" s="734">
        <v>0.46267123287671236</v>
      </c>
      <c r="T53" s="30"/>
      <c r="U53" s="30"/>
      <c r="X53" s="9"/>
    </row>
    <row r="54" spans="12:24" x14ac:dyDescent="0.35">
      <c r="L54" s="948"/>
      <c r="M54" s="733">
        <v>2023</v>
      </c>
      <c r="N54" s="734">
        <v>0.17500000000000002</v>
      </c>
      <c r="O54" s="734">
        <v>0.16431153466973381</v>
      </c>
      <c r="P54" s="734">
        <v>4.1077883667433451E-2</v>
      </c>
      <c r="Q54" s="734">
        <v>8.2155767334866917E-2</v>
      </c>
      <c r="R54" s="734">
        <v>0</v>
      </c>
      <c r="S54" s="734">
        <v>0.46254518567203423</v>
      </c>
      <c r="T54" s="30"/>
      <c r="U54" s="30"/>
      <c r="V54" s="2"/>
      <c r="W54" s="2"/>
      <c r="X54" s="9"/>
    </row>
    <row r="55" spans="12:24" x14ac:dyDescent="0.35">
      <c r="L55" s="931" t="s">
        <v>20</v>
      </c>
      <c r="M55" s="736">
        <v>2013</v>
      </c>
      <c r="N55" s="737">
        <v>0.28136049950706538</v>
      </c>
      <c r="O55" s="737">
        <v>8.2155767334866917E-2</v>
      </c>
      <c r="P55" s="737">
        <v>3.2862306933946768E-2</v>
      </c>
      <c r="Q55" s="737">
        <v>4.1077883667433458E-2</v>
      </c>
      <c r="R55" s="737">
        <v>2.4646730200460074E-2</v>
      </c>
      <c r="S55" s="734">
        <v>0.46210318764377262</v>
      </c>
      <c r="T55" s="30"/>
      <c r="U55" s="30"/>
      <c r="V55" s="502"/>
      <c r="X55" s="11"/>
    </row>
    <row r="56" spans="12:24" x14ac:dyDescent="0.35">
      <c r="L56" s="931"/>
      <c r="M56" s="736">
        <v>2023</v>
      </c>
      <c r="N56" s="737">
        <v>0.28136049950706538</v>
      </c>
      <c r="O56" s="737">
        <v>8.2155767334866917E-2</v>
      </c>
      <c r="P56" s="737">
        <v>3.2862306933946768E-2</v>
      </c>
      <c r="Q56" s="737">
        <v>4.1077883667433458E-2</v>
      </c>
      <c r="R56" s="737">
        <v>2.4646730200460074E-2</v>
      </c>
      <c r="S56" s="734">
        <v>0.46210318764377262</v>
      </c>
      <c r="T56" s="30"/>
      <c r="U56" s="30"/>
      <c r="V56" s="2"/>
      <c r="W56" s="2"/>
      <c r="X56" s="11"/>
    </row>
    <row r="57" spans="12:24" x14ac:dyDescent="0.35">
      <c r="L57" s="948" t="s">
        <v>26</v>
      </c>
      <c r="M57" s="733">
        <v>2013</v>
      </c>
      <c r="N57" s="734">
        <v>0.24467541899441342</v>
      </c>
      <c r="O57" s="734">
        <v>8.2155767334866917E-2</v>
      </c>
      <c r="P57" s="734">
        <v>4.9293460400920142E-2</v>
      </c>
      <c r="Q57" s="734">
        <v>6.2986088290064635E-2</v>
      </c>
      <c r="R57" s="734">
        <v>1.5335743235841826E-2</v>
      </c>
      <c r="S57" s="734">
        <v>0.4544464782561069</v>
      </c>
      <c r="T57" s="30"/>
      <c r="U57" s="30"/>
      <c r="X57" s="11"/>
    </row>
    <row r="58" spans="12:24" x14ac:dyDescent="0.35">
      <c r="L58" s="948"/>
      <c r="M58" s="733">
        <v>2023</v>
      </c>
      <c r="N58" s="734">
        <v>0.24467541899441336</v>
      </c>
      <c r="O58" s="734">
        <v>8.2155767334866917E-2</v>
      </c>
      <c r="P58" s="734">
        <v>4.9293460400920149E-2</v>
      </c>
      <c r="Q58" s="734">
        <v>6.2986088290064621E-2</v>
      </c>
      <c r="R58" s="734">
        <v>1.5335743235841822E-2</v>
      </c>
      <c r="S58" s="734">
        <v>0.45444647825610684</v>
      </c>
      <c r="T58" s="30"/>
      <c r="U58" s="30"/>
      <c r="V58" s="2"/>
      <c r="W58" s="7"/>
      <c r="X58" s="11"/>
    </row>
    <row r="59" spans="12:24" x14ac:dyDescent="0.35">
      <c r="L59" s="948" t="s">
        <v>24</v>
      </c>
      <c r="M59" s="733">
        <v>2013</v>
      </c>
      <c r="N59" s="734">
        <v>0.22755808969748248</v>
      </c>
      <c r="O59" s="734">
        <v>4.1666666666666664E-2</v>
      </c>
      <c r="P59" s="734">
        <v>3.888888888888889E-2</v>
      </c>
      <c r="Q59" s="734">
        <v>0.10406397195749809</v>
      </c>
      <c r="R59" s="734">
        <v>0</v>
      </c>
      <c r="S59" s="734">
        <v>0.41217761721053614</v>
      </c>
      <c r="T59" s="30"/>
      <c r="U59" s="30"/>
      <c r="X59" s="11"/>
    </row>
    <row r="60" spans="12:24" x14ac:dyDescent="0.35">
      <c r="L60" s="948"/>
      <c r="M60" s="733">
        <v>2023</v>
      </c>
      <c r="N60" s="734">
        <v>0.23999312292980507</v>
      </c>
      <c r="O60" s="734">
        <v>4.1666666666666664E-2</v>
      </c>
      <c r="P60" s="734">
        <v>5.4770511556577937E-2</v>
      </c>
      <c r="Q60" s="734">
        <v>0.10406397195749809</v>
      </c>
      <c r="R60" s="734">
        <v>0</v>
      </c>
      <c r="S60" s="734">
        <v>0.44049427311054778</v>
      </c>
      <c r="T60" s="30"/>
      <c r="U60" s="30"/>
      <c r="V60" s="2"/>
      <c r="W60" s="7"/>
      <c r="X60" s="11"/>
    </row>
    <row r="61" spans="12:24" x14ac:dyDescent="0.35">
      <c r="L61" s="948" t="s">
        <v>25</v>
      </c>
      <c r="M61" s="733">
        <v>2013</v>
      </c>
      <c r="N61" s="734">
        <v>0.24500000000000002</v>
      </c>
      <c r="O61" s="734">
        <v>5.2031985978749036E-2</v>
      </c>
      <c r="P61" s="734">
        <v>5.2031985978749036E-2</v>
      </c>
      <c r="Q61" s="734">
        <v>8.2191780821917818E-2</v>
      </c>
      <c r="R61" s="734">
        <v>0</v>
      </c>
      <c r="S61" s="734">
        <v>0.43125575277941591</v>
      </c>
      <c r="T61" s="30"/>
      <c r="U61" s="30"/>
      <c r="X61" s="11"/>
    </row>
    <row r="62" spans="12:24" x14ac:dyDescent="0.35">
      <c r="L62" s="948"/>
      <c r="M62" s="733">
        <v>2023</v>
      </c>
      <c r="N62" s="734">
        <v>0.27499999999999997</v>
      </c>
      <c r="O62" s="734">
        <v>5.2031985978749036E-2</v>
      </c>
      <c r="P62" s="734">
        <v>5.2031985978749036E-2</v>
      </c>
      <c r="Q62" s="734">
        <v>8.2155767334866903E-2</v>
      </c>
      <c r="R62" s="734">
        <v>0</v>
      </c>
      <c r="S62" s="734">
        <v>0.46121973929236493</v>
      </c>
      <c r="T62" s="30"/>
      <c r="U62" s="30"/>
      <c r="V62" s="2"/>
      <c r="W62" s="2"/>
      <c r="X62" s="11"/>
    </row>
    <row r="63" spans="12:24" x14ac:dyDescent="0.35">
      <c r="L63" s="948" t="s">
        <v>22</v>
      </c>
      <c r="M63" s="733">
        <v>2013</v>
      </c>
      <c r="N63" s="734">
        <v>0.21752500000000002</v>
      </c>
      <c r="O63" s="734">
        <v>8.2191780821917804E-2</v>
      </c>
      <c r="P63" s="734">
        <v>5.2054794520547946E-2</v>
      </c>
      <c r="Q63" s="734">
        <v>8.2191780821917804E-2</v>
      </c>
      <c r="R63" s="734">
        <v>0</v>
      </c>
      <c r="S63" s="734">
        <v>0.43396335616438358</v>
      </c>
      <c r="T63" s="30"/>
      <c r="U63" s="30"/>
      <c r="X63" s="11"/>
    </row>
    <row r="64" spans="12:24" x14ac:dyDescent="0.35">
      <c r="L64" s="948"/>
      <c r="M64" s="733">
        <v>2023</v>
      </c>
      <c r="N64" s="734">
        <v>0.2175</v>
      </c>
      <c r="O64" s="734">
        <v>8.2155767334866903E-2</v>
      </c>
      <c r="P64" s="734">
        <v>5.2031985978749043E-2</v>
      </c>
      <c r="Q64" s="734">
        <v>8.2155767334866903E-2</v>
      </c>
      <c r="R64" s="734">
        <v>0</v>
      </c>
      <c r="S64" s="734">
        <v>0.43384352064848281</v>
      </c>
      <c r="T64" s="30"/>
      <c r="U64" s="30"/>
      <c r="V64" s="2"/>
      <c r="W64" s="2"/>
      <c r="X64" s="11"/>
    </row>
    <row r="65" spans="12:25" x14ac:dyDescent="0.35">
      <c r="L65" s="948" t="s">
        <v>28</v>
      </c>
      <c r="M65" s="733">
        <v>2013</v>
      </c>
      <c r="N65" s="737">
        <v>0.2369</v>
      </c>
      <c r="O65" s="737">
        <v>0</v>
      </c>
      <c r="P65" s="737">
        <v>4.1095890410958902E-2</v>
      </c>
      <c r="Q65" s="737">
        <v>8.2191780821917804E-2</v>
      </c>
      <c r="R65" s="737">
        <v>1.643835616438356E-2</v>
      </c>
      <c r="S65" s="734">
        <v>0.37662602739726025</v>
      </c>
      <c r="T65" s="30"/>
      <c r="U65" s="30"/>
      <c r="X65" s="11"/>
    </row>
    <row r="66" spans="12:25" x14ac:dyDescent="0.35">
      <c r="L66" s="948"/>
      <c r="M66" s="733">
        <v>2023</v>
      </c>
      <c r="N66" s="737">
        <v>0.23899999999999999</v>
      </c>
      <c r="O66" s="737">
        <v>0</v>
      </c>
      <c r="P66" s="737">
        <v>4.1077883667433451E-2</v>
      </c>
      <c r="Q66" s="737">
        <v>8.215576733486693E-2</v>
      </c>
      <c r="R66" s="737">
        <v>1.6431153466973381E-2</v>
      </c>
      <c r="S66" s="737">
        <v>0.37866480446927381</v>
      </c>
      <c r="T66" s="30"/>
      <c r="U66" s="30"/>
      <c r="V66" s="2"/>
      <c r="W66" s="7"/>
      <c r="X66" s="11"/>
    </row>
    <row r="67" spans="12:25" x14ac:dyDescent="0.35">
      <c r="L67" s="948" t="s">
        <v>29</v>
      </c>
      <c r="M67" s="736">
        <v>2013</v>
      </c>
      <c r="N67" s="737">
        <v>0.18618750000000001</v>
      </c>
      <c r="O67" s="737">
        <v>0</v>
      </c>
      <c r="P67" s="737">
        <v>3.8356164383561646E-2</v>
      </c>
      <c r="Q67" s="737">
        <v>3.8356164383561646E-2</v>
      </c>
      <c r="R67" s="737">
        <v>1.5342465753424659E-2</v>
      </c>
      <c r="S67" s="734">
        <v>0.27824229452054799</v>
      </c>
      <c r="T67" s="30"/>
      <c r="U67" s="30"/>
      <c r="V67" s="502"/>
      <c r="X67" s="11"/>
    </row>
    <row r="68" spans="12:25" x14ac:dyDescent="0.35">
      <c r="L68" s="948"/>
      <c r="M68" s="736">
        <v>2023</v>
      </c>
      <c r="N68" s="737">
        <v>0.19500000000000001</v>
      </c>
      <c r="O68" s="737">
        <v>0</v>
      </c>
      <c r="P68" s="737">
        <v>3.8339358089604557E-2</v>
      </c>
      <c r="Q68" s="737">
        <v>3.8339358089604557E-2</v>
      </c>
      <c r="R68" s="737">
        <v>1.5335743235841821E-2</v>
      </c>
      <c r="S68" s="737">
        <v>0.28701445941505094</v>
      </c>
      <c r="T68" s="30"/>
      <c r="U68" s="30"/>
      <c r="V68" s="2"/>
      <c r="W68" s="2"/>
      <c r="X68" s="11"/>
    </row>
    <row r="69" spans="12:25" x14ac:dyDescent="0.35">
      <c r="L69" s="948" t="s">
        <v>31</v>
      </c>
      <c r="M69" s="736">
        <v>2013</v>
      </c>
      <c r="N69" s="737">
        <v>0.11852327082170667</v>
      </c>
      <c r="O69" s="737">
        <v>0</v>
      </c>
      <c r="P69" s="737">
        <v>3.8356164383561646E-2</v>
      </c>
      <c r="Q69" s="737">
        <v>4.5479452054794527E-2</v>
      </c>
      <c r="R69" s="737">
        <v>0</v>
      </c>
      <c r="S69" s="734">
        <v>0.20235888726006285</v>
      </c>
      <c r="T69" s="30"/>
      <c r="U69" s="30"/>
      <c r="X69" s="9"/>
    </row>
    <row r="70" spans="12:25" x14ac:dyDescent="0.35">
      <c r="L70" s="948"/>
      <c r="M70" s="736">
        <v>2023</v>
      </c>
      <c r="N70" s="737">
        <v>0.13200000000000001</v>
      </c>
      <c r="O70" s="737">
        <v>0</v>
      </c>
      <c r="P70" s="737">
        <v>3.833935808960455E-2</v>
      </c>
      <c r="Q70" s="737">
        <v>4.1077883667433451E-2</v>
      </c>
      <c r="R70" s="737">
        <v>0</v>
      </c>
      <c r="S70" s="737">
        <v>0.21141724175703799</v>
      </c>
      <c r="T70" s="30"/>
      <c r="U70" s="30"/>
      <c r="V70" s="2"/>
      <c r="W70" s="7"/>
      <c r="X70" s="9"/>
    </row>
    <row r="71" spans="12:25" x14ac:dyDescent="0.35">
      <c r="T71" s="30"/>
      <c r="U71" s="30"/>
      <c r="V71" s="30"/>
      <c r="Y71" s="9"/>
    </row>
    <row r="72" spans="12:25" x14ac:dyDescent="0.35">
      <c r="T72" s="30"/>
      <c r="U72" s="30"/>
      <c r="V72" s="30"/>
      <c r="W72" s="2"/>
      <c r="X72" s="7"/>
      <c r="Y72" s="9"/>
    </row>
    <row r="75" spans="12:25" x14ac:dyDescent="0.35">
      <c r="L75" s="949"/>
      <c r="M75" s="540"/>
      <c r="N75" s="9"/>
      <c r="O75" s="9"/>
      <c r="P75" s="9"/>
      <c r="Q75" s="9"/>
      <c r="R75" s="9"/>
      <c r="S75" s="30"/>
    </row>
    <row r="76" spans="12:25" x14ac:dyDescent="0.35">
      <c r="L76" s="949"/>
      <c r="M76" s="540"/>
      <c r="N76" s="9"/>
      <c r="O76" s="9"/>
      <c r="P76" s="9"/>
      <c r="Q76" s="9"/>
      <c r="R76" s="9"/>
      <c r="S76" s="30"/>
      <c r="U76" s="683"/>
      <c r="W76" s="2"/>
    </row>
    <row r="77" spans="12:25" x14ac:dyDescent="0.35">
      <c r="L77" s="944"/>
      <c r="N77" s="7"/>
      <c r="O77" s="7"/>
      <c r="P77" s="7"/>
      <c r="Q77" s="7"/>
      <c r="R77" s="7"/>
      <c r="S77" s="7"/>
    </row>
    <row r="78" spans="12:25" x14ac:dyDescent="0.35">
      <c r="L78" s="944"/>
      <c r="N78" s="7"/>
      <c r="O78" s="7"/>
      <c r="P78" s="7"/>
      <c r="Q78" s="7"/>
      <c r="R78" s="7"/>
      <c r="S78" s="7"/>
    </row>
    <row r="80" spans="12:25" x14ac:dyDescent="0.35">
      <c r="N80" s="7"/>
      <c r="O80" s="7"/>
      <c r="P80" s="7"/>
      <c r="Q80" s="7"/>
      <c r="R80" s="7"/>
      <c r="S80" s="7"/>
    </row>
    <row r="82" spans="12:19" x14ac:dyDescent="0.35">
      <c r="N82" s="7"/>
    </row>
    <row r="83" spans="12:19" x14ac:dyDescent="0.35">
      <c r="N83" s="7"/>
    </row>
    <row r="85" spans="12:19" x14ac:dyDescent="0.35">
      <c r="L85" s="944"/>
      <c r="N85" s="9"/>
      <c r="O85" s="9"/>
      <c r="P85" s="9"/>
      <c r="Q85" s="9"/>
      <c r="R85" s="9"/>
      <c r="S85" s="9"/>
    </row>
    <row r="86" spans="12:19" x14ac:dyDescent="0.35">
      <c r="L86" s="944"/>
      <c r="N86" s="9"/>
      <c r="O86" s="9"/>
      <c r="P86" s="9"/>
      <c r="Q86" s="9"/>
      <c r="R86" s="9"/>
      <c r="S86" s="9"/>
    </row>
    <row r="87" spans="12:19" x14ac:dyDescent="0.35">
      <c r="L87" s="944"/>
    </row>
    <row r="88" spans="12:19" x14ac:dyDescent="0.35">
      <c r="L88" s="944"/>
      <c r="N88" s="9"/>
      <c r="O88" s="9"/>
      <c r="P88" s="9"/>
      <c r="Q88" s="9"/>
      <c r="R88" s="9"/>
      <c r="S88" s="9"/>
    </row>
    <row r="89" spans="12:19" x14ac:dyDescent="0.35">
      <c r="L89" s="944"/>
      <c r="N89" s="9"/>
      <c r="O89" s="9"/>
      <c r="P89" s="9"/>
      <c r="Q89" s="9"/>
      <c r="R89" s="9"/>
      <c r="S89" s="9"/>
    </row>
    <row r="90" spans="12:19" x14ac:dyDescent="0.35">
      <c r="L90" s="944"/>
    </row>
    <row r="91" spans="12:19" x14ac:dyDescent="0.35">
      <c r="L91" s="944"/>
      <c r="N91" s="9"/>
      <c r="O91" s="9"/>
      <c r="P91" s="9"/>
      <c r="Q91" s="9"/>
      <c r="R91" s="9"/>
      <c r="S91" s="9"/>
    </row>
    <row r="92" spans="12:19" x14ac:dyDescent="0.35">
      <c r="L92" s="944"/>
      <c r="N92" s="9"/>
      <c r="O92" s="9"/>
      <c r="P92" s="9"/>
      <c r="Q92" s="9"/>
      <c r="R92" s="9"/>
      <c r="S92" s="9"/>
    </row>
    <row r="93" spans="12:19" x14ac:dyDescent="0.35">
      <c r="L93" s="944"/>
    </row>
  </sheetData>
  <mergeCells count="42">
    <mergeCell ref="U4:U6"/>
    <mergeCell ref="M29:M30"/>
    <mergeCell ref="L29:L30"/>
    <mergeCell ref="L77:L78"/>
    <mergeCell ref="L85:L87"/>
    <mergeCell ref="L37:L38"/>
    <mergeCell ref="L39:L40"/>
    <mergeCell ref="L41:L42"/>
    <mergeCell ref="L43:L44"/>
    <mergeCell ref="L45:L46"/>
    <mergeCell ref="L47:L48"/>
    <mergeCell ref="N29:N30"/>
    <mergeCell ref="O29:P29"/>
    <mergeCell ref="Q29:R29"/>
    <mergeCell ref="L31:L32"/>
    <mergeCell ref="L33:L34"/>
    <mergeCell ref="L88:L90"/>
    <mergeCell ref="L91:L93"/>
    <mergeCell ref="S4:S6"/>
    <mergeCell ref="T4:T6"/>
    <mergeCell ref="L61:L62"/>
    <mergeCell ref="L63:L64"/>
    <mergeCell ref="L65:L66"/>
    <mergeCell ref="L67:L68"/>
    <mergeCell ref="L69:L70"/>
    <mergeCell ref="L75:L76"/>
    <mergeCell ref="L49:L50"/>
    <mergeCell ref="L51:L52"/>
    <mergeCell ref="L53:L54"/>
    <mergeCell ref="L55:L56"/>
    <mergeCell ref="L57:L58"/>
    <mergeCell ref="L59:L60"/>
    <mergeCell ref="L35:L36"/>
    <mergeCell ref="A4:A6"/>
    <mergeCell ref="C4:L4"/>
    <mergeCell ref="M4:N5"/>
    <mergeCell ref="O4:R4"/>
    <mergeCell ref="B5:B6"/>
    <mergeCell ref="C5:G5"/>
    <mergeCell ref="H5:L5"/>
    <mergeCell ref="O5:P5"/>
    <mergeCell ref="Q5:R5"/>
  </mergeCells>
  <conditionalFormatting sqref="T31:T36 U71:U72 T68:T70 T39 T60:T62 T49:T52 T43:T47">
    <cfRule type="colorScale" priority="4">
      <colorScale>
        <cfvo type="min"/>
        <cfvo type="percentile" val="50"/>
        <cfvo type="max"/>
        <color rgb="FFF8696B"/>
        <color rgb="FFFCFCFF"/>
        <color rgb="FF5A8AC6"/>
      </colorScale>
    </cfRule>
  </conditionalFormatting>
  <conditionalFormatting sqref="U71:U1048576 T39 T68:T70 U1:U3 U26:U28 T29:T36 T60:T62 T49:T52 T43:T47">
    <cfRule type="colorScale" priority="2">
      <colorScale>
        <cfvo type="min"/>
        <cfvo type="percentile" val="50"/>
        <cfvo type="max"/>
        <color rgb="FFF8696B"/>
        <color rgb="FFFCFCFF"/>
        <color rgb="FF5A8AC6"/>
      </colorScale>
    </cfRule>
  </conditionalFormatting>
  <conditionalFormatting sqref="V71:V72 U32:U70">
    <cfRule type="colorScale" priority="3">
      <colorScale>
        <cfvo type="min"/>
        <cfvo type="percentile" val="50"/>
        <cfvo type="max"/>
        <color rgb="FFF8696B"/>
        <color rgb="FFFCFCFF"/>
        <color rgb="FF5A8AC6"/>
      </colorScale>
    </cfRule>
  </conditionalFormatting>
  <conditionalFormatting sqref="V31:W70">
    <cfRule type="colorScale" priority="5">
      <colorScale>
        <cfvo type="min"/>
        <cfvo type="percentile" val="50"/>
        <cfvo type="max"/>
        <color rgb="FFF8696B"/>
        <color rgb="FFFCFCFF"/>
        <color rgb="FF5A8AC6"/>
      </colorScale>
    </cfRule>
  </conditionalFormatting>
  <conditionalFormatting sqref="W72">
    <cfRule type="colorScale" priority="1">
      <colorScale>
        <cfvo type="min"/>
        <cfvo type="percentile" val="50"/>
        <cfvo type="max"/>
        <color rgb="FFF8696B"/>
        <color rgb="FFFCFCFF"/>
        <color rgb="FF5A8AC6"/>
      </colorScale>
    </cfRule>
  </conditionalFormatting>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1339E0-5E12-4F5F-9D95-75F794FFD51E}">
  <dimension ref="A1:Q24"/>
  <sheetViews>
    <sheetView showGridLines="0" topLeftCell="B1" zoomScale="70" zoomScaleNormal="70" workbookViewId="0">
      <selection activeCell="L31" sqref="L31"/>
    </sheetView>
  </sheetViews>
  <sheetFormatPr defaultRowHeight="14.5" x14ac:dyDescent="0.35"/>
  <cols>
    <col min="1" max="1" width="10.54296875" hidden="1" customWidth="1"/>
    <col min="2" max="2" width="11.36328125" customWidth="1"/>
    <col min="3" max="3" width="12.08984375" customWidth="1"/>
    <col min="5" max="5" width="11.6328125" customWidth="1"/>
    <col min="6" max="6" width="10.81640625" customWidth="1"/>
    <col min="7" max="7" width="11.08984375" customWidth="1"/>
  </cols>
  <sheetData>
    <row r="1" spans="1:17" ht="18.5" x14ac:dyDescent="0.45">
      <c r="F1" s="21" t="s">
        <v>537</v>
      </c>
      <c r="G1" s="21"/>
      <c r="H1" s="21"/>
      <c r="I1" s="21"/>
      <c r="J1" s="21"/>
      <c r="K1" s="21"/>
      <c r="L1" s="21"/>
      <c r="M1" s="21"/>
      <c r="N1" s="21" t="s">
        <v>538</v>
      </c>
      <c r="O1" s="21"/>
    </row>
    <row r="2" spans="1:17" x14ac:dyDescent="0.35">
      <c r="F2" s="742"/>
      <c r="G2" s="742"/>
      <c r="H2" s="742"/>
      <c r="I2" s="742"/>
      <c r="J2" s="742"/>
      <c r="K2" s="742"/>
      <c r="L2" s="742"/>
      <c r="M2" s="742"/>
      <c r="N2" s="742"/>
      <c r="O2" s="742"/>
      <c r="P2" s="742"/>
      <c r="Q2" s="742"/>
    </row>
    <row r="3" spans="1:17" ht="29" x14ac:dyDescent="0.35">
      <c r="A3" s="635" t="s">
        <v>169</v>
      </c>
      <c r="B3" s="5" t="s">
        <v>169</v>
      </c>
      <c r="C3" s="638" t="s">
        <v>481</v>
      </c>
      <c r="D3" s="638" t="s">
        <v>479</v>
      </c>
    </row>
    <row r="4" spans="1:17" x14ac:dyDescent="0.35">
      <c r="A4" s="636" t="s">
        <v>12</v>
      </c>
      <c r="B4" t="s">
        <v>99</v>
      </c>
      <c r="C4" s="606">
        <v>0.71321831525906454</v>
      </c>
      <c r="D4" s="741">
        <v>-6.4469843956571626E-2</v>
      </c>
    </row>
    <row r="5" spans="1:17" x14ac:dyDescent="0.35">
      <c r="A5" s="636" t="s">
        <v>13</v>
      </c>
      <c r="B5" t="s">
        <v>98</v>
      </c>
      <c r="C5" s="606">
        <v>0.62473127396209882</v>
      </c>
      <c r="D5" s="741">
        <v>-1.536575447504962E-2</v>
      </c>
    </row>
    <row r="6" spans="1:17" x14ac:dyDescent="0.35">
      <c r="A6" s="636" t="s">
        <v>21</v>
      </c>
      <c r="B6" t="s">
        <v>104</v>
      </c>
      <c r="C6" s="606">
        <v>0.46254518567203418</v>
      </c>
      <c r="D6" s="741">
        <v>-1.2604720467818131E-2</v>
      </c>
    </row>
    <row r="7" spans="1:17" x14ac:dyDescent="0.35">
      <c r="A7" t="s">
        <v>22</v>
      </c>
      <c r="B7" t="s">
        <v>115</v>
      </c>
      <c r="C7" s="606">
        <v>0.43384352064848286</v>
      </c>
      <c r="D7" s="741">
        <v>-1.1983551590072361E-2</v>
      </c>
    </row>
    <row r="8" spans="1:17" x14ac:dyDescent="0.35">
      <c r="A8" s="636" t="s">
        <v>27</v>
      </c>
      <c r="B8" t="s">
        <v>105</v>
      </c>
      <c r="C8" s="606">
        <v>0.48110012049512541</v>
      </c>
      <c r="D8" s="741">
        <v>0</v>
      </c>
    </row>
    <row r="9" spans="1:17" x14ac:dyDescent="0.35">
      <c r="A9" s="636" t="s">
        <v>20</v>
      </c>
      <c r="B9" t="s">
        <v>111</v>
      </c>
      <c r="C9" s="606">
        <v>0.46210318764377262</v>
      </c>
      <c r="D9" s="741">
        <v>0</v>
      </c>
    </row>
    <row r="10" spans="1:17" x14ac:dyDescent="0.35">
      <c r="A10" s="636" t="s">
        <v>19</v>
      </c>
      <c r="B10" t="s">
        <v>122</v>
      </c>
      <c r="C10" s="606">
        <v>0.51925758242961995</v>
      </c>
      <c r="D10" s="741">
        <v>0</v>
      </c>
    </row>
    <row r="11" spans="1:17" x14ac:dyDescent="0.35">
      <c r="A11" s="636" t="s">
        <v>17</v>
      </c>
      <c r="B11" t="s">
        <v>482</v>
      </c>
      <c r="C11" s="606">
        <v>0.45444647825610684</v>
      </c>
      <c r="D11" s="741">
        <v>0</v>
      </c>
    </row>
    <row r="12" spans="1:17" x14ac:dyDescent="0.35">
      <c r="A12" s="636" t="s">
        <v>26</v>
      </c>
      <c r="B12" t="s">
        <v>114</v>
      </c>
      <c r="C12" s="606">
        <v>0.64284575964360935</v>
      </c>
      <c r="D12" s="741">
        <v>3.4273860003364298E-2</v>
      </c>
    </row>
    <row r="13" spans="1:17" x14ac:dyDescent="0.35">
      <c r="A13" s="636" t="s">
        <v>14</v>
      </c>
      <c r="B13" t="s">
        <v>100</v>
      </c>
      <c r="C13" s="606">
        <v>0.37866480446927375</v>
      </c>
      <c r="D13" s="741">
        <v>0.20387770720134979</v>
      </c>
    </row>
    <row r="14" spans="1:17" x14ac:dyDescent="0.35">
      <c r="A14" s="637" t="s">
        <v>28</v>
      </c>
      <c r="B14" t="s">
        <v>101</v>
      </c>
      <c r="C14" s="606">
        <v>0.53812794391499619</v>
      </c>
      <c r="D14" s="741">
        <v>0.37180809012975491</v>
      </c>
    </row>
    <row r="15" spans="1:17" x14ac:dyDescent="0.35">
      <c r="A15" s="636" t="s">
        <v>15</v>
      </c>
      <c r="B15" t="s">
        <v>480</v>
      </c>
      <c r="C15" s="606">
        <v>0.51050535861792223</v>
      </c>
      <c r="D15" s="741">
        <v>0.40252453603227822</v>
      </c>
    </row>
    <row r="16" spans="1:17" x14ac:dyDescent="0.35">
      <c r="A16" t="s">
        <v>125</v>
      </c>
      <c r="B16" t="s">
        <v>106</v>
      </c>
      <c r="C16" s="606">
        <v>0.28701445941505094</v>
      </c>
      <c r="D16" s="741">
        <v>0.87721648945029429</v>
      </c>
    </row>
    <row r="17" spans="1:4" x14ac:dyDescent="0.35">
      <c r="A17" s="636" t="s">
        <v>29</v>
      </c>
      <c r="B17" t="s">
        <v>293</v>
      </c>
      <c r="C17" s="606">
        <v>0.21141724175703799</v>
      </c>
      <c r="D17" s="741">
        <v>0.90583544969751462</v>
      </c>
    </row>
    <row r="18" spans="1:4" x14ac:dyDescent="0.35">
      <c r="A18" s="636" t="s">
        <v>31</v>
      </c>
      <c r="B18" t="s">
        <v>97</v>
      </c>
      <c r="C18" s="606">
        <v>0.68958575966699531</v>
      </c>
      <c r="D18" s="741">
        <v>0.94721629250156258</v>
      </c>
    </row>
    <row r="19" spans="1:4" x14ac:dyDescent="0.35">
      <c r="A19" s="636" t="s">
        <v>11</v>
      </c>
      <c r="B19" t="s">
        <v>103</v>
      </c>
      <c r="C19" s="606">
        <v>0.57130898549945486</v>
      </c>
      <c r="D19" s="741">
        <v>1.2210996457902024</v>
      </c>
    </row>
    <row r="20" spans="1:4" x14ac:dyDescent="0.35">
      <c r="A20" s="636" t="s">
        <v>16</v>
      </c>
      <c r="B20" t="s">
        <v>110</v>
      </c>
      <c r="C20" s="606">
        <v>0.71736145251396655</v>
      </c>
      <c r="D20" s="741">
        <v>1.7000000000000015</v>
      </c>
    </row>
    <row r="21" spans="1:4" x14ac:dyDescent="0.35">
      <c r="A21" s="636" t="s">
        <v>24</v>
      </c>
      <c r="B21" t="s">
        <v>121</v>
      </c>
      <c r="C21" s="606">
        <v>0.44049427311054778</v>
      </c>
      <c r="D21" s="741">
        <v>2.8316655900011645</v>
      </c>
    </row>
    <row r="22" spans="1:4" x14ac:dyDescent="0.35">
      <c r="A22" s="636" t="s">
        <v>18</v>
      </c>
      <c r="B22" t="s">
        <v>102</v>
      </c>
      <c r="C22" s="606">
        <v>0.61031573009091922</v>
      </c>
      <c r="D22" s="741">
        <v>2.9500661597768429</v>
      </c>
    </row>
    <row r="23" spans="1:4" x14ac:dyDescent="0.35">
      <c r="A23" s="636" t="s">
        <v>25</v>
      </c>
      <c r="B23" t="s">
        <v>113</v>
      </c>
      <c r="C23" s="606">
        <v>0.46121973929236493</v>
      </c>
      <c r="D23" s="741">
        <v>2.9963986512949017</v>
      </c>
    </row>
    <row r="24" spans="1:4" x14ac:dyDescent="0.35">
      <c r="C24" s="2"/>
    </row>
  </sheetData>
  <autoFilter ref="A3:D3" xr:uid="{E7C363A6-40D7-4AEA-8280-4F10E81AE3E0}">
    <sortState xmlns:xlrd2="http://schemas.microsoft.com/office/spreadsheetml/2017/richdata2" ref="A4:D23">
      <sortCondition ref="D3"/>
    </sortState>
  </autoFilter>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335babc-1b7d-458e-b70a-785cd1e69e80">
      <Terms xmlns="http://schemas.microsoft.com/office/infopath/2007/PartnerControls"/>
    </lcf76f155ced4ddcb4097134ff3c332f>
    <TaxCatchAll xmlns="8def057d-fd38-4210-80f2-2fc599abe2c1" xsi:nil="true"/>
  </documentManagement>
</p:properties>
</file>

<file path=customXml/item2.xml>��< ? x m l   v e r s i o n = " 1 . 0 "   e n c o d i n g = " u t f - 1 6 " ? > < D a t a M a s h u p   x m l n s = " h t t p : / / s c h e m a s . m i c r o s o f t . c o m / D a t a M a s h u p " > A A A A A B U D A A B Q S w M E F A A C A A g A o J V m W j b j P x + l A A A A 9 w A A A B I A H A B D b 2 5 m a W c v U G F j a 2 F n Z S 5 4 b W w g o h g A K K A U A A A A A A A A A A A A A A A A A A A A A A A A A A A A h Y 8 x D o I w G I W v Q r r T F h g E U s r g K o k J 0 b g 2 p U I j / B h a L H d z 8 E h e Q Y y i b o 7 v e 9 / w 3 v 1 6 Y / n U t d 5 F D U b 3 k K E A U + Q p k H 2 l o c 7 Q a I 9 + j H L O t k K e R K 2 8 W Q a T T q b K U G P t O S X E O Y d d h P u h J i G l A T k U m 1 I 2 q h P o I + v / s q / B W A F S I c 7 2 r z E 8 x E G U 4 C B e J Z g y s l B W a P g a 4 T z 4 2 f 5 A t h 5 b O w 6 K K / B 3 J S N L Z O R 9 g j 8 A U E s D B B Q A A g A I A K C V Z l o 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g l W Z a K I p H u A 4 A A A A R A A A A E w A c A E Z v c m 1 1 b G F z L 1 N l Y 3 R p b 2 4 x L m 0 g o h g A K K A U A A A A A A A A A A A A A A A A A A A A A A A A A A A A K 0 5 N L s n M z 1 M I h t C G 1 g B Q S w E C L Q A U A A I A C A C g l W Z a N u M / H 6 U A A A D 3 A A A A E g A A A A A A A A A A A A A A A A A A A A A A Q 2 9 u Z m l n L 1 B h Y 2 t h Z 2 U u e G 1 s U E s B A i 0 A F A A C A A g A o J V m W g / K 6 a u k A A A A 6 Q A A A B M A A A A A A A A A A A A A A A A A 8 Q A A A F t D b 2 5 0 Z W 5 0 X 1 R 5 c G V z X S 5 4 b W x Q S w E C L Q A U A A I A C A C g l W Z a 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n E g n 4 U + P 9 k + A H 7 Y C E n M / N Q A A A A A C A A A A A A A D Z g A A w A A A A B A A A A B y p A q m 5 O C m d 6 h F N N q J 1 R o h A A A A A A S A A A C g A A A A E A A A A K w + i l r T m A + O h 2 g y 9 1 o t c c p Q A A A A p A 8 N + M a w 7 f j / i O G S 2 t U s I N x u z A 2 R e 8 3 C A A Q y C L 1 B w + H k 0 p + e k u K M E L q d v x o o 1 L N L m 8 I R b R c I a f j p 6 q e c u X L 5 X 6 6 Z o N z x 6 H H n k S / z n r e N T 3 s U A A A A u N / g G v E 1 j 6 O v I 0 P y b X M y / / o S Y W Q = < / D a t a M a s h u p > 
</file>

<file path=customXml/item3.xml><?xml version="1.0" encoding="utf-8"?>
<ct:contentTypeSchema xmlns:ct="http://schemas.microsoft.com/office/2006/metadata/contentType" xmlns:ma="http://schemas.microsoft.com/office/2006/metadata/properties/metaAttributes" ct:_="" ma:_="" ma:contentTypeName="Document" ma:contentTypeID="0x010100FE4482830C62554BA19956D18D661ACD" ma:contentTypeVersion="13" ma:contentTypeDescription="Create a new document." ma:contentTypeScope="" ma:versionID="e981f3d23230bf14b3a614ee4c2e55b5">
  <xsd:schema xmlns:xsd="http://www.w3.org/2001/XMLSchema" xmlns:xs="http://www.w3.org/2001/XMLSchema" xmlns:p="http://schemas.microsoft.com/office/2006/metadata/properties" xmlns:ns2="2335babc-1b7d-458e-b70a-785cd1e69e80" xmlns:ns3="8def057d-fd38-4210-80f2-2fc599abe2c1" targetNamespace="http://schemas.microsoft.com/office/2006/metadata/properties" ma:root="true" ma:fieldsID="a7b2845ee428d10d960adb1ca4a9d705" ns2:_="" ns3:_="">
    <xsd:import namespace="2335babc-1b7d-458e-b70a-785cd1e69e80"/>
    <xsd:import namespace="8def057d-fd38-4210-80f2-2fc599abe2c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35babc-1b7d-458e-b70a-785cd1e69e8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ae61f9b1-e23d-4f49-b3d7-56b991556c4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8def057d-fd38-4210-80f2-2fc599abe2c1"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658c5717-f1da-4198-a778-e736e8298d49}" ma:internalName="TaxCatchAll" ma:showField="CatchAllData" ma:web="8def057d-fd38-4210-80f2-2fc599abe2c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6AD527C-43BC-4CBA-821C-85427A13C868}">
  <ds:schemaRefs>
    <ds:schemaRef ds:uri="http://schemas.microsoft.com/office/2006/metadata/properties"/>
    <ds:schemaRef ds:uri="http://schemas.microsoft.com/office/infopath/2007/PartnerControls"/>
    <ds:schemaRef ds:uri="2335babc-1b7d-458e-b70a-785cd1e69e80"/>
    <ds:schemaRef ds:uri="8def057d-fd38-4210-80f2-2fc599abe2c1"/>
  </ds:schemaRefs>
</ds:datastoreItem>
</file>

<file path=customXml/itemProps2.xml><?xml version="1.0" encoding="utf-8"?>
<ds:datastoreItem xmlns:ds="http://schemas.openxmlformats.org/officeDocument/2006/customXml" ds:itemID="{73002443-943D-4689-BF15-7A9B7A29BBF7}">
  <ds:schemaRefs>
    <ds:schemaRef ds:uri="http://schemas.microsoft.com/DataMashup"/>
  </ds:schemaRefs>
</ds:datastoreItem>
</file>

<file path=customXml/itemProps3.xml><?xml version="1.0" encoding="utf-8"?>
<ds:datastoreItem xmlns:ds="http://schemas.openxmlformats.org/officeDocument/2006/customXml" ds:itemID="{A9E5C236-48F2-42CC-BD5A-6E8D8E02D6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35babc-1b7d-458e-b70a-785cd1e69e80"/>
    <ds:schemaRef ds:uri="8def057d-fd38-4210-80f2-2fc599abe2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369E7CEF-337D-46C1-A04E-ACA28C85BE6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43</vt:i4>
      </vt:variant>
      <vt:variant>
        <vt:lpstr>Named Ranges</vt:lpstr>
      </vt:variant>
      <vt:variant>
        <vt:i4>5</vt:i4>
      </vt:variant>
    </vt:vector>
  </HeadingPairs>
  <TitlesOfParts>
    <vt:vector size="48" baseType="lpstr">
      <vt:lpstr>Sheet1</vt:lpstr>
      <vt:lpstr>act2016</vt:lpstr>
      <vt:lpstr>Sheet2</vt:lpstr>
      <vt:lpstr>Sheet3</vt:lpstr>
      <vt:lpstr>Figure1a_1b_1c</vt:lpstr>
      <vt:lpstr>Tabla_Resumen_salariosmedios</vt:lpstr>
      <vt:lpstr>Figure 2</vt:lpstr>
      <vt:lpstr>Figure 2a</vt:lpstr>
      <vt:lpstr>Figure 2b_2c</vt:lpstr>
      <vt:lpstr>Figure 3</vt:lpstr>
      <vt:lpstr>Figure 4a</vt:lpstr>
      <vt:lpstr>Figure ab_4c</vt:lpstr>
      <vt:lpstr>Figure 5</vt:lpstr>
      <vt:lpstr>Figure 6_7_8</vt:lpstr>
      <vt:lpstr>Figure 9</vt:lpstr>
      <vt:lpstr>Figure 10</vt:lpstr>
      <vt:lpstr>Figure 4</vt:lpstr>
      <vt:lpstr>Figure 11</vt:lpstr>
      <vt:lpstr>Figure 12</vt:lpstr>
      <vt:lpstr>Figure 13</vt:lpstr>
      <vt:lpstr>Table 5</vt:lpstr>
      <vt:lpstr>Minimum_JSP</vt:lpstr>
      <vt:lpstr>Figure 15_16_17</vt:lpstr>
      <vt:lpstr>Figure 15_16_17 (2)</vt:lpstr>
      <vt:lpstr>Figure 14 (2)</vt:lpstr>
      <vt:lpstr>Figure 14</vt:lpstr>
      <vt:lpstr>Table 1</vt:lpstr>
      <vt:lpstr>Table 2</vt:lpstr>
      <vt:lpstr>Figure by contributor</vt:lpstr>
      <vt:lpstr>Table A.2</vt:lpstr>
      <vt:lpstr>Table A.3</vt:lpstr>
      <vt:lpstr>Table 6</vt:lpstr>
      <vt:lpstr>Difference in rates</vt:lpstr>
      <vt:lpstr>Box 2</vt:lpstr>
      <vt:lpstr>Appendix 1</vt:lpstr>
      <vt:lpstr>Appendix 4</vt:lpstr>
      <vt:lpstr>Appendix 5</vt:lpstr>
      <vt:lpstr>Appendix 6</vt:lpstr>
      <vt:lpstr>Figure2</vt:lpstr>
      <vt:lpstr>Figure 4 2023</vt:lpstr>
      <vt:lpstr>Sheet5 (2)</vt:lpstr>
      <vt:lpstr>Sheet4</vt:lpstr>
      <vt:lpstr>JSP</vt:lpstr>
      <vt:lpstr>'Appendix 6'!_ftn1</vt:lpstr>
      <vt:lpstr>'Appendix 6'!_ftnref1</vt:lpstr>
      <vt:lpstr>'Appendix 4'!_Hlk212191940</vt:lpstr>
      <vt:lpstr>'Appendix 5'!M_wage</vt:lpstr>
      <vt:lpstr>'Table 2'!Print_Area</vt:lpstr>
    </vt:vector>
  </TitlesOfParts>
  <Manager/>
  <Company>Inter-American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IADB</dc:creator>
  <cp:keywords/>
  <dc:description/>
  <cp:lastModifiedBy>Minaya Auri Melissa</cp:lastModifiedBy>
  <cp:revision/>
  <dcterms:created xsi:type="dcterms:W3CDTF">2015-11-18T20:38:18Z</dcterms:created>
  <dcterms:modified xsi:type="dcterms:W3CDTF">2026-02-26T15:08:00Z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0x010100FE4482830C62554BA19956D18D661ACD</vt:lpwstr>
  </property>
  <property fmtid="{D5CDD505-2E9C-101B-9397-08002B2CF9AE}" pid="3" name="MediaServiceImageTags">
    <vt:lpwstr/>
  </property>
</Properties>
</file>