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charts/chart6.xml" ContentType="application/vnd.openxmlformats-officedocument.drawingml.char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drawings/drawing6.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Default Extension="emf" ContentType="image/x-emf"/>
  <Override PartName="/xl/drawings/drawing4.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Default Extension="png" ContentType="image/png"/>
  <Override PartName="/xl/charts/chart7.xml" ContentType="application/vnd.openxmlformats-officedocument.drawingml.chart+xml"/>
  <Override PartName="/xl/worksheets/sheet14.xml" ContentType="application/vnd.openxmlformats-officedocument.spreadsheetml.worksheet+xml"/>
  <Override PartName="/xl/worksheets/sheet23.xml" ContentType="application/vnd.openxmlformats-officedocument.spreadsheetml.worksheet+xml"/>
  <Override PartName="/xl/charts/chart5.xml" ContentType="application/vnd.openxmlformats-officedocument.drawingml.chart+xml"/>
  <Override PartName="/xl/drawings/drawing7.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420" yWindow="180" windowWidth="12120" windowHeight="9120" tabRatio="923" firstSheet="7" activeTab="7"/>
  </bookViews>
  <sheets>
    <sheet name="uxbWorks" sheetId="2" state="hidden" r:id="rId1"/>
    <sheet name="tblSections" sheetId="6" state="hidden" r:id="rId2"/>
    <sheet name="tblCountries" sheetId="1" state="hidden" r:id="rId3"/>
    <sheet name="i_rank" sheetId="12" state="hidden" r:id="rId4"/>
    <sheet name="i_rankYOY_2" sheetId="32" state="hidden" r:id="rId5"/>
    <sheet name="i_rankYOY" sheetId="30" state="hidden" r:id="rId6"/>
    <sheet name="tblIndicators" sheetId="3" state="hidden" r:id="rId7"/>
    <sheet name="Cover" sheetId="31" r:id="rId8"/>
    <sheet name="Rankings 2010" sheetId="15" r:id="rId9"/>
    <sheet name="YoYScoreChange_consistent" sheetId="27" r:id="rId10"/>
    <sheet name="IndicatorRanking" sheetId="13" r:id="rId11"/>
    <sheet name="iCP" sheetId="16" state="hidden" r:id="rId12"/>
    <sheet name="CountryProfile" sheetId="23" r:id="rId13"/>
    <sheet name="CountryCompare" sheetId="19" r:id="rId14"/>
    <sheet name="i_scatter" sheetId="20" state="hidden" r:id="rId15"/>
    <sheet name="Scatter" sheetId="21" r:id="rId16"/>
    <sheet name="Weights" sheetId="7" r:id="rId17"/>
    <sheet name="YoYScoreChange_Raw" sheetId="33" r:id="rId18"/>
    <sheet name="Data2010" sheetId="4" r:id="rId19"/>
    <sheet name="Scores2009" sheetId="5" state="hidden" r:id="rId20"/>
    <sheet name="Text2009" sheetId="8" state="hidden" r:id="rId21"/>
    <sheet name="Data2009" sheetId="10" r:id="rId22"/>
    <sheet name="Scores2008" sheetId="11" state="hidden" r:id="rId23"/>
    <sheet name="Text2008" sheetId="24" state="hidden" r:id="rId24"/>
    <sheet name="Scores2009_YOY" sheetId="26" state="hidden" r:id="rId25"/>
    <sheet name="Scores2008_YOY" sheetId="25" state="hidden" r:id="rId26"/>
    <sheet name="YoY" sheetId="29" state="hidden" r:id="rId27"/>
    <sheet name="YoY_1" sheetId="22" state="hidden" r:id="rId28"/>
    <sheet name="CountryProfile_2" sheetId="17" state="hidden" r:id="rId29"/>
    <sheet name="uxbWeights" sheetId="14" state="hidden" r:id="rId30"/>
  </sheets>
  <definedNames>
    <definedName name="data_2008">Data2009!$D$4:$V$27</definedName>
    <definedName name="data_2009">Data2010!$D$4:$V$41</definedName>
    <definedName name="img_rank">OFFSET('Rankings 2010'!$D$3:$F$22,0,5*(uxbWorks!$B$29-1),20,3)</definedName>
    <definedName name="lu_countries">tblCountries!$E$6:$E$24</definedName>
    <definedName name="lu_CountryStatus">tblCountries!$F$6:$F$24</definedName>
    <definedName name="lu_RegionHighlight">tblCountries!$H$6:$H$24</definedName>
    <definedName name="score2009_indi">Scores2009!$B$7:$B$50</definedName>
    <definedName name="scores_2008">Scores2008!$S$7:$AK$30</definedName>
    <definedName name="scores_2009">Scores2009!$S$7:$AK$50</definedName>
    <definedName name="scores2008_yoy">Scores2008_YOY!$S$7:$AK$50</definedName>
    <definedName name="scores2009_yoy">Scores2009_YOY!$S$7:$AK$50</definedName>
    <definedName name="text_2008">Text2008!$D$3:$V$26</definedName>
    <definedName name="text_2009">Text2009!$D$3:$V$28</definedName>
    <definedName name="WeightsValues" localSheetId="4">OFFSET(WeightsCode,0,4)</definedName>
    <definedName name="WeightsValues" localSheetId="17">OFFSET(WeightsCode,0,4)</definedName>
    <definedName name="WeightsValues">OFFSET(WeightsCode,0,4)</definedName>
    <definedName name="yoy">YoY!$R$7:$AJ$30</definedName>
  </definedNames>
  <calcPr calcId="125725"/>
</workbook>
</file>

<file path=xl/calcChain.xml><?xml version="1.0" encoding="utf-8"?>
<calcChain xmlns="http://schemas.openxmlformats.org/spreadsheetml/2006/main">
  <c r="C23" i="16"/>
  <c r="R23" s="1"/>
  <c r="C26"/>
  <c r="R26" s="1"/>
  <c r="C32"/>
  <c r="R32" s="1"/>
  <c r="C36"/>
  <c r="R36" s="1"/>
  <c r="C41"/>
  <c r="R41" s="1"/>
  <c r="K38" i="23" s="1"/>
  <c r="B7" i="5"/>
  <c r="B8"/>
  <c r="B9"/>
  <c r="B10"/>
  <c r="B11"/>
  <c r="B12"/>
  <c r="B13"/>
  <c r="B14"/>
  <c r="B15"/>
  <c r="B16"/>
  <c r="B17"/>
  <c r="B18"/>
  <c r="B19"/>
  <c r="B20"/>
  <c r="B21"/>
  <c r="B22"/>
  <c r="B23"/>
  <c r="B24"/>
  <c r="B25"/>
  <c r="B26"/>
  <c r="B27"/>
  <c r="B28"/>
  <c r="B29"/>
  <c r="B30"/>
  <c r="B31"/>
  <c r="DL7" i="30"/>
  <c r="DN27" s="1"/>
  <c r="DO27" s="1"/>
  <c r="C28"/>
  <c r="DN28"/>
  <c r="DO28" s="1"/>
  <c r="C27"/>
  <c r="C26"/>
  <c r="C25"/>
  <c r="C24"/>
  <c r="DN24"/>
  <c r="DO24" s="1"/>
  <c r="C23"/>
  <c r="C22"/>
  <c r="C21"/>
  <c r="C20"/>
  <c r="DN20"/>
  <c r="DO20" s="1"/>
  <c r="C19"/>
  <c r="C18"/>
  <c r="C17"/>
  <c r="C16"/>
  <c r="DN16"/>
  <c r="DO16" s="1"/>
  <c r="C15"/>
  <c r="C14"/>
  <c r="C13"/>
  <c r="C12"/>
  <c r="DN12"/>
  <c r="DO12" s="1"/>
  <c r="C11"/>
  <c r="C10"/>
  <c r="D27" i="26"/>
  <c r="E27"/>
  <c r="F27"/>
  <c r="D28"/>
  <c r="E28"/>
  <c r="F28"/>
  <c r="D29"/>
  <c r="E29"/>
  <c r="F29"/>
  <c r="D30"/>
  <c r="E30"/>
  <c r="F30"/>
  <c r="D26"/>
  <c r="B26"/>
  <c r="C27"/>
  <c r="L27"/>
  <c r="B27"/>
  <c r="C4" i="7"/>
  <c r="C5"/>
  <c r="C6"/>
  <c r="C7"/>
  <c r="C8"/>
  <c r="C9"/>
  <c r="C12"/>
  <c r="C13"/>
  <c r="C14"/>
  <c r="C15"/>
  <c r="C16"/>
  <c r="C17"/>
  <c r="C18"/>
  <c r="C19"/>
  <c r="C20"/>
  <c r="C21"/>
  <c r="C22"/>
  <c r="C23"/>
  <c r="C24"/>
  <c r="C25"/>
  <c r="C26"/>
  <c r="C27"/>
  <c r="C28"/>
  <c r="C29"/>
  <c r="C30"/>
  <c r="C31"/>
  <c r="C32" i="26"/>
  <c r="C31"/>
  <c r="C30"/>
  <c r="C29"/>
  <c r="C28"/>
  <c r="C26"/>
  <c r="C25"/>
  <c r="C24"/>
  <c r="C23"/>
  <c r="C22"/>
  <c r="C21"/>
  <c r="C20"/>
  <c r="C19"/>
  <c r="C18"/>
  <c r="C17"/>
  <c r="C16"/>
  <c r="C15"/>
  <c r="C14"/>
  <c r="C13"/>
  <c r="C12"/>
  <c r="C11"/>
  <c r="C10"/>
  <c r="C9"/>
  <c r="C8"/>
  <c r="L28"/>
  <c r="B28"/>
  <c r="C32" i="7"/>
  <c r="K28" i="26"/>
  <c r="M28" s="1"/>
  <c r="L29"/>
  <c r="B29"/>
  <c r="C33" i="7"/>
  <c r="L30" i="26"/>
  <c r="B30"/>
  <c r="C34" i="7"/>
  <c r="B31" i="26"/>
  <c r="K31" s="1"/>
  <c r="M31" s="1"/>
  <c r="L8"/>
  <c r="B8"/>
  <c r="K8" s="1"/>
  <c r="M8" s="1"/>
  <c r="L13"/>
  <c r="B13"/>
  <c r="K13" s="1"/>
  <c r="M13" s="1"/>
  <c r="L16"/>
  <c r="B16"/>
  <c r="K16" s="1"/>
  <c r="M16" s="1"/>
  <c r="L22"/>
  <c r="B22"/>
  <c r="K22" s="1"/>
  <c r="M22" s="1"/>
  <c r="L26"/>
  <c r="K26"/>
  <c r="M26" s="1"/>
  <c r="N26" s="1"/>
  <c r="Q26" s="1"/>
  <c r="D31"/>
  <c r="D32"/>
  <c r="E32"/>
  <c r="F32"/>
  <c r="D26" i="25"/>
  <c r="B26"/>
  <c r="K26" s="1"/>
  <c r="M26" s="1"/>
  <c r="C27"/>
  <c r="L27"/>
  <c r="B27"/>
  <c r="C30"/>
  <c r="C29"/>
  <c r="C28"/>
  <c r="C26"/>
  <c r="C25"/>
  <c r="C24"/>
  <c r="C23"/>
  <c r="C22"/>
  <c r="C21"/>
  <c r="C20"/>
  <c r="C19"/>
  <c r="C18"/>
  <c r="C17"/>
  <c r="C16"/>
  <c r="C15"/>
  <c r="C14"/>
  <c r="C13"/>
  <c r="C12"/>
  <c r="C11"/>
  <c r="C10"/>
  <c r="C9"/>
  <c r="C8"/>
  <c r="L28"/>
  <c r="B28"/>
  <c r="K28" s="1"/>
  <c r="L29"/>
  <c r="B29"/>
  <c r="K29" s="1"/>
  <c r="L30"/>
  <c r="B30"/>
  <c r="D27"/>
  <c r="E27"/>
  <c r="F27"/>
  <c r="D28"/>
  <c r="E28"/>
  <c r="F28"/>
  <c r="D29"/>
  <c r="E29"/>
  <c r="F29"/>
  <c r="D30"/>
  <c r="E30"/>
  <c r="F30"/>
  <c r="CW7" i="30"/>
  <c r="D23" i="26"/>
  <c r="E23"/>
  <c r="F23"/>
  <c r="D24"/>
  <c r="E24"/>
  <c r="F24"/>
  <c r="D25"/>
  <c r="H25"/>
  <c r="I25"/>
  <c r="D22"/>
  <c r="L23"/>
  <c r="B23"/>
  <c r="K23" s="1"/>
  <c r="L24"/>
  <c r="B24"/>
  <c r="K24"/>
  <c r="L25"/>
  <c r="B25"/>
  <c r="K25" s="1"/>
  <c r="D22" i="25"/>
  <c r="B22"/>
  <c r="K22" s="1"/>
  <c r="L23"/>
  <c r="B23"/>
  <c r="K23" s="1"/>
  <c r="L24"/>
  <c r="B24"/>
  <c r="K24" s="1"/>
  <c r="L25"/>
  <c r="B25"/>
  <c r="K25" s="1"/>
  <c r="D23"/>
  <c r="E23"/>
  <c r="F23"/>
  <c r="D24"/>
  <c r="E24"/>
  <c r="F24"/>
  <c r="H25"/>
  <c r="I25"/>
  <c r="L26"/>
  <c r="L8"/>
  <c r="B8"/>
  <c r="K8"/>
  <c r="L13"/>
  <c r="B13"/>
  <c r="K13" s="1"/>
  <c r="L16"/>
  <c r="B16"/>
  <c r="K16"/>
  <c r="L22"/>
  <c r="CH7" i="30"/>
  <c r="D17" i="26"/>
  <c r="E17"/>
  <c r="F17"/>
  <c r="D18"/>
  <c r="E18"/>
  <c r="F18"/>
  <c r="D19"/>
  <c r="E19"/>
  <c r="F19"/>
  <c r="D20"/>
  <c r="H20"/>
  <c r="I20"/>
  <c r="J20"/>
  <c r="D21"/>
  <c r="H21"/>
  <c r="I21"/>
  <c r="J21"/>
  <c r="D16"/>
  <c r="L17"/>
  <c r="B17"/>
  <c r="K17" s="1"/>
  <c r="L18"/>
  <c r="B18"/>
  <c r="K18" s="1"/>
  <c r="L19"/>
  <c r="B19"/>
  <c r="K19" s="1"/>
  <c r="L20"/>
  <c r="B20"/>
  <c r="K20" s="1"/>
  <c r="L21"/>
  <c r="B21"/>
  <c r="K21" s="1"/>
  <c r="N22"/>
  <c r="Q22" s="1"/>
  <c r="AH25" i="27" s="1"/>
  <c r="D16" i="25"/>
  <c r="L17"/>
  <c r="B17"/>
  <c r="K17" s="1"/>
  <c r="M17" s="1"/>
  <c r="L18"/>
  <c r="B18"/>
  <c r="K18" s="1"/>
  <c r="M18" s="1"/>
  <c r="L19"/>
  <c r="B19"/>
  <c r="K19" s="1"/>
  <c r="M19" s="1"/>
  <c r="L20"/>
  <c r="B20"/>
  <c r="K20" s="1"/>
  <c r="M20" s="1"/>
  <c r="L21"/>
  <c r="B21"/>
  <c r="K21" s="1"/>
  <c r="M21" s="1"/>
  <c r="N21" s="1"/>
  <c r="Q21" s="1"/>
  <c r="D17"/>
  <c r="E17"/>
  <c r="F17"/>
  <c r="D18"/>
  <c r="E18"/>
  <c r="F18"/>
  <c r="D19"/>
  <c r="E19"/>
  <c r="F19"/>
  <c r="D20"/>
  <c r="H20"/>
  <c r="I20"/>
  <c r="J20" s="1"/>
  <c r="D21"/>
  <c r="H21"/>
  <c r="I21"/>
  <c r="J21" s="1"/>
  <c r="BS7" i="30"/>
  <c r="D14" i="26"/>
  <c r="E14"/>
  <c r="F14"/>
  <c r="D15"/>
  <c r="E15"/>
  <c r="F15"/>
  <c r="D13"/>
  <c r="L14"/>
  <c r="B14"/>
  <c r="K14" s="1"/>
  <c r="L15"/>
  <c r="B15"/>
  <c r="K15"/>
  <c r="N16"/>
  <c r="Q16" s="1"/>
  <c r="D13" i="25"/>
  <c r="L14"/>
  <c r="B14"/>
  <c r="K14" s="1"/>
  <c r="L15"/>
  <c r="B15"/>
  <c r="K15"/>
  <c r="D14"/>
  <c r="E14"/>
  <c r="F14"/>
  <c r="D15"/>
  <c r="E15"/>
  <c r="F15"/>
  <c r="BD7" i="30"/>
  <c r="D9" i="26"/>
  <c r="E9"/>
  <c r="F9"/>
  <c r="D10"/>
  <c r="E10"/>
  <c r="F10"/>
  <c r="D11"/>
  <c r="E11"/>
  <c r="F11"/>
  <c r="D12"/>
  <c r="E12"/>
  <c r="F12"/>
  <c r="D8"/>
  <c r="L9"/>
  <c r="B9"/>
  <c r="K9" s="1"/>
  <c r="L10"/>
  <c r="B10"/>
  <c r="K10" s="1"/>
  <c r="L11"/>
  <c r="B11"/>
  <c r="K11" s="1"/>
  <c r="L12"/>
  <c r="B12"/>
  <c r="K12" s="1"/>
  <c r="N13"/>
  <c r="Q13" s="1"/>
  <c r="D8" i="25"/>
  <c r="L9"/>
  <c r="B9"/>
  <c r="K9"/>
  <c r="L10"/>
  <c r="B10"/>
  <c r="K10" s="1"/>
  <c r="L11"/>
  <c r="B11"/>
  <c r="K11"/>
  <c r="L12"/>
  <c r="B12"/>
  <c r="K12" s="1"/>
  <c r="D9"/>
  <c r="E9"/>
  <c r="F9"/>
  <c r="D10"/>
  <c r="E10"/>
  <c r="F10"/>
  <c r="D11"/>
  <c r="E11"/>
  <c r="F11"/>
  <c r="D12"/>
  <c r="E12"/>
  <c r="F12"/>
  <c r="AO7" i="30"/>
  <c r="D7" i="26"/>
  <c r="B7"/>
  <c r="N8"/>
  <c r="Q8" s="1"/>
  <c r="M25" i="27" s="1"/>
  <c r="D7" i="25"/>
  <c r="B7"/>
  <c r="Z7" i="30"/>
  <c r="B28" i="32"/>
  <c r="C28"/>
  <c r="B11"/>
  <c r="C11"/>
  <c r="B12"/>
  <c r="C12"/>
  <c r="B13"/>
  <c r="C13"/>
  <c r="B14"/>
  <c r="C14"/>
  <c r="B15"/>
  <c r="C15"/>
  <c r="B16"/>
  <c r="C16"/>
  <c r="B17"/>
  <c r="C17"/>
  <c r="B18"/>
  <c r="C18"/>
  <c r="B19"/>
  <c r="C19"/>
  <c r="B20"/>
  <c r="C20"/>
  <c r="B21"/>
  <c r="C21"/>
  <c r="B22"/>
  <c r="C22"/>
  <c r="B23"/>
  <c r="C23"/>
  <c r="B24"/>
  <c r="C24"/>
  <c r="B25"/>
  <c r="C25"/>
  <c r="B26"/>
  <c r="C26"/>
  <c r="B27"/>
  <c r="C27"/>
  <c r="B33" i="5"/>
  <c r="C33"/>
  <c r="D33"/>
  <c r="E33"/>
  <c r="F33"/>
  <c r="H33"/>
  <c r="I33"/>
  <c r="J33" s="1"/>
  <c r="L33"/>
  <c r="B34"/>
  <c r="C34"/>
  <c r="D34"/>
  <c r="E34"/>
  <c r="F34"/>
  <c r="H34"/>
  <c r="I34"/>
  <c r="J34" s="1"/>
  <c r="L34"/>
  <c r="B35"/>
  <c r="C35"/>
  <c r="D35"/>
  <c r="E35"/>
  <c r="F35"/>
  <c r="H35"/>
  <c r="I35"/>
  <c r="J35" s="1"/>
  <c r="L35"/>
  <c r="B36"/>
  <c r="C36"/>
  <c r="D36"/>
  <c r="E36"/>
  <c r="F36"/>
  <c r="H36"/>
  <c r="I36"/>
  <c r="L36"/>
  <c r="B37"/>
  <c r="C37"/>
  <c r="D37"/>
  <c r="E37"/>
  <c r="F37"/>
  <c r="H37"/>
  <c r="I37"/>
  <c r="L37"/>
  <c r="B38"/>
  <c r="C38"/>
  <c r="D38"/>
  <c r="E38"/>
  <c r="F38"/>
  <c r="H38"/>
  <c r="I38"/>
  <c r="J38" s="1"/>
  <c r="L38"/>
  <c r="B39"/>
  <c r="C39"/>
  <c r="D39"/>
  <c r="E39"/>
  <c r="F39"/>
  <c r="H39"/>
  <c r="I39"/>
  <c r="L39"/>
  <c r="B40"/>
  <c r="C40"/>
  <c r="D40"/>
  <c r="E40"/>
  <c r="F40"/>
  <c r="H40"/>
  <c r="I40"/>
  <c r="J40" s="1"/>
  <c r="L40"/>
  <c r="B41"/>
  <c r="C41"/>
  <c r="D41"/>
  <c r="E41"/>
  <c r="F41"/>
  <c r="H41"/>
  <c r="I41"/>
  <c r="L41"/>
  <c r="B42"/>
  <c r="C42"/>
  <c r="D42"/>
  <c r="E42"/>
  <c r="F42"/>
  <c r="H42"/>
  <c r="I42"/>
  <c r="J42" s="1"/>
  <c r="L42"/>
  <c r="B43"/>
  <c r="C43"/>
  <c r="D43"/>
  <c r="E43"/>
  <c r="F43"/>
  <c r="H43"/>
  <c r="I43"/>
  <c r="J43" s="1"/>
  <c r="L43"/>
  <c r="B44"/>
  <c r="C44"/>
  <c r="D44"/>
  <c r="G44"/>
  <c r="E44"/>
  <c r="F44"/>
  <c r="H44"/>
  <c r="I44"/>
  <c r="L44"/>
  <c r="AG44"/>
  <c r="B30" i="4"/>
  <c r="C30"/>
  <c r="B31"/>
  <c r="C31"/>
  <c r="B32"/>
  <c r="C32"/>
  <c r="B33"/>
  <c r="C33"/>
  <c r="B34"/>
  <c r="C34"/>
  <c r="B35"/>
  <c r="C35"/>
  <c r="B36"/>
  <c r="C36"/>
  <c r="B37"/>
  <c r="C37"/>
  <c r="B38"/>
  <c r="C38"/>
  <c r="B39"/>
  <c r="C39"/>
  <c r="B40"/>
  <c r="C40"/>
  <c r="B41"/>
  <c r="C41"/>
  <c r="G29" i="3"/>
  <c r="G34" i="5" s="1"/>
  <c r="G30" i="3"/>
  <c r="G35" i="5" s="1"/>
  <c r="G31" i="3"/>
  <c r="G36" i="5" s="1"/>
  <c r="G32" i="3"/>
  <c r="G37" i="5" s="1"/>
  <c r="G33" i="3"/>
  <c r="G38" i="5" s="1"/>
  <c r="G34" i="3"/>
  <c r="G39" i="5" s="1"/>
  <c r="G35" i="3"/>
  <c r="G40" i="5" s="1"/>
  <c r="G36" i="3"/>
  <c r="G41" i="5" s="1"/>
  <c r="G37" i="3"/>
  <c r="G42" i="5" s="1"/>
  <c r="G38" i="3"/>
  <c r="G43" i="5" s="1"/>
  <c r="G39" i="3"/>
  <c r="Q29"/>
  <c r="P34" i="5" s="1"/>
  <c r="B3" i="32"/>
  <c r="B14" i="2"/>
  <c r="B1" i="1"/>
  <c r="C10" i="32"/>
  <c r="S3" i="33"/>
  <c r="B10" i="32"/>
  <c r="A3"/>
  <c r="AI7" i="30"/>
  <c r="AQ7" i="12"/>
  <c r="AZ7" s="1"/>
  <c r="I3" i="15" s="1"/>
  <c r="B1" i="16"/>
  <c r="K15" s="1"/>
  <c r="C21"/>
  <c r="A21"/>
  <c r="B21" s="1"/>
  <c r="C42"/>
  <c r="A42"/>
  <c r="B32" i="5"/>
  <c r="B3" i="12"/>
  <c r="H23" i="25"/>
  <c r="I23"/>
  <c r="H24"/>
  <c r="I24"/>
  <c r="J24"/>
  <c r="B3" i="30"/>
  <c r="B9" i="2"/>
  <c r="E9" s="1"/>
  <c r="D22" i="5"/>
  <c r="C22"/>
  <c r="D7"/>
  <c r="B3" i="1"/>
  <c r="H23" s="1"/>
  <c r="T14" i="20" s="1"/>
  <c r="T38" s="1"/>
  <c r="C10" i="12"/>
  <c r="C11"/>
  <c r="C12"/>
  <c r="C13"/>
  <c r="C14"/>
  <c r="C15"/>
  <c r="C16"/>
  <c r="C17"/>
  <c r="C18"/>
  <c r="C19"/>
  <c r="C20"/>
  <c r="C21"/>
  <c r="C22"/>
  <c r="C23"/>
  <c r="C24"/>
  <c r="C25"/>
  <c r="C26"/>
  <c r="C27"/>
  <c r="C28"/>
  <c r="B13"/>
  <c r="B14"/>
  <c r="B18"/>
  <c r="B22"/>
  <c r="B26"/>
  <c r="B28"/>
  <c r="B10"/>
  <c r="B15"/>
  <c r="B20"/>
  <c r="B21"/>
  <c r="B23"/>
  <c r="B25"/>
  <c r="B27"/>
  <c r="B11"/>
  <c r="B16"/>
  <c r="B17"/>
  <c r="B19"/>
  <c r="B24"/>
  <c r="Q3" i="27"/>
  <c r="B28" i="30"/>
  <c r="B27"/>
  <c r="B26"/>
  <c r="B25"/>
  <c r="B24"/>
  <c r="B23"/>
  <c r="B22"/>
  <c r="B21"/>
  <c r="B20"/>
  <c r="B19"/>
  <c r="B18"/>
  <c r="B17"/>
  <c r="B16"/>
  <c r="B15"/>
  <c r="B14"/>
  <c r="B13"/>
  <c r="B12"/>
  <c r="B11"/>
  <c r="B10"/>
  <c r="A3"/>
  <c r="B2" i="1"/>
  <c r="G24" s="1"/>
  <c r="D8" i="5"/>
  <c r="C9"/>
  <c r="C35" i="7"/>
  <c r="C36"/>
  <c r="K33" i="5" s="1"/>
  <c r="M33" s="1"/>
  <c r="C32"/>
  <c r="C31"/>
  <c r="C30"/>
  <c r="C29"/>
  <c r="C28"/>
  <c r="C27"/>
  <c r="C26"/>
  <c r="C25"/>
  <c r="C24"/>
  <c r="C23"/>
  <c r="C21"/>
  <c r="C20"/>
  <c r="C19"/>
  <c r="C18"/>
  <c r="C17"/>
  <c r="C16"/>
  <c r="C15"/>
  <c r="C14"/>
  <c r="C13"/>
  <c r="C12"/>
  <c r="C11"/>
  <c r="C10"/>
  <c r="C8"/>
  <c r="D9"/>
  <c r="E9"/>
  <c r="F9"/>
  <c r="D10"/>
  <c r="E10"/>
  <c r="F10"/>
  <c r="D11"/>
  <c r="E11"/>
  <c r="F11"/>
  <c r="D12"/>
  <c r="E12"/>
  <c r="F12"/>
  <c r="K16"/>
  <c r="M16"/>
  <c r="K31"/>
  <c r="M31"/>
  <c r="D13"/>
  <c r="D7" i="7"/>
  <c r="D14" i="5"/>
  <c r="E14"/>
  <c r="F14"/>
  <c r="D15"/>
  <c r="E15"/>
  <c r="F15"/>
  <c r="D16"/>
  <c r="K20"/>
  <c r="M20" s="1"/>
  <c r="D17"/>
  <c r="E17"/>
  <c r="F17"/>
  <c r="D18"/>
  <c r="E18"/>
  <c r="F18"/>
  <c r="D19"/>
  <c r="E19"/>
  <c r="F19"/>
  <c r="D20"/>
  <c r="H20"/>
  <c r="I20"/>
  <c r="D21"/>
  <c r="H21"/>
  <c r="I21"/>
  <c r="D23"/>
  <c r="H23"/>
  <c r="I23"/>
  <c r="D24"/>
  <c r="H24"/>
  <c r="I24"/>
  <c r="D25"/>
  <c r="H25"/>
  <c r="I25"/>
  <c r="D26"/>
  <c r="D27"/>
  <c r="E27"/>
  <c r="F27"/>
  <c r="D28"/>
  <c r="E28"/>
  <c r="F28"/>
  <c r="D29"/>
  <c r="E29"/>
  <c r="F29"/>
  <c r="D30"/>
  <c r="E30"/>
  <c r="F30"/>
  <c r="D31"/>
  <c r="D32"/>
  <c r="E32"/>
  <c r="F32"/>
  <c r="D4" i="7"/>
  <c r="BF7" i="12"/>
  <c r="BU7"/>
  <c r="DN7"/>
  <c r="DP28" s="1"/>
  <c r="DQ28" s="1"/>
  <c r="B12"/>
  <c r="A65" i="16"/>
  <c r="B65" s="1"/>
  <c r="C65"/>
  <c r="D65"/>
  <c r="E65"/>
  <c r="A66"/>
  <c r="B66"/>
  <c r="C66"/>
  <c r="D66"/>
  <c r="E66"/>
  <c r="A67"/>
  <c r="B67" s="1"/>
  <c r="C67"/>
  <c r="D67"/>
  <c r="E67"/>
  <c r="A68"/>
  <c r="B68" s="1"/>
  <c r="C68"/>
  <c r="D68"/>
  <c r="E68"/>
  <c r="A69"/>
  <c r="B69" s="1"/>
  <c r="C69"/>
  <c r="D69"/>
  <c r="E69"/>
  <c r="C32" i="19" s="1"/>
  <c r="A70" i="16"/>
  <c r="B70" s="1"/>
  <c r="C70"/>
  <c r="D70"/>
  <c r="E70"/>
  <c r="C33" i="19" s="1"/>
  <c r="A71" i="16"/>
  <c r="B71" s="1"/>
  <c r="C71"/>
  <c r="D71"/>
  <c r="E71"/>
  <c r="A40"/>
  <c r="B40"/>
  <c r="C40"/>
  <c r="D40"/>
  <c r="P40"/>
  <c r="B37" i="23"/>
  <c r="A41" i="16"/>
  <c r="B41"/>
  <c r="D41"/>
  <c r="K41"/>
  <c r="L41" s="1"/>
  <c r="P41"/>
  <c r="B38" i="23" s="1"/>
  <c r="D42" i="16"/>
  <c r="P42"/>
  <c r="A36"/>
  <c r="B36" s="1"/>
  <c r="K36"/>
  <c r="L36" s="1"/>
  <c r="G32" i="17" s="1"/>
  <c r="D36" i="16"/>
  <c r="P36"/>
  <c r="A13"/>
  <c r="B13" s="1"/>
  <c r="E13"/>
  <c r="D11" i="23" s="1"/>
  <c r="I30" i="29"/>
  <c r="H30"/>
  <c r="F30"/>
  <c r="E30"/>
  <c r="D30"/>
  <c r="C30"/>
  <c r="B30"/>
  <c r="K30" s="1"/>
  <c r="L30" s="1"/>
  <c r="I29"/>
  <c r="H29"/>
  <c r="F29"/>
  <c r="E29"/>
  <c r="D29"/>
  <c r="C29"/>
  <c r="B29"/>
  <c r="K29" s="1"/>
  <c r="L29" s="1"/>
  <c r="I28"/>
  <c r="H28"/>
  <c r="F28"/>
  <c r="E28"/>
  <c r="D28"/>
  <c r="C28"/>
  <c r="B28"/>
  <c r="K28"/>
  <c r="L28" s="1"/>
  <c r="I27"/>
  <c r="H27"/>
  <c r="F27"/>
  <c r="E27"/>
  <c r="D27"/>
  <c r="C27"/>
  <c r="B27"/>
  <c r="K27" s="1"/>
  <c r="L27" s="1"/>
  <c r="C26"/>
  <c r="C25"/>
  <c r="C24"/>
  <c r="C23"/>
  <c r="C22"/>
  <c r="C21"/>
  <c r="C20"/>
  <c r="C19"/>
  <c r="C18"/>
  <c r="C17"/>
  <c r="C16"/>
  <c r="C15"/>
  <c r="C14"/>
  <c r="C13"/>
  <c r="C12"/>
  <c r="C11"/>
  <c r="C10"/>
  <c r="C9"/>
  <c r="C8"/>
  <c r="I26"/>
  <c r="H26"/>
  <c r="F26"/>
  <c r="E26"/>
  <c r="D26"/>
  <c r="B26"/>
  <c r="K26" s="1"/>
  <c r="L26" s="1"/>
  <c r="I25"/>
  <c r="H25"/>
  <c r="E25"/>
  <c r="D25"/>
  <c r="B25"/>
  <c r="K25" s="1"/>
  <c r="L25" s="1"/>
  <c r="I24"/>
  <c r="H24"/>
  <c r="F24"/>
  <c r="E24"/>
  <c r="D24"/>
  <c r="B24"/>
  <c r="K24" s="1"/>
  <c r="L24" s="1"/>
  <c r="I23"/>
  <c r="H23"/>
  <c r="F23"/>
  <c r="E23"/>
  <c r="D23"/>
  <c r="B23"/>
  <c r="K23" s="1"/>
  <c r="L23" s="1"/>
  <c r="I22"/>
  <c r="H22"/>
  <c r="F22"/>
  <c r="E22"/>
  <c r="D22"/>
  <c r="B22"/>
  <c r="K22" s="1"/>
  <c r="L22" s="1"/>
  <c r="I21"/>
  <c r="H21"/>
  <c r="F21"/>
  <c r="E21"/>
  <c r="D21"/>
  <c r="B21"/>
  <c r="K21" s="1"/>
  <c r="L21" s="1"/>
  <c r="I20"/>
  <c r="H20"/>
  <c r="F20"/>
  <c r="E20"/>
  <c r="D20"/>
  <c r="B20"/>
  <c r="K20" s="1"/>
  <c r="L20" s="1"/>
  <c r="I19"/>
  <c r="H19"/>
  <c r="J19" s="1"/>
  <c r="F19"/>
  <c r="E19"/>
  <c r="D19"/>
  <c r="B19"/>
  <c r="K19" s="1"/>
  <c r="L19" s="1"/>
  <c r="I18"/>
  <c r="H18"/>
  <c r="F18"/>
  <c r="E18"/>
  <c r="D18"/>
  <c r="B18"/>
  <c r="K18"/>
  <c r="L18" s="1"/>
  <c r="B17"/>
  <c r="K17" s="1"/>
  <c r="L17" s="1"/>
  <c r="I17"/>
  <c r="H17"/>
  <c r="F17"/>
  <c r="E17"/>
  <c r="D17"/>
  <c r="I16"/>
  <c r="H16"/>
  <c r="F16"/>
  <c r="E16"/>
  <c r="D16"/>
  <c r="B16"/>
  <c r="K16" s="1"/>
  <c r="L16" s="1"/>
  <c r="I15"/>
  <c r="H15"/>
  <c r="F15"/>
  <c r="E15"/>
  <c r="D15"/>
  <c r="B15"/>
  <c r="K15"/>
  <c r="L15" s="1"/>
  <c r="I14"/>
  <c r="H14"/>
  <c r="F14"/>
  <c r="E14"/>
  <c r="D14"/>
  <c r="B14"/>
  <c r="K14" s="1"/>
  <c r="L14" s="1"/>
  <c r="I13"/>
  <c r="H13"/>
  <c r="F13"/>
  <c r="E13"/>
  <c r="D13"/>
  <c r="B13"/>
  <c r="K13"/>
  <c r="L13" s="1"/>
  <c r="B8"/>
  <c r="K8" s="1"/>
  <c r="L8" s="1"/>
  <c r="I12"/>
  <c r="H12"/>
  <c r="F12"/>
  <c r="E12"/>
  <c r="D12"/>
  <c r="B12"/>
  <c r="K12" s="1"/>
  <c r="L12" s="1"/>
  <c r="I11"/>
  <c r="H11"/>
  <c r="F11"/>
  <c r="E11"/>
  <c r="D11"/>
  <c r="B11"/>
  <c r="K11" s="1"/>
  <c r="L11" s="1"/>
  <c r="I10"/>
  <c r="H10"/>
  <c r="F10"/>
  <c r="E10"/>
  <c r="D10"/>
  <c r="B10"/>
  <c r="K10" s="1"/>
  <c r="L10" s="1"/>
  <c r="I9"/>
  <c r="H9"/>
  <c r="F9"/>
  <c r="E9"/>
  <c r="D9"/>
  <c r="B9"/>
  <c r="K9" s="1"/>
  <c r="L9" s="1"/>
  <c r="M9" s="1"/>
  <c r="P9" s="1"/>
  <c r="I8"/>
  <c r="H8"/>
  <c r="F8"/>
  <c r="E8"/>
  <c r="D8"/>
  <c r="O7"/>
  <c r="I7"/>
  <c r="H7"/>
  <c r="F7"/>
  <c r="E7"/>
  <c r="D7"/>
  <c r="C7"/>
  <c r="B7"/>
  <c r="AJ5"/>
  <c r="AI5"/>
  <c r="AH5"/>
  <c r="AG5"/>
  <c r="AF5"/>
  <c r="AE5"/>
  <c r="AD5"/>
  <c r="AC5"/>
  <c r="AB5"/>
  <c r="AA5"/>
  <c r="Z5"/>
  <c r="Y5"/>
  <c r="X5"/>
  <c r="W5"/>
  <c r="V5"/>
  <c r="U5"/>
  <c r="T5"/>
  <c r="S5"/>
  <c r="R5"/>
  <c r="G27" i="3"/>
  <c r="G32" i="26" s="1"/>
  <c r="G32" i="5"/>
  <c r="G28" i="3"/>
  <c r="G33" i="5" s="1"/>
  <c r="R27" i="3"/>
  <c r="L32" i="26"/>
  <c r="I32"/>
  <c r="H32"/>
  <c r="J32" s="1"/>
  <c r="B32"/>
  <c r="K32" s="1"/>
  <c r="M32" s="1"/>
  <c r="I31"/>
  <c r="H31"/>
  <c r="J31"/>
  <c r="F31"/>
  <c r="E31"/>
  <c r="I30"/>
  <c r="H30"/>
  <c r="I29"/>
  <c r="H29"/>
  <c r="I28"/>
  <c r="H28"/>
  <c r="I27"/>
  <c r="H27"/>
  <c r="I26"/>
  <c r="H26"/>
  <c r="F26"/>
  <c r="E26"/>
  <c r="E25"/>
  <c r="I24"/>
  <c r="H24"/>
  <c r="I23"/>
  <c r="H23"/>
  <c r="I22"/>
  <c r="H22"/>
  <c r="F22"/>
  <c r="E22"/>
  <c r="F21"/>
  <c r="E21"/>
  <c r="F20"/>
  <c r="E20"/>
  <c r="I19"/>
  <c r="H19"/>
  <c r="I18"/>
  <c r="H18"/>
  <c r="I17"/>
  <c r="H17"/>
  <c r="I16"/>
  <c r="H16"/>
  <c r="F16"/>
  <c r="E16"/>
  <c r="I15"/>
  <c r="H15"/>
  <c r="I14"/>
  <c r="H14"/>
  <c r="I13"/>
  <c r="H13"/>
  <c r="F13"/>
  <c r="E13"/>
  <c r="I12"/>
  <c r="H12"/>
  <c r="I11"/>
  <c r="H11"/>
  <c r="I10"/>
  <c r="H10"/>
  <c r="I9"/>
  <c r="H9"/>
  <c r="I8"/>
  <c r="H8"/>
  <c r="F8"/>
  <c r="E8"/>
  <c r="P7"/>
  <c r="L7"/>
  <c r="I7"/>
  <c r="H7"/>
  <c r="F7"/>
  <c r="E7"/>
  <c r="C7"/>
  <c r="AK5"/>
  <c r="AJ5"/>
  <c r="AI5"/>
  <c r="AH5"/>
  <c r="AG5"/>
  <c r="AF5"/>
  <c r="AE5"/>
  <c r="AD5"/>
  <c r="AC5"/>
  <c r="AB5"/>
  <c r="AA5"/>
  <c r="Z5"/>
  <c r="Y5"/>
  <c r="X5"/>
  <c r="W5"/>
  <c r="V5"/>
  <c r="U5"/>
  <c r="T5"/>
  <c r="S5"/>
  <c r="I30" i="25"/>
  <c r="H30"/>
  <c r="I29"/>
  <c r="H29"/>
  <c r="I28"/>
  <c r="H28"/>
  <c r="I27"/>
  <c r="H27"/>
  <c r="I26"/>
  <c r="H26"/>
  <c r="F26"/>
  <c r="E26"/>
  <c r="I22"/>
  <c r="H22"/>
  <c r="J22"/>
  <c r="F22"/>
  <c r="E22"/>
  <c r="F21"/>
  <c r="E21"/>
  <c r="F20"/>
  <c r="E20"/>
  <c r="I19"/>
  <c r="H19"/>
  <c r="I18"/>
  <c r="H18"/>
  <c r="I17"/>
  <c r="H17"/>
  <c r="I16"/>
  <c r="H16"/>
  <c r="F16"/>
  <c r="E16"/>
  <c r="I15"/>
  <c r="H15"/>
  <c r="I14"/>
  <c r="H14"/>
  <c r="I13"/>
  <c r="H13"/>
  <c r="F13"/>
  <c r="E13"/>
  <c r="I12"/>
  <c r="H12"/>
  <c r="I11"/>
  <c r="H11"/>
  <c r="I10"/>
  <c r="H10"/>
  <c r="I9"/>
  <c r="H9"/>
  <c r="I8"/>
  <c r="H8"/>
  <c r="J8" s="1"/>
  <c r="F8"/>
  <c r="E8"/>
  <c r="P7"/>
  <c r="L7"/>
  <c r="I7"/>
  <c r="H7"/>
  <c r="F7"/>
  <c r="E7"/>
  <c r="C7"/>
  <c r="AK5"/>
  <c r="AJ5"/>
  <c r="AI5"/>
  <c r="AH5"/>
  <c r="AG5"/>
  <c r="AF5"/>
  <c r="AE5"/>
  <c r="AD5"/>
  <c r="AC5"/>
  <c r="AB5"/>
  <c r="AA5"/>
  <c r="Z5"/>
  <c r="Y5"/>
  <c r="X5"/>
  <c r="W5"/>
  <c r="V5"/>
  <c r="U5"/>
  <c r="T5"/>
  <c r="S5"/>
  <c r="B27" i="8"/>
  <c r="C27"/>
  <c r="B28"/>
  <c r="C28"/>
  <c r="B26"/>
  <c r="C26"/>
  <c r="F36" i="7"/>
  <c r="C37" i="14" s="1"/>
  <c r="E36" i="7"/>
  <c r="F35"/>
  <c r="C36" i="14"/>
  <c r="E35" i="7"/>
  <c r="F34"/>
  <c r="C35" i="14" s="1"/>
  <c r="E34" i="7"/>
  <c r="H30" i="5"/>
  <c r="I30"/>
  <c r="L30"/>
  <c r="E31"/>
  <c r="F31"/>
  <c r="H31"/>
  <c r="I31"/>
  <c r="L31"/>
  <c r="H32"/>
  <c r="I32"/>
  <c r="L32"/>
  <c r="B28" i="4"/>
  <c r="C28"/>
  <c r="B29"/>
  <c r="C29"/>
  <c r="F9" i="7"/>
  <c r="C9" i="14" s="1"/>
  <c r="D2"/>
  <c r="E2"/>
  <c r="F2"/>
  <c r="G2"/>
  <c r="H2"/>
  <c r="I2"/>
  <c r="J2"/>
  <c r="C11"/>
  <c r="B32" i="17"/>
  <c r="R5" i="22"/>
  <c r="S5"/>
  <c r="T5"/>
  <c r="U5"/>
  <c r="V5"/>
  <c r="W5"/>
  <c r="X5"/>
  <c r="Y5"/>
  <c r="Z5"/>
  <c r="AA5"/>
  <c r="AB5"/>
  <c r="AC5"/>
  <c r="AD5"/>
  <c r="AE5"/>
  <c r="AF5"/>
  <c r="AG5"/>
  <c r="AH5"/>
  <c r="AI5"/>
  <c r="AJ5"/>
  <c r="B7"/>
  <c r="C7"/>
  <c r="D7"/>
  <c r="E7"/>
  <c r="F7"/>
  <c r="H7"/>
  <c r="I7"/>
  <c r="J7" s="1"/>
  <c r="O7"/>
  <c r="B8"/>
  <c r="C8"/>
  <c r="D8"/>
  <c r="E8"/>
  <c r="F8"/>
  <c r="H8"/>
  <c r="I8"/>
  <c r="J8" s="1"/>
  <c r="B9"/>
  <c r="C9"/>
  <c r="D9"/>
  <c r="E9"/>
  <c r="F9"/>
  <c r="H9"/>
  <c r="I9"/>
  <c r="B10"/>
  <c r="C10"/>
  <c r="D10"/>
  <c r="E10"/>
  <c r="F10"/>
  <c r="H10"/>
  <c r="I10"/>
  <c r="B11"/>
  <c r="C11"/>
  <c r="D11"/>
  <c r="E11"/>
  <c r="F11"/>
  <c r="H11"/>
  <c r="I11"/>
  <c r="B12"/>
  <c r="C12"/>
  <c r="D12"/>
  <c r="E12"/>
  <c r="F12"/>
  <c r="H12"/>
  <c r="I12"/>
  <c r="B13"/>
  <c r="C13"/>
  <c r="D13"/>
  <c r="E13"/>
  <c r="F13"/>
  <c r="H13"/>
  <c r="I13"/>
  <c r="B14"/>
  <c r="C14"/>
  <c r="D14"/>
  <c r="E14"/>
  <c r="F14"/>
  <c r="H14"/>
  <c r="I14"/>
  <c r="B15"/>
  <c r="C15"/>
  <c r="D15"/>
  <c r="E15"/>
  <c r="F15"/>
  <c r="H15"/>
  <c r="I15"/>
  <c r="B16"/>
  <c r="C16"/>
  <c r="D16"/>
  <c r="E16"/>
  <c r="F16"/>
  <c r="H16"/>
  <c r="I16"/>
  <c r="B17"/>
  <c r="C17"/>
  <c r="D17"/>
  <c r="E17"/>
  <c r="F17"/>
  <c r="H17"/>
  <c r="I17"/>
  <c r="B18"/>
  <c r="C18"/>
  <c r="D18"/>
  <c r="E18"/>
  <c r="F18"/>
  <c r="H18"/>
  <c r="I18"/>
  <c r="J18"/>
  <c r="B19"/>
  <c r="C19"/>
  <c r="D19"/>
  <c r="E19"/>
  <c r="F19"/>
  <c r="H19"/>
  <c r="I19"/>
  <c r="B20"/>
  <c r="C20"/>
  <c r="D20"/>
  <c r="E20"/>
  <c r="F20"/>
  <c r="H20"/>
  <c r="I20"/>
  <c r="B21"/>
  <c r="C21"/>
  <c r="D21"/>
  <c r="E21"/>
  <c r="F21"/>
  <c r="H21"/>
  <c r="I21"/>
  <c r="B22"/>
  <c r="C22"/>
  <c r="D22"/>
  <c r="E22"/>
  <c r="F22"/>
  <c r="H22"/>
  <c r="I22"/>
  <c r="B23"/>
  <c r="C23"/>
  <c r="D23"/>
  <c r="E23"/>
  <c r="F23"/>
  <c r="H23"/>
  <c r="I23"/>
  <c r="B24"/>
  <c r="C24"/>
  <c r="D24"/>
  <c r="E24"/>
  <c r="F24"/>
  <c r="H24"/>
  <c r="I24"/>
  <c r="J24" s="1"/>
  <c r="B25"/>
  <c r="C25"/>
  <c r="D25"/>
  <c r="E25"/>
  <c r="H25"/>
  <c r="I25"/>
  <c r="J25" s="1"/>
  <c r="B26"/>
  <c r="C26"/>
  <c r="D26"/>
  <c r="E26"/>
  <c r="F26"/>
  <c r="H26"/>
  <c r="I26"/>
  <c r="B27"/>
  <c r="C27"/>
  <c r="D27"/>
  <c r="E27"/>
  <c r="F27"/>
  <c r="H27"/>
  <c r="I27"/>
  <c r="B28"/>
  <c r="C28"/>
  <c r="D28"/>
  <c r="E28"/>
  <c r="F28"/>
  <c r="H28"/>
  <c r="I28"/>
  <c r="B29"/>
  <c r="C29"/>
  <c r="D29"/>
  <c r="E29"/>
  <c r="F29"/>
  <c r="H29"/>
  <c r="I29"/>
  <c r="B30"/>
  <c r="C30"/>
  <c r="D30"/>
  <c r="E30"/>
  <c r="F30"/>
  <c r="H30"/>
  <c r="I30"/>
  <c r="D2" i="24"/>
  <c r="E2"/>
  <c r="F2"/>
  <c r="G2"/>
  <c r="H2"/>
  <c r="I2"/>
  <c r="J2"/>
  <c r="K2"/>
  <c r="L2"/>
  <c r="M2"/>
  <c r="N2"/>
  <c r="O2"/>
  <c r="P2"/>
  <c r="Q2"/>
  <c r="R2"/>
  <c r="S2"/>
  <c r="T2"/>
  <c r="U2"/>
  <c r="V2"/>
  <c r="B3"/>
  <c r="C3"/>
  <c r="B4"/>
  <c r="C4"/>
  <c r="B5"/>
  <c r="C5"/>
  <c r="B6"/>
  <c r="C6"/>
  <c r="B7"/>
  <c r="C7"/>
  <c r="B8"/>
  <c r="C8"/>
  <c r="B9"/>
  <c r="C9"/>
  <c r="B10"/>
  <c r="C10"/>
  <c r="B11"/>
  <c r="C11"/>
  <c r="B12"/>
  <c r="C12"/>
  <c r="B13"/>
  <c r="C13"/>
  <c r="B14"/>
  <c r="C14"/>
  <c r="B15"/>
  <c r="C15"/>
  <c r="B16"/>
  <c r="C16"/>
  <c r="B17"/>
  <c r="C17"/>
  <c r="B18"/>
  <c r="C18"/>
  <c r="B19"/>
  <c r="C19"/>
  <c r="B20"/>
  <c r="C20"/>
  <c r="B21"/>
  <c r="C21"/>
  <c r="B22"/>
  <c r="C22"/>
  <c r="B23"/>
  <c r="C23"/>
  <c r="B24"/>
  <c r="C24"/>
  <c r="B25"/>
  <c r="C25"/>
  <c r="B26"/>
  <c r="C26"/>
  <c r="B5" i="10"/>
  <c r="C5"/>
  <c r="B6"/>
  <c r="C6"/>
  <c r="B7"/>
  <c r="C7"/>
  <c r="B8"/>
  <c r="C8"/>
  <c r="B9"/>
  <c r="C9"/>
  <c r="B10"/>
  <c r="C10"/>
  <c r="B11"/>
  <c r="C11"/>
  <c r="B12"/>
  <c r="C12"/>
  <c r="B13"/>
  <c r="C13"/>
  <c r="B14"/>
  <c r="C14"/>
  <c r="B15"/>
  <c r="C15"/>
  <c r="B16"/>
  <c r="C16"/>
  <c r="B17"/>
  <c r="C17"/>
  <c r="B18"/>
  <c r="C18"/>
  <c r="B19"/>
  <c r="C19"/>
  <c r="B20"/>
  <c r="C20"/>
  <c r="B21"/>
  <c r="C21"/>
  <c r="B22"/>
  <c r="B23"/>
  <c r="C23"/>
  <c r="B24"/>
  <c r="C24"/>
  <c r="B25"/>
  <c r="C25"/>
  <c r="B26"/>
  <c r="C26"/>
  <c r="B27"/>
  <c r="C27"/>
  <c r="D2" i="8"/>
  <c r="E2"/>
  <c r="F2"/>
  <c r="G2"/>
  <c r="H2"/>
  <c r="I2"/>
  <c r="J2"/>
  <c r="K2"/>
  <c r="L2"/>
  <c r="M2"/>
  <c r="N2"/>
  <c r="O2"/>
  <c r="P2"/>
  <c r="Q2"/>
  <c r="R2"/>
  <c r="S2"/>
  <c r="T2"/>
  <c r="U2"/>
  <c r="V2"/>
  <c r="B3"/>
  <c r="C3"/>
  <c r="B4"/>
  <c r="C4"/>
  <c r="B5"/>
  <c r="C5"/>
  <c r="B6"/>
  <c r="C6"/>
  <c r="B7"/>
  <c r="C7"/>
  <c r="B8"/>
  <c r="C8"/>
  <c r="B9"/>
  <c r="C9"/>
  <c r="B10"/>
  <c r="C10"/>
  <c r="B11"/>
  <c r="C11"/>
  <c r="B12"/>
  <c r="C12"/>
  <c r="B13"/>
  <c r="C13"/>
  <c r="B14"/>
  <c r="C14"/>
  <c r="B15"/>
  <c r="C15"/>
  <c r="B16"/>
  <c r="C16"/>
  <c r="B17"/>
  <c r="C17"/>
  <c r="B18"/>
  <c r="C18"/>
  <c r="B19"/>
  <c r="C19"/>
  <c r="B20"/>
  <c r="C20"/>
  <c r="B21"/>
  <c r="C21"/>
  <c r="B22"/>
  <c r="C22"/>
  <c r="B23"/>
  <c r="C23"/>
  <c r="B24"/>
  <c r="C24"/>
  <c r="B25"/>
  <c r="C25"/>
  <c r="S5" i="5"/>
  <c r="T5"/>
  <c r="U5"/>
  <c r="V5"/>
  <c r="W5"/>
  <c r="X5"/>
  <c r="Y5"/>
  <c r="Z5"/>
  <c r="AA5"/>
  <c r="AB5"/>
  <c r="AC5"/>
  <c r="AD5"/>
  <c r="AE5"/>
  <c r="AF5"/>
  <c r="AG5"/>
  <c r="AH5"/>
  <c r="AI5"/>
  <c r="AJ5"/>
  <c r="AK5"/>
  <c r="D34" i="7"/>
  <c r="C7" i="5"/>
  <c r="E7"/>
  <c r="F7"/>
  <c r="H7"/>
  <c r="I7"/>
  <c r="L7"/>
  <c r="P7"/>
  <c r="E8"/>
  <c r="F8"/>
  <c r="H8"/>
  <c r="I8"/>
  <c r="L8"/>
  <c r="H9"/>
  <c r="I9"/>
  <c r="L9"/>
  <c r="H10"/>
  <c r="I10"/>
  <c r="L10"/>
  <c r="H11"/>
  <c r="I11"/>
  <c r="J11"/>
  <c r="L11"/>
  <c r="H12"/>
  <c r="I12"/>
  <c r="L12"/>
  <c r="E13"/>
  <c r="F13"/>
  <c r="H13"/>
  <c r="I13"/>
  <c r="J13" s="1"/>
  <c r="L13"/>
  <c r="H14"/>
  <c r="I14"/>
  <c r="L14"/>
  <c r="H15"/>
  <c r="I15"/>
  <c r="J15" s="1"/>
  <c r="L15"/>
  <c r="E16"/>
  <c r="F16"/>
  <c r="H16"/>
  <c r="I16"/>
  <c r="L16"/>
  <c r="H17"/>
  <c r="I17"/>
  <c r="L17"/>
  <c r="H18"/>
  <c r="I18"/>
  <c r="L18"/>
  <c r="H19"/>
  <c r="I19"/>
  <c r="L19"/>
  <c r="E20"/>
  <c r="F20"/>
  <c r="L20"/>
  <c r="E21"/>
  <c r="F21"/>
  <c r="L21"/>
  <c r="E22"/>
  <c r="F22"/>
  <c r="H22"/>
  <c r="I22"/>
  <c r="L22"/>
  <c r="E23"/>
  <c r="F23"/>
  <c r="L23"/>
  <c r="E24"/>
  <c r="F24"/>
  <c r="L24"/>
  <c r="E25"/>
  <c r="L25"/>
  <c r="E26"/>
  <c r="F26"/>
  <c r="H26"/>
  <c r="I26"/>
  <c r="L26"/>
  <c r="H27"/>
  <c r="I27"/>
  <c r="L27"/>
  <c r="H28"/>
  <c r="I28"/>
  <c r="L28"/>
  <c r="H29"/>
  <c r="I29"/>
  <c r="L29"/>
  <c r="B5" i="4"/>
  <c r="C5"/>
  <c r="B6"/>
  <c r="C6"/>
  <c r="B7"/>
  <c r="C7"/>
  <c r="B8"/>
  <c r="C8"/>
  <c r="B9"/>
  <c r="C9"/>
  <c r="B10"/>
  <c r="C10"/>
  <c r="B11"/>
  <c r="C11"/>
  <c r="B12"/>
  <c r="C12"/>
  <c r="B13"/>
  <c r="C13"/>
  <c r="B14"/>
  <c r="C14"/>
  <c r="B15"/>
  <c r="C15"/>
  <c r="B16"/>
  <c r="C16"/>
  <c r="B17"/>
  <c r="C17"/>
  <c r="B18"/>
  <c r="C18"/>
  <c r="B19"/>
  <c r="C19"/>
  <c r="B20"/>
  <c r="C20"/>
  <c r="B21"/>
  <c r="C21"/>
  <c r="B22"/>
  <c r="C22"/>
  <c r="B23"/>
  <c r="C23"/>
  <c r="B24"/>
  <c r="C24"/>
  <c r="B25"/>
  <c r="C25"/>
  <c r="B26"/>
  <c r="C26"/>
  <c r="B27"/>
  <c r="C27"/>
  <c r="F4" i="7"/>
  <c r="C4" i="14" s="1"/>
  <c r="F5" i="7"/>
  <c r="C5" i="14" s="1"/>
  <c r="F6" i="7"/>
  <c r="C6" i="14" s="1"/>
  <c r="F7" i="7"/>
  <c r="C7" i="14" s="1"/>
  <c r="F8" i="7"/>
  <c r="C8" i="14" s="1"/>
  <c r="E12" i="7"/>
  <c r="F12"/>
  <c r="C12" i="14" s="1"/>
  <c r="D13" i="7"/>
  <c r="E13"/>
  <c r="F13"/>
  <c r="C13" i="14" s="1"/>
  <c r="E14" i="7"/>
  <c r="F14"/>
  <c r="C14" i="14" s="1"/>
  <c r="E15" i="7"/>
  <c r="F15"/>
  <c r="C15" i="14"/>
  <c r="D16" i="7"/>
  <c r="E16"/>
  <c r="F16"/>
  <c r="C16" i="14"/>
  <c r="E17" i="7"/>
  <c r="F17"/>
  <c r="C17" i="14" s="1"/>
  <c r="D18" i="7"/>
  <c r="E18"/>
  <c r="F18"/>
  <c r="C18" i="14" s="1"/>
  <c r="E19" i="7"/>
  <c r="F19"/>
  <c r="C19" i="14"/>
  <c r="E20" i="7"/>
  <c r="F20"/>
  <c r="C20" i="14" s="1"/>
  <c r="E21" i="7"/>
  <c r="F21"/>
  <c r="C21" i="14" s="1"/>
  <c r="D22" i="7"/>
  <c r="E22"/>
  <c r="F22"/>
  <c r="C22" i="14" s="1"/>
  <c r="E23" i="7"/>
  <c r="F23"/>
  <c r="C23" i="14" s="1"/>
  <c r="D24" i="7"/>
  <c r="E24"/>
  <c r="F24"/>
  <c r="C24" i="14" s="1"/>
  <c r="D25" i="7"/>
  <c r="E25"/>
  <c r="F25"/>
  <c r="C25" i="14" s="1"/>
  <c r="E26" i="7"/>
  <c r="F26"/>
  <c r="C26" i="14"/>
  <c r="D27" i="7"/>
  <c r="E27"/>
  <c r="F27"/>
  <c r="C27" i="14"/>
  <c r="D28" i="7"/>
  <c r="E28"/>
  <c r="F28"/>
  <c r="C28" i="14"/>
  <c r="E29" i="7"/>
  <c r="F29"/>
  <c r="C29" i="14" s="1"/>
  <c r="C30"/>
  <c r="E30" i="7"/>
  <c r="F30"/>
  <c r="C31" i="14" s="1"/>
  <c r="D31" i="7"/>
  <c r="E31"/>
  <c r="F31"/>
  <c r="C32" i="14" s="1"/>
  <c r="E32" i="7"/>
  <c r="F32"/>
  <c r="C33" i="14" s="1"/>
  <c r="D33" i="7"/>
  <c r="E33"/>
  <c r="F33"/>
  <c r="C34" i="14" s="1"/>
  <c r="O20" i="23"/>
  <c r="O23"/>
  <c r="O29"/>
  <c r="B33"/>
  <c r="O33"/>
  <c r="A7" i="16"/>
  <c r="B7" s="1"/>
  <c r="G5" s="1"/>
  <c r="E7"/>
  <c r="D5" i="17" s="1"/>
  <c r="A8" i="16"/>
  <c r="B8" s="1"/>
  <c r="E8"/>
  <c r="D6" i="17" s="1"/>
  <c r="A9" i="16"/>
  <c r="B9" s="1"/>
  <c r="E9"/>
  <c r="R5" s="1"/>
  <c r="K3" i="19" s="1"/>
  <c r="A10" i="16"/>
  <c r="B10" s="1"/>
  <c r="Y5" s="1"/>
  <c r="E10"/>
  <c r="D8" i="17"/>
  <c r="A11" i="16"/>
  <c r="B11"/>
  <c r="AE5" s="1"/>
  <c r="E11"/>
  <c r="A12"/>
  <c r="B12" s="1"/>
  <c r="E12"/>
  <c r="A17"/>
  <c r="B17"/>
  <c r="C17"/>
  <c r="K17"/>
  <c r="L17" s="1"/>
  <c r="D17"/>
  <c r="E17"/>
  <c r="P17"/>
  <c r="A18"/>
  <c r="B18" s="1"/>
  <c r="C18"/>
  <c r="R18" s="1"/>
  <c r="D18"/>
  <c r="P18"/>
  <c r="A19"/>
  <c r="C19"/>
  <c r="D19"/>
  <c r="P19"/>
  <c r="B16" i="23" s="1"/>
  <c r="A20" i="16"/>
  <c r="B20" s="1"/>
  <c r="C20"/>
  <c r="D20"/>
  <c r="P20"/>
  <c r="B16" i="17"/>
  <c r="D21" i="16"/>
  <c r="P21"/>
  <c r="B18" i="23" s="1"/>
  <c r="A22" i="16"/>
  <c r="B22" s="1"/>
  <c r="C22"/>
  <c r="D22"/>
  <c r="P22"/>
  <c r="B18" i="17" s="1"/>
  <c r="A23" i="16"/>
  <c r="K23"/>
  <c r="L23" s="1"/>
  <c r="G19" i="17" s="1"/>
  <c r="D23" i="16"/>
  <c r="P23"/>
  <c r="B20" i="23"/>
  <c r="A24" i="16"/>
  <c r="C24"/>
  <c r="D24"/>
  <c r="P24"/>
  <c r="B20" i="17" s="1"/>
  <c r="A25" i="16"/>
  <c r="B25" s="1"/>
  <c r="C25"/>
  <c r="D25"/>
  <c r="P25"/>
  <c r="B21" i="17" s="1"/>
  <c r="A26" i="16"/>
  <c r="B26" s="1"/>
  <c r="K26"/>
  <c r="L26" s="1"/>
  <c r="G22" i="17" s="1"/>
  <c r="D26" i="16"/>
  <c r="P26"/>
  <c r="B22" i="17" s="1"/>
  <c r="A27" i="16"/>
  <c r="B27" s="1"/>
  <c r="C27"/>
  <c r="D27"/>
  <c r="P27"/>
  <c r="B24" i="23"/>
  <c r="A28" i="16"/>
  <c r="C28"/>
  <c r="D28"/>
  <c r="P28"/>
  <c r="B24" i="17" s="1"/>
  <c r="A29" i="16"/>
  <c r="B29" s="1"/>
  <c r="C29"/>
  <c r="D29"/>
  <c r="P29"/>
  <c r="B26" i="23" s="1"/>
  <c r="A30" i="16"/>
  <c r="B30" s="1"/>
  <c r="C30"/>
  <c r="D30"/>
  <c r="P30"/>
  <c r="B26" i="17"/>
  <c r="A31" i="16"/>
  <c r="B31"/>
  <c r="C31"/>
  <c r="D31"/>
  <c r="P31"/>
  <c r="B28" i="23"/>
  <c r="A32" i="16"/>
  <c r="B32"/>
  <c r="K32"/>
  <c r="L32"/>
  <c r="G28" i="17" s="1"/>
  <c r="D32" i="16"/>
  <c r="P32"/>
  <c r="B28" i="17"/>
  <c r="A33" i="16"/>
  <c r="C33"/>
  <c r="D33"/>
  <c r="P33"/>
  <c r="B29" i="17" s="1"/>
  <c r="A34" i="16"/>
  <c r="B34" s="1"/>
  <c r="C34"/>
  <c r="D34"/>
  <c r="P34"/>
  <c r="B30" i="17" s="1"/>
  <c r="A35" i="16"/>
  <c r="B35" s="1"/>
  <c r="C35"/>
  <c r="D35"/>
  <c r="P35"/>
  <c r="B31" i="17" s="1"/>
  <c r="K33" i="23"/>
  <c r="A37" i="16"/>
  <c r="B37"/>
  <c r="C37"/>
  <c r="D37"/>
  <c r="P37"/>
  <c r="B34" i="23"/>
  <c r="A38" i="16"/>
  <c r="B38"/>
  <c r="C38"/>
  <c r="D38"/>
  <c r="P38"/>
  <c r="B34" i="17"/>
  <c r="A39" i="16"/>
  <c r="C39"/>
  <c r="D39"/>
  <c r="P39"/>
  <c r="B36" i="17"/>
  <c r="A46" i="16"/>
  <c r="B46" s="1"/>
  <c r="K46" s="1"/>
  <c r="C46"/>
  <c r="D46"/>
  <c r="E46"/>
  <c r="C9" i="19" s="1"/>
  <c r="A47" i="16"/>
  <c r="B47" s="1"/>
  <c r="K47" s="1"/>
  <c r="C47"/>
  <c r="D47"/>
  <c r="E47"/>
  <c r="C10" i="19" s="1"/>
  <c r="A48" i="16"/>
  <c r="B48" s="1"/>
  <c r="C48"/>
  <c r="D48"/>
  <c r="E48"/>
  <c r="C11" i="19" s="1"/>
  <c r="A49" i="16"/>
  <c r="B49" s="1"/>
  <c r="C49"/>
  <c r="D49"/>
  <c r="E49"/>
  <c r="C12" i="19" s="1"/>
  <c r="A50" i="16"/>
  <c r="B50" s="1"/>
  <c r="C50"/>
  <c r="D50"/>
  <c r="E50"/>
  <c r="C13" i="19" s="1"/>
  <c r="A51" i="16"/>
  <c r="B51" s="1"/>
  <c r="C51"/>
  <c r="D51"/>
  <c r="E51"/>
  <c r="C14" i="19" s="1"/>
  <c r="A52" i="16"/>
  <c r="B52" s="1"/>
  <c r="K52" s="1"/>
  <c r="C52"/>
  <c r="D52"/>
  <c r="E52"/>
  <c r="C15" i="19" s="1"/>
  <c r="A53" i="16"/>
  <c r="B53" s="1"/>
  <c r="C53"/>
  <c r="D53"/>
  <c r="E53"/>
  <c r="C16" i="19" s="1"/>
  <c r="A54" i="16"/>
  <c r="B54" s="1"/>
  <c r="C54"/>
  <c r="D54"/>
  <c r="E54"/>
  <c r="C17" i="19" s="1"/>
  <c r="A55" i="16"/>
  <c r="B55" s="1"/>
  <c r="K55" s="1"/>
  <c r="C55"/>
  <c r="D55"/>
  <c r="E55"/>
  <c r="C18" i="19" s="1"/>
  <c r="A56" i="16"/>
  <c r="B56" s="1"/>
  <c r="C56"/>
  <c r="D56"/>
  <c r="E56"/>
  <c r="C19" i="19" s="1"/>
  <c r="A57" i="16"/>
  <c r="B57" s="1"/>
  <c r="C57"/>
  <c r="D57"/>
  <c r="E57"/>
  <c r="C20" i="19" s="1"/>
  <c r="A58" i="16"/>
  <c r="B58" s="1"/>
  <c r="C58"/>
  <c r="D58"/>
  <c r="E58"/>
  <c r="C21" i="19" s="1"/>
  <c r="A59" i="16"/>
  <c r="B59" s="1"/>
  <c r="C59"/>
  <c r="D59"/>
  <c r="E59"/>
  <c r="C22" i="19" s="1"/>
  <c r="A60" i="16"/>
  <c r="B60" s="1"/>
  <c r="C60"/>
  <c r="D60"/>
  <c r="E60"/>
  <c r="C23" i="19" s="1"/>
  <c r="A61" i="16"/>
  <c r="B61" s="1"/>
  <c r="K61" s="1"/>
  <c r="C61"/>
  <c r="D61"/>
  <c r="E61"/>
  <c r="C24" i="19" s="1"/>
  <c r="A62" i="16"/>
  <c r="C62"/>
  <c r="D62"/>
  <c r="E62"/>
  <c r="C25" i="19" s="1"/>
  <c r="A63" i="16"/>
  <c r="B63" s="1"/>
  <c r="C63"/>
  <c r="F15"/>
  <c r="D63"/>
  <c r="E63"/>
  <c r="C26" i="19" s="1"/>
  <c r="A64" i="16"/>
  <c r="B64" s="1"/>
  <c r="C64"/>
  <c r="D64"/>
  <c r="E64"/>
  <c r="C27" i="19" s="1"/>
  <c r="C28"/>
  <c r="C29"/>
  <c r="C30"/>
  <c r="C31"/>
  <c r="M3" i="15"/>
  <c r="B5" i="20"/>
  <c r="B6"/>
  <c r="C12"/>
  <c r="D12"/>
  <c r="E12"/>
  <c r="F12"/>
  <c r="G12"/>
  <c r="H12"/>
  <c r="I12"/>
  <c r="J12"/>
  <c r="K12"/>
  <c r="L12"/>
  <c r="M12"/>
  <c r="N12"/>
  <c r="O12"/>
  <c r="P12"/>
  <c r="Q12"/>
  <c r="R12"/>
  <c r="S12"/>
  <c r="T12"/>
  <c r="U12"/>
  <c r="A3" i="12"/>
  <c r="AB7"/>
  <c r="AK7" s="1"/>
  <c r="D3" i="15" s="1"/>
  <c r="BO7" i="12"/>
  <c r="CD7"/>
  <c r="S3" i="15" s="1"/>
  <c r="K6" i="1"/>
  <c r="C22" i="2" s="1"/>
  <c r="K7" i="1"/>
  <c r="K8"/>
  <c r="K9"/>
  <c r="K10"/>
  <c r="K11"/>
  <c r="C8" i="2"/>
  <c r="D8"/>
  <c r="E8"/>
  <c r="F8"/>
  <c r="G8"/>
  <c r="H8"/>
  <c r="I8"/>
  <c r="J8"/>
  <c r="K8"/>
  <c r="L8"/>
  <c r="M8"/>
  <c r="N8"/>
  <c r="O8"/>
  <c r="P8"/>
  <c r="Q8"/>
  <c r="R8"/>
  <c r="S8"/>
  <c r="T8"/>
  <c r="B2" i="20"/>
  <c r="B15" s="1"/>
  <c r="B11" i="2"/>
  <c r="E11"/>
  <c r="E3" i="20" s="1"/>
  <c r="C14" i="2"/>
  <c r="C4" i="20" s="1"/>
  <c r="C15" i="2"/>
  <c r="C1" i="16" s="1"/>
  <c r="B18" i="2"/>
  <c r="B3" i="16" s="1"/>
  <c r="C18" i="2"/>
  <c r="B20"/>
  <c r="B4" i="16"/>
  <c r="C20" i="2"/>
  <c r="C29"/>
  <c r="G2" i="3"/>
  <c r="G7" i="29"/>
  <c r="R2" i="3"/>
  <c r="G3"/>
  <c r="Q3"/>
  <c r="P8" i="25" s="1"/>
  <c r="R3" i="3"/>
  <c r="G4"/>
  <c r="G9" i="26" s="1"/>
  <c r="Q4" i="3"/>
  <c r="R4"/>
  <c r="G5"/>
  <c r="G10" i="25" s="1"/>
  <c r="G10" i="5"/>
  <c r="G10" i="29"/>
  <c r="Q5" i="3"/>
  <c r="R5"/>
  <c r="G6"/>
  <c r="G11" i="26" s="1"/>
  <c r="Q6" i="3"/>
  <c r="R6"/>
  <c r="G7"/>
  <c r="G12" i="25" s="1"/>
  <c r="G12" i="5"/>
  <c r="Q7" i="3"/>
  <c r="O12" i="29"/>
  <c r="R7" i="3"/>
  <c r="G8"/>
  <c r="Q8"/>
  <c r="R8"/>
  <c r="G9"/>
  <c r="G14" i="5"/>
  <c r="G14" i="29"/>
  <c r="Q9" i="3"/>
  <c r="R9"/>
  <c r="G10"/>
  <c r="Q10"/>
  <c r="O15" i="29" s="1"/>
  <c r="R10" i="3"/>
  <c r="G11"/>
  <c r="G16" i="29"/>
  <c r="Q11" i="3"/>
  <c r="O16" i="29"/>
  <c r="R11" i="3"/>
  <c r="G12"/>
  <c r="G17" i="29" s="1"/>
  <c r="Q12" i="3"/>
  <c r="O17" i="29"/>
  <c r="R12" i="3"/>
  <c r="G13"/>
  <c r="Q13"/>
  <c r="O18" i="29" s="1"/>
  <c r="R13" i="3"/>
  <c r="G14"/>
  <c r="G19" i="5"/>
  <c r="G19" i="29"/>
  <c r="Q14" i="3"/>
  <c r="O19" i="29" s="1"/>
  <c r="R14" i="3"/>
  <c r="G15"/>
  <c r="G20" i="5"/>
  <c r="Q15" i="3"/>
  <c r="O20" i="29"/>
  <c r="R15" i="3"/>
  <c r="G16"/>
  <c r="G21" i="29" s="1"/>
  <c r="Q16" i="3"/>
  <c r="O21" i="29"/>
  <c r="R16" i="3"/>
  <c r="G17"/>
  <c r="Q17"/>
  <c r="O22" i="29" s="1"/>
  <c r="R17" i="3"/>
  <c r="G18"/>
  <c r="G23" i="5"/>
  <c r="G23" i="29"/>
  <c r="Q18" i="3"/>
  <c r="R18"/>
  <c r="G19"/>
  <c r="G24" i="5"/>
  <c r="Q19" i="3"/>
  <c r="O24" i="29"/>
  <c r="R19" i="3"/>
  <c r="F20"/>
  <c r="G20"/>
  <c r="G25" i="26" s="1"/>
  <c r="G25" i="5"/>
  <c r="Q20" i="3"/>
  <c r="O25" i="29"/>
  <c r="R20" i="3"/>
  <c r="G21"/>
  <c r="Q21"/>
  <c r="P26" i="26" s="1"/>
  <c r="R21" i="3"/>
  <c r="G22"/>
  <c r="Q22"/>
  <c r="O27" i="29" s="1"/>
  <c r="R22" i="3"/>
  <c r="G23"/>
  <c r="G28" i="29"/>
  <c r="Q23" i="3"/>
  <c r="O28" i="29"/>
  <c r="R23" i="3"/>
  <c r="G24"/>
  <c r="Q24"/>
  <c r="O29" i="29" s="1"/>
  <c r="R24" i="3"/>
  <c r="G25"/>
  <c r="Q25"/>
  <c r="R25"/>
  <c r="G26"/>
  <c r="G31" i="26"/>
  <c r="Q26" i="3"/>
  <c r="E41" i="16"/>
  <c r="D38" i="23" s="1"/>
  <c r="R26" i="3"/>
  <c r="Q27"/>
  <c r="E42" i="16"/>
  <c r="Q28" i="3"/>
  <c r="P33" i="5" s="1"/>
  <c r="R28" i="3"/>
  <c r="Q30"/>
  <c r="P35" i="5"/>
  <c r="R30" i="3"/>
  <c r="Q31"/>
  <c r="P36" i="5" s="1"/>
  <c r="R31" i="3"/>
  <c r="Q32"/>
  <c r="P37" i="5"/>
  <c r="R32" i="3"/>
  <c r="Q33"/>
  <c r="P38" i="5" s="1"/>
  <c r="R33" i="3"/>
  <c r="Q34"/>
  <c r="P39" i="5"/>
  <c r="R34" i="3"/>
  <c r="Q35"/>
  <c r="P40" i="5" s="1"/>
  <c r="R35" i="3"/>
  <c r="Q36"/>
  <c r="P41" i="5"/>
  <c r="R36" i="3"/>
  <c r="Q37"/>
  <c r="P42" i="5" s="1"/>
  <c r="R37" i="3"/>
  <c r="Q38"/>
  <c r="P43" i="5"/>
  <c r="R38" i="3"/>
  <c r="Q39"/>
  <c r="P44" i="5" s="1"/>
  <c r="R39" i="3"/>
  <c r="Q32" i="26"/>
  <c r="X5" i="16"/>
  <c r="C5" i="19" s="1"/>
  <c r="J26" i="5"/>
  <c r="J12"/>
  <c r="J8"/>
  <c r="J22" i="22"/>
  <c r="D35" i="7"/>
  <c r="J16" i="22"/>
  <c r="D36" i="7"/>
  <c r="J27" i="5"/>
  <c r="B62" i="16"/>
  <c r="J19" i="5"/>
  <c r="B24" i="16"/>
  <c r="K9" i="5"/>
  <c r="M9" s="1"/>
  <c r="K11"/>
  <c r="M11" s="1"/>
  <c r="K12"/>
  <c r="M12" s="1"/>
  <c r="K14"/>
  <c r="M14" s="1"/>
  <c r="K15"/>
  <c r="M15" s="1"/>
  <c r="N15" s="1"/>
  <c r="Q15" s="1"/>
  <c r="K17"/>
  <c r="M17" s="1"/>
  <c r="K18"/>
  <c r="M18" s="1"/>
  <c r="K19"/>
  <c r="M19" s="1"/>
  <c r="K21"/>
  <c r="M21" s="1"/>
  <c r="N21" s="1"/>
  <c r="B39" i="16"/>
  <c r="B33"/>
  <c r="B28"/>
  <c r="B23"/>
  <c r="B19"/>
  <c r="S5"/>
  <c r="D30" i="7"/>
  <c r="D29"/>
  <c r="D26"/>
  <c r="D23"/>
  <c r="D21"/>
  <c r="D20"/>
  <c r="D19"/>
  <c r="D17"/>
  <c r="D15"/>
  <c r="D14"/>
  <c r="D12"/>
  <c r="J22" i="5"/>
  <c r="J16"/>
  <c r="J10"/>
  <c r="D9" i="17"/>
  <c r="D9" i="23"/>
  <c r="AD5" i="16"/>
  <c r="G5" i="19" s="1"/>
  <c r="D10" i="17"/>
  <c r="D10" i="23"/>
  <c r="AJ5" i="16"/>
  <c r="K5" i="19" s="1"/>
  <c r="L5" i="16"/>
  <c r="G3" i="19" s="1"/>
  <c r="F5" i="16"/>
  <c r="C3" i="19" s="1"/>
  <c r="D8" i="23"/>
  <c r="D7"/>
  <c r="D6"/>
  <c r="D5"/>
  <c r="D32" i="7"/>
  <c r="K8" i="22"/>
  <c r="L8" s="1"/>
  <c r="K10"/>
  <c r="L10" s="1"/>
  <c r="K12"/>
  <c r="L12" s="1"/>
  <c r="K14"/>
  <c r="L14" s="1"/>
  <c r="K16"/>
  <c r="L16" s="1"/>
  <c r="K18"/>
  <c r="L18" s="1"/>
  <c r="K20"/>
  <c r="L20" s="1"/>
  <c r="K24"/>
  <c r="L24" s="1"/>
  <c r="K27"/>
  <c r="L27" s="1"/>
  <c r="K28"/>
  <c r="L28" s="1"/>
  <c r="K29"/>
  <c r="L29" s="1"/>
  <c r="K30"/>
  <c r="L30" s="1"/>
  <c r="K22"/>
  <c r="L22" s="1"/>
  <c r="K13"/>
  <c r="L13" s="1"/>
  <c r="K26"/>
  <c r="L26" s="1"/>
  <c r="K23"/>
  <c r="L23" s="1"/>
  <c r="K25"/>
  <c r="L25" s="1"/>
  <c r="K19"/>
  <c r="L19" s="1"/>
  <c r="K17"/>
  <c r="L17" s="1"/>
  <c r="K21"/>
  <c r="L21" s="1"/>
  <c r="K15"/>
  <c r="L15" s="1"/>
  <c r="K11"/>
  <c r="L11" s="1"/>
  <c r="K9"/>
  <c r="L9" s="1"/>
  <c r="M9"/>
  <c r="P9" s="1"/>
  <c r="N3" i="15"/>
  <c r="DW7" i="12"/>
  <c r="AH3" i="15" s="1"/>
  <c r="DP11" i="12"/>
  <c r="DQ11" s="1"/>
  <c r="D7" i="17"/>
  <c r="G38" i="23"/>
  <c r="O38" s="1"/>
  <c r="K29"/>
  <c r="B39"/>
  <c r="B35"/>
  <c r="B30"/>
  <c r="B29"/>
  <c r="B27"/>
  <c r="B25"/>
  <c r="B22"/>
  <c r="B19"/>
  <c r="B17"/>
  <c r="B33" i="17"/>
  <c r="B27"/>
  <c r="B25"/>
  <c r="B23"/>
  <c r="B19"/>
  <c r="B17"/>
  <c r="B15"/>
  <c r="R17" i="16"/>
  <c r="B31" i="23"/>
  <c r="B23"/>
  <c r="B21"/>
  <c r="K20"/>
  <c r="E38" i="16"/>
  <c r="D35" i="23" s="1"/>
  <c r="E35" i="16"/>
  <c r="D32" i="23" s="1"/>
  <c r="E33" i="16"/>
  <c r="D30" i="23" s="1"/>
  <c r="E26" i="16"/>
  <c r="C23" i="23" s="1"/>
  <c r="E25" i="16"/>
  <c r="D21" i="17" s="1"/>
  <c r="E24" i="16"/>
  <c r="D21" i="23" s="1"/>
  <c r="E23" i="16"/>
  <c r="C19" i="17" s="1"/>
  <c r="E22" i="16"/>
  <c r="D19" i="23" s="1"/>
  <c r="P26" i="5"/>
  <c r="P25"/>
  <c r="P22"/>
  <c r="P21"/>
  <c r="P20"/>
  <c r="P15"/>
  <c r="P12"/>
  <c r="P10"/>
  <c r="G7"/>
  <c r="G28" i="22"/>
  <c r="O27"/>
  <c r="G27"/>
  <c r="O26"/>
  <c r="O21"/>
  <c r="O20"/>
  <c r="G20"/>
  <c r="O19"/>
  <c r="G19"/>
  <c r="O18"/>
  <c r="G16"/>
  <c r="O15"/>
  <c r="G15"/>
  <c r="O14"/>
  <c r="G14"/>
  <c r="O13"/>
  <c r="O12"/>
  <c r="G7" i="25"/>
  <c r="P9"/>
  <c r="P12"/>
  <c r="P15"/>
  <c r="P16"/>
  <c r="P18"/>
  <c r="G22"/>
  <c r="P26"/>
  <c r="P28"/>
  <c r="P30"/>
  <c r="P8" i="26"/>
  <c r="P9"/>
  <c r="P10"/>
  <c r="P11"/>
  <c r="P12"/>
  <c r="G13"/>
  <c r="P13"/>
  <c r="P14"/>
  <c r="P15"/>
  <c r="P16"/>
  <c r="P17"/>
  <c r="P18"/>
  <c r="P19"/>
  <c r="P20"/>
  <c r="P21"/>
  <c r="P22"/>
  <c r="P23"/>
  <c r="P24"/>
  <c r="P25"/>
  <c r="P27"/>
  <c r="P28"/>
  <c r="P29"/>
  <c r="P31"/>
  <c r="G8" i="29"/>
  <c r="O8"/>
  <c r="E40" i="16"/>
  <c r="D37" i="23" s="1"/>
  <c r="O30" i="29"/>
  <c r="E36" i="16"/>
  <c r="C32" i="17"/>
  <c r="O26" i="29"/>
  <c r="E39" i="16"/>
  <c r="D36" i="23" s="1"/>
  <c r="E37" i="16"/>
  <c r="D33" i="17" s="1"/>
  <c r="E32" i="16"/>
  <c r="C29" i="23" s="1"/>
  <c r="E31" i="16"/>
  <c r="D27" i="17" s="1"/>
  <c r="E30" i="16"/>
  <c r="D27" i="23" s="1"/>
  <c r="E29" i="16"/>
  <c r="D26" i="23" s="1"/>
  <c r="E28" i="16"/>
  <c r="D25" i="23" s="1"/>
  <c r="E27" i="16"/>
  <c r="D23" i="17" s="1"/>
  <c r="E21" i="16"/>
  <c r="D17" i="17" s="1"/>
  <c r="E20" i="16"/>
  <c r="D16" i="17" s="1"/>
  <c r="E19" i="16"/>
  <c r="D16" i="23" s="1"/>
  <c r="E18" i="16"/>
  <c r="C15" i="23" s="1"/>
  <c r="P29" i="5"/>
  <c r="P28"/>
  <c r="P27"/>
  <c r="P24"/>
  <c r="P19"/>
  <c r="P18"/>
  <c r="P17"/>
  <c r="P16"/>
  <c r="G16"/>
  <c r="P13"/>
  <c r="G13"/>
  <c r="P8"/>
  <c r="G8"/>
  <c r="O30" i="22"/>
  <c r="G30"/>
  <c r="O29"/>
  <c r="G29"/>
  <c r="O28"/>
  <c r="G26"/>
  <c r="O25"/>
  <c r="G25"/>
  <c r="O24"/>
  <c r="G24"/>
  <c r="O23"/>
  <c r="G23"/>
  <c r="O22"/>
  <c r="G18"/>
  <c r="O17"/>
  <c r="G17"/>
  <c r="O16"/>
  <c r="G12"/>
  <c r="O11"/>
  <c r="G11"/>
  <c r="O10"/>
  <c r="G10"/>
  <c r="O9"/>
  <c r="G9"/>
  <c r="O8"/>
  <c r="G8"/>
  <c r="G7"/>
  <c r="G31" i="5"/>
  <c r="P11" i="25"/>
  <c r="G13"/>
  <c r="P14"/>
  <c r="G16"/>
  <c r="P17"/>
  <c r="P19"/>
  <c r="P20"/>
  <c r="P21"/>
  <c r="P22"/>
  <c r="P23"/>
  <c r="P24"/>
  <c r="G26"/>
  <c r="P27"/>
  <c r="P29"/>
  <c r="G7" i="26"/>
  <c r="G16"/>
  <c r="G22"/>
  <c r="G26"/>
  <c r="D18" i="17"/>
  <c r="C22"/>
  <c r="D22" i="23"/>
  <c r="D31" i="17"/>
  <c r="B2" i="16"/>
  <c r="G15" s="1"/>
  <c r="J29" i="22"/>
  <c r="J23"/>
  <c r="J11"/>
  <c r="J9"/>
  <c r="J31" i="5"/>
  <c r="J15" i="26"/>
  <c r="J17"/>
  <c r="J19"/>
  <c r="J23"/>
  <c r="J26"/>
  <c r="J28"/>
  <c r="J30"/>
  <c r="J12" i="29"/>
  <c r="J16"/>
  <c r="J22"/>
  <c r="J18"/>
  <c r="J28"/>
  <c r="J30"/>
  <c r="J11"/>
  <c r="J13"/>
  <c r="J21"/>
  <c r="J8" i="26"/>
  <c r="J13"/>
  <c r="J16"/>
  <c r="J18"/>
  <c r="J27"/>
  <c r="J17" i="5"/>
  <c r="J17" i="22"/>
  <c r="J15"/>
  <c r="J13"/>
  <c r="J11" i="26"/>
  <c r="J24"/>
  <c r="J9" i="29"/>
  <c r="J24"/>
  <c r="J29" i="26"/>
  <c r="D9" i="7"/>
  <c r="J24" i="5"/>
  <c r="P32"/>
  <c r="K18" i="16"/>
  <c r="L18" s="1"/>
  <c r="J30" i="22"/>
  <c r="J21"/>
  <c r="J19"/>
  <c r="J14"/>
  <c r="J10"/>
  <c r="J32" i="5"/>
  <c r="J7" i="25"/>
  <c r="J26"/>
  <c r="J27"/>
  <c r="J28"/>
  <c r="J29"/>
  <c r="J30"/>
  <c r="J7" i="26"/>
  <c r="J10"/>
  <c r="J12"/>
  <c r="J14"/>
  <c r="J22"/>
  <c r="J7" i="29"/>
  <c r="J8"/>
  <c r="J10"/>
  <c r="J23"/>
  <c r="J27"/>
  <c r="J29"/>
  <c r="J25" i="5"/>
  <c r="J23"/>
  <c r="J20"/>
  <c r="G30"/>
  <c r="G27"/>
  <c r="G15"/>
  <c r="G15" i="29"/>
  <c r="G11" i="5"/>
  <c r="G11" i="29"/>
  <c r="G9" i="5"/>
  <c r="G9" i="29"/>
  <c r="G29" i="5"/>
  <c r="G28"/>
  <c r="F25" i="29"/>
  <c r="F25" i="26"/>
  <c r="F25" i="22"/>
  <c r="F25" i="5"/>
  <c r="G30" i="29"/>
  <c r="G27"/>
  <c r="G25"/>
  <c r="G24"/>
  <c r="G20"/>
  <c r="G18"/>
  <c r="DP13" i="12"/>
  <c r="DQ13" s="1"/>
  <c r="DP17"/>
  <c r="DQ17" s="1"/>
  <c r="DP19"/>
  <c r="DQ19" s="1"/>
  <c r="DP21"/>
  <c r="DQ21" s="1"/>
  <c r="DP14"/>
  <c r="DQ14" s="1"/>
  <c r="DP16"/>
  <c r="DQ16" s="1"/>
  <c r="DP18"/>
  <c r="DQ18" s="1"/>
  <c r="DP20"/>
  <c r="DQ20" s="1"/>
  <c r="DP22"/>
  <c r="DQ22" s="1"/>
  <c r="DP25"/>
  <c r="DQ25" s="1"/>
  <c r="DP27"/>
  <c r="DQ27" s="1"/>
  <c r="DP24"/>
  <c r="DQ24" s="1"/>
  <c r="DP26"/>
  <c r="DQ26" s="1"/>
  <c r="DP12"/>
  <c r="DQ12" s="1"/>
  <c r="DP15"/>
  <c r="DQ15" s="1"/>
  <c r="DP10"/>
  <c r="DQ10" s="1"/>
  <c r="DP23"/>
  <c r="DQ23" s="1"/>
  <c r="K8" i="5"/>
  <c r="M8" s="1"/>
  <c r="K13"/>
  <c r="M13" s="1"/>
  <c r="K22"/>
  <c r="M22" s="1"/>
  <c r="K26"/>
  <c r="M26" s="1"/>
  <c r="N26" s="1"/>
  <c r="K23"/>
  <c r="M23" s="1"/>
  <c r="K27"/>
  <c r="M27" s="1"/>
  <c r="K28"/>
  <c r="M28" s="1"/>
  <c r="K29"/>
  <c r="M29" s="1"/>
  <c r="K30"/>
  <c r="M30" s="1"/>
  <c r="K32"/>
  <c r="M32" s="1"/>
  <c r="N32" s="1"/>
  <c r="K10"/>
  <c r="M10" s="1"/>
  <c r="C4" i="16"/>
  <c r="O8" i="19" s="1"/>
  <c r="P32" i="26"/>
  <c r="D28" i="23"/>
  <c r="CY7" i="12"/>
  <c r="DH7" s="1"/>
  <c r="AC3" i="15" s="1"/>
  <c r="D6" i="7"/>
  <c r="D5"/>
  <c r="H15" i="16"/>
  <c r="H64" s="1"/>
  <c r="M27" i="19" s="1"/>
  <c r="C3" i="16"/>
  <c r="H16" s="1"/>
  <c r="K66"/>
  <c r="F66"/>
  <c r="L66" s="1"/>
  <c r="I15"/>
  <c r="I68" s="1"/>
  <c r="O31" i="19" s="1"/>
  <c r="DF7" i="30"/>
  <c r="BM7"/>
  <c r="D17" i="23"/>
  <c r="D34"/>
  <c r="D24"/>
  <c r="D35" i="17"/>
  <c r="D26"/>
  <c r="D18" i="23"/>
  <c r="C14" i="17"/>
  <c r="P31" i="5"/>
  <c r="E34" i="16"/>
  <c r="D8" i="7"/>
  <c r="CJ7" i="12"/>
  <c r="CS7" s="1"/>
  <c r="X3" i="15" s="1"/>
  <c r="H62" i="16"/>
  <c r="M25" i="19" s="1"/>
  <c r="M8"/>
  <c r="R3" i="27"/>
  <c r="AM3"/>
  <c r="DU7" i="30"/>
  <c r="AX7"/>
  <c r="K3" i="27" s="1"/>
  <c r="CB7" i="30"/>
  <c r="Y3" i="27" s="1"/>
  <c r="CQ7" i="30"/>
  <c r="I66" i="16"/>
  <c r="O29" i="19" s="1"/>
  <c r="C2" i="16"/>
  <c r="D25" i="17"/>
  <c r="C33" i="23"/>
  <c r="C28" i="17"/>
  <c r="D15"/>
  <c r="D34"/>
  <c r="G12" i="29"/>
  <c r="N25" i="33"/>
  <c r="AL25"/>
  <c r="AD25"/>
  <c r="V25"/>
  <c r="AT25"/>
  <c r="M23" i="29"/>
  <c r="P23" s="1"/>
  <c r="J20" i="22"/>
  <c r="J30" i="5"/>
  <c r="J17" i="29"/>
  <c r="J26"/>
  <c r="F63" i="16"/>
  <c r="D39" i="23"/>
  <c r="D36" i="17"/>
  <c r="AO25" i="27"/>
  <c r="G6" i="1"/>
  <c r="H6"/>
  <c r="C14" i="20" s="1"/>
  <c r="Z7" i="32"/>
  <c r="AI7" s="1"/>
  <c r="CL7"/>
  <c r="CU7" s="1"/>
  <c r="BV7"/>
  <c r="CE7" s="1"/>
  <c r="AB3" i="33" s="1"/>
  <c r="BF7" i="32"/>
  <c r="BO7" s="1"/>
  <c r="T3" i="33" s="1"/>
  <c r="DB7" i="32"/>
  <c r="DK7" s="1"/>
  <c r="AR3" i="33" s="1"/>
  <c r="DR7" i="32"/>
  <c r="EA7"/>
  <c r="D20" i="17"/>
  <c r="AP7" i="32"/>
  <c r="AY7" s="1"/>
  <c r="L3" i="33" s="1"/>
  <c r="I26" i="19"/>
  <c r="AA25" i="27"/>
  <c r="T25"/>
  <c r="B4" i="20"/>
  <c r="J44" i="5"/>
  <c r="J14" i="29"/>
  <c r="J15"/>
  <c r="K70" i="16"/>
  <c r="AC34" i="5"/>
  <c r="J21"/>
  <c r="AI44"/>
  <c r="AE44"/>
  <c r="AA44"/>
  <c r="W44"/>
  <c r="AJ43"/>
  <c r="AH43"/>
  <c r="AF43"/>
  <c r="AD43"/>
  <c r="AB43"/>
  <c r="Z43"/>
  <c r="X43"/>
  <c r="V43"/>
  <c r="AI42"/>
  <c r="AE42"/>
  <c r="AA42"/>
  <c r="AK41"/>
  <c r="AI41"/>
  <c r="AG41"/>
  <c r="AE41"/>
  <c r="AC41"/>
  <c r="AA41"/>
  <c r="Y41"/>
  <c r="W41"/>
  <c r="U41"/>
  <c r="J41"/>
  <c r="AK40"/>
  <c r="AG40"/>
  <c r="AC40"/>
  <c r="Y40"/>
  <c r="AB39"/>
  <c r="Z39"/>
  <c r="X39"/>
  <c r="V39"/>
  <c r="AI38"/>
  <c r="AE38"/>
  <c r="AA38"/>
  <c r="Y37"/>
  <c r="W37"/>
  <c r="J37"/>
  <c r="AC36"/>
  <c r="J9"/>
  <c r="J20" i="29"/>
  <c r="J36" i="5"/>
  <c r="G7" i="1"/>
  <c r="H8"/>
  <c r="E14" i="20" s="1"/>
  <c r="H9" i="1"/>
  <c r="F14" i="20" s="1"/>
  <c r="F38" s="1"/>
  <c r="G10" i="1"/>
  <c r="G11"/>
  <c r="H12"/>
  <c r="I14" i="20" s="1"/>
  <c r="H13" i="1"/>
  <c r="J14" i="20" s="1"/>
  <c r="G14" i="1"/>
  <c r="G15"/>
  <c r="H16"/>
  <c r="M14" i="20" s="1"/>
  <c r="M38" s="1"/>
  <c r="H17" i="1"/>
  <c r="N14" i="20" s="1"/>
  <c r="N38" s="1"/>
  <c r="G18" i="1"/>
  <c r="G19"/>
  <c r="H20"/>
  <c r="Q14" i="20" s="1"/>
  <c r="H21" i="1"/>
  <c r="R14" i="20" s="1"/>
  <c r="R38" s="1"/>
  <c r="G22" i="1"/>
  <c r="G23"/>
  <c r="H24"/>
  <c r="U14" i="20" s="1"/>
  <c r="E2"/>
  <c r="AK9" i="5"/>
  <c r="AK10"/>
  <c r="AK11"/>
  <c r="AK12"/>
  <c r="AK14"/>
  <c r="AK15"/>
  <c r="AK19"/>
  <c r="AK20"/>
  <c r="B3" i="20"/>
  <c r="B16" s="1"/>
  <c r="H7" i="1"/>
  <c r="D14" i="20" s="1"/>
  <c r="D37" s="1"/>
  <c r="F7" i="1"/>
  <c r="D13" i="20" s="1"/>
  <c r="T9" i="5"/>
  <c r="G8" i="1"/>
  <c r="G9"/>
  <c r="H10"/>
  <c r="G14" i="20" s="1"/>
  <c r="H11" i="1"/>
  <c r="H14" i="20" s="1"/>
  <c r="G12" i="1"/>
  <c r="G13"/>
  <c r="H14"/>
  <c r="K14" i="20" s="1"/>
  <c r="H15" i="1"/>
  <c r="L14" i="20" s="1"/>
  <c r="G16" i="1"/>
  <c r="G17"/>
  <c r="H18"/>
  <c r="O14" i="20" s="1"/>
  <c r="H19" i="1"/>
  <c r="P14" i="20" s="1"/>
  <c r="G20" i="1"/>
  <c r="G21"/>
  <c r="H22"/>
  <c r="S14" i="20" s="1"/>
  <c r="AJ29" i="5"/>
  <c r="AH29"/>
  <c r="AF29"/>
  <c r="AD29"/>
  <c r="AB29"/>
  <c r="Z29"/>
  <c r="X29"/>
  <c r="V29"/>
  <c r="T29"/>
  <c r="S29"/>
  <c r="AK29"/>
  <c r="AI29"/>
  <c r="AH29" i="22" s="1"/>
  <c r="AG29" i="5"/>
  <c r="AF29" i="22" s="1"/>
  <c r="AE29" i="5"/>
  <c r="AC29"/>
  <c r="AA29"/>
  <c r="Y29"/>
  <c r="U29"/>
  <c r="H39" i="16" s="1"/>
  <c r="W29" i="5"/>
  <c r="AJ27"/>
  <c r="AH27"/>
  <c r="AG27" i="22" s="1"/>
  <c r="AF27" i="5"/>
  <c r="AE27" i="22" s="1"/>
  <c r="AD27" i="5"/>
  <c r="AB27"/>
  <c r="AA27" i="22"/>
  <c r="Z27" i="5"/>
  <c r="X27"/>
  <c r="V27"/>
  <c r="T27"/>
  <c r="S27"/>
  <c r="AK27"/>
  <c r="AI27"/>
  <c r="AG27"/>
  <c r="AE27"/>
  <c r="AC27"/>
  <c r="AA27"/>
  <c r="Y27"/>
  <c r="U27"/>
  <c r="H37" i="16"/>
  <c r="W27" i="5"/>
  <c r="V27" i="22"/>
  <c r="T27"/>
  <c r="AJ24" i="5"/>
  <c r="AH24"/>
  <c r="AF24"/>
  <c r="AD24"/>
  <c r="AB24"/>
  <c r="Z24"/>
  <c r="X24"/>
  <c r="V24"/>
  <c r="T24"/>
  <c r="S24"/>
  <c r="AK24"/>
  <c r="AI24"/>
  <c r="AG24"/>
  <c r="AE24"/>
  <c r="AC24"/>
  <c r="AA24"/>
  <c r="Y24"/>
  <c r="W24"/>
  <c r="U24"/>
  <c r="AJ19"/>
  <c r="AH19"/>
  <c r="AF19"/>
  <c r="AD19"/>
  <c r="AB19"/>
  <c r="Z19"/>
  <c r="X19"/>
  <c r="V19"/>
  <c r="T19"/>
  <c r="S19"/>
  <c r="AI19"/>
  <c r="AG19"/>
  <c r="AE19"/>
  <c r="AC19"/>
  <c r="AA19"/>
  <c r="Y19"/>
  <c r="W19"/>
  <c r="U19"/>
  <c r="AJ14"/>
  <c r="AH14"/>
  <c r="AF14"/>
  <c r="AD14"/>
  <c r="AB14"/>
  <c r="Z14"/>
  <c r="X14"/>
  <c r="V14"/>
  <c r="T14"/>
  <c r="S14"/>
  <c r="AI14"/>
  <c r="AG14"/>
  <c r="AE14"/>
  <c r="AC14"/>
  <c r="AA14"/>
  <c r="Y14"/>
  <c r="W14"/>
  <c r="U14"/>
  <c r="AJ12"/>
  <c r="AH12"/>
  <c r="AF12"/>
  <c r="AE12" i="22"/>
  <c r="AD12" i="5"/>
  <c r="AC12" i="22"/>
  <c r="AB12" i="5"/>
  <c r="Z12"/>
  <c r="X12"/>
  <c r="V12"/>
  <c r="T12"/>
  <c r="S12"/>
  <c r="AI12"/>
  <c r="AH12" i="22"/>
  <c r="AG12" i="5"/>
  <c r="AE12"/>
  <c r="AC12"/>
  <c r="AB12" i="22"/>
  <c r="AA12" i="5"/>
  <c r="Y12"/>
  <c r="W12"/>
  <c r="V12" i="22"/>
  <c r="U12" i="5"/>
  <c r="AJ10"/>
  <c r="AH10"/>
  <c r="AF10"/>
  <c r="AE10" i="22" s="1"/>
  <c r="AD10" i="5"/>
  <c r="AB10"/>
  <c r="AA10" i="22" s="1"/>
  <c r="Z10" i="5"/>
  <c r="X10"/>
  <c r="V10"/>
  <c r="T10"/>
  <c r="S10" i="22" s="1"/>
  <c r="S10" i="5"/>
  <c r="AI10"/>
  <c r="AH10" i="22"/>
  <c r="AG10" i="5"/>
  <c r="AE10"/>
  <c r="AD10" i="22" s="1"/>
  <c r="AC10" i="5"/>
  <c r="AA10"/>
  <c r="Z10" i="22" s="1"/>
  <c r="Y10" i="5"/>
  <c r="W10"/>
  <c r="U10"/>
  <c r="T10" i="22" s="1"/>
  <c r="U27"/>
  <c r="AD27"/>
  <c r="I16" i="16"/>
  <c r="J14" i="5"/>
  <c r="J7"/>
  <c r="J26" i="22"/>
  <c r="J9" i="25"/>
  <c r="J10"/>
  <c r="J11"/>
  <c r="J12"/>
  <c r="J13"/>
  <c r="J14"/>
  <c r="J15"/>
  <c r="J16"/>
  <c r="J17"/>
  <c r="J18"/>
  <c r="J19"/>
  <c r="J9" i="26"/>
  <c r="K24" i="5"/>
  <c r="M24" s="1"/>
  <c r="K44"/>
  <c r="M44" s="1"/>
  <c r="N44" s="1"/>
  <c r="K41"/>
  <c r="M41" s="1"/>
  <c r="N41" s="1"/>
  <c r="K39"/>
  <c r="M39" s="1"/>
  <c r="N39" s="1"/>
  <c r="K38"/>
  <c r="M38"/>
  <c r="N38" s="1"/>
  <c r="S37"/>
  <c r="AA36"/>
  <c r="K36"/>
  <c r="M36" s="1"/>
  <c r="N36" s="1"/>
  <c r="X35"/>
  <c r="V35"/>
  <c r="K35"/>
  <c r="M35" s="1"/>
  <c r="N35" s="1"/>
  <c r="AI34"/>
  <c r="AJ32"/>
  <c r="AH32"/>
  <c r="AF32"/>
  <c r="AD32"/>
  <c r="AB32"/>
  <c r="Z32"/>
  <c r="X32"/>
  <c r="V32"/>
  <c r="T32"/>
  <c r="S32"/>
  <c r="AK32"/>
  <c r="AI32"/>
  <c r="AG32"/>
  <c r="AE32"/>
  <c r="AC32"/>
  <c r="AA32"/>
  <c r="Y32"/>
  <c r="W32"/>
  <c r="U32"/>
  <c r="AJ30"/>
  <c r="AH30"/>
  <c r="AG30" i="22"/>
  <c r="AF30" i="5"/>
  <c r="AE30" i="22"/>
  <c r="AD30" i="5"/>
  <c r="AB30"/>
  <c r="AA30" i="22" s="1"/>
  <c r="Z30" i="5"/>
  <c r="X30"/>
  <c r="V30"/>
  <c r="T30"/>
  <c r="S30"/>
  <c r="AK30"/>
  <c r="AI30"/>
  <c r="AG30"/>
  <c r="AF30" i="22" s="1"/>
  <c r="AE30" i="5"/>
  <c r="AC30"/>
  <c r="AA30"/>
  <c r="Z30" i="22" s="1"/>
  <c r="Y30" i="5"/>
  <c r="U30"/>
  <c r="H40" i="16" s="1"/>
  <c r="W30" i="5"/>
  <c r="AJ28"/>
  <c r="AI28" i="22"/>
  <c r="AH28" i="5"/>
  <c r="AG28" i="22"/>
  <c r="AF28" i="5"/>
  <c r="AE28" i="22"/>
  <c r="AD28" i="5"/>
  <c r="AB28"/>
  <c r="AA28" i="22" s="1"/>
  <c r="Z28" i="5"/>
  <c r="Y28" i="22" s="1"/>
  <c r="X28" i="5"/>
  <c r="W28" i="22" s="1"/>
  <c r="V28" i="5"/>
  <c r="T28"/>
  <c r="S28" i="22" s="1"/>
  <c r="S28" i="5"/>
  <c r="AK28"/>
  <c r="AJ28" i="22" s="1"/>
  <c r="AI28" i="5"/>
  <c r="AH28" i="22" s="1"/>
  <c r="AG28" i="5"/>
  <c r="AF28" i="22" s="1"/>
  <c r="AE28" i="5"/>
  <c r="AD28" i="22" s="1"/>
  <c r="AC28" i="5"/>
  <c r="AB28" i="22" s="1"/>
  <c r="AA28" i="5"/>
  <c r="Y28"/>
  <c r="W28"/>
  <c r="V28" i="22" s="1"/>
  <c r="U28" i="5"/>
  <c r="T28" i="22" s="1"/>
  <c r="AJ25" i="5"/>
  <c r="AH25"/>
  <c r="AF25"/>
  <c r="AD25"/>
  <c r="AB25"/>
  <c r="Z25"/>
  <c r="X25"/>
  <c r="V25"/>
  <c r="T25"/>
  <c r="S25"/>
  <c r="AK25"/>
  <c r="AI25"/>
  <c r="AG25"/>
  <c r="AE25"/>
  <c r="AC25"/>
  <c r="AA25"/>
  <c r="Y25"/>
  <c r="W25"/>
  <c r="U25"/>
  <c r="AJ23"/>
  <c r="AH23"/>
  <c r="AF23"/>
  <c r="AD23"/>
  <c r="AB23"/>
  <c r="Z23"/>
  <c r="X23"/>
  <c r="V23"/>
  <c r="T23"/>
  <c r="S23"/>
  <c r="AK23"/>
  <c r="AI23"/>
  <c r="AG23"/>
  <c r="AE23"/>
  <c r="AC23"/>
  <c r="AA23"/>
  <c r="Y23"/>
  <c r="W23"/>
  <c r="U23"/>
  <c r="AJ20"/>
  <c r="AH20"/>
  <c r="AF20"/>
  <c r="AD20"/>
  <c r="AB20"/>
  <c r="Z20"/>
  <c r="X20"/>
  <c r="V20"/>
  <c r="T20"/>
  <c r="S20"/>
  <c r="AI20"/>
  <c r="AG20"/>
  <c r="AE20"/>
  <c r="AC20"/>
  <c r="AA20"/>
  <c r="Y20"/>
  <c r="W20"/>
  <c r="U20"/>
  <c r="AJ15"/>
  <c r="AI15" i="22" s="1"/>
  <c r="AH15" i="5"/>
  <c r="AG15" i="22" s="1"/>
  <c r="AF15" i="5"/>
  <c r="AD15"/>
  <c r="AC15" i="22"/>
  <c r="AB15" i="5"/>
  <c r="AA15" i="22"/>
  <c r="Z15" i="5"/>
  <c r="Y15" i="22"/>
  <c r="X15" i="5"/>
  <c r="W15" i="22"/>
  <c r="V15" i="5"/>
  <c r="T15"/>
  <c r="S15" i="22" s="1"/>
  <c r="S15" i="5"/>
  <c r="AJ15" i="22"/>
  <c r="AI15" i="5"/>
  <c r="AH15" i="22" s="1"/>
  <c r="AG15" i="5"/>
  <c r="AF15" i="22" s="1"/>
  <c r="AE15" i="5"/>
  <c r="AD15" i="22" s="1"/>
  <c r="AC15" i="5"/>
  <c r="AB15" i="22" s="1"/>
  <c r="AA15" i="5"/>
  <c r="Z15" i="22" s="1"/>
  <c r="Y15" i="5"/>
  <c r="W15"/>
  <c r="V15" i="22"/>
  <c r="U15" i="5"/>
  <c r="T15" i="22"/>
  <c r="AJ11" i="5"/>
  <c r="AH11"/>
  <c r="AF11"/>
  <c r="AD11"/>
  <c r="AC11" i="22" s="1"/>
  <c r="AB11" i="5"/>
  <c r="AA11" i="22" s="1"/>
  <c r="Z11" i="5"/>
  <c r="Y11" i="22" s="1"/>
  <c r="X11" i="5"/>
  <c r="V11"/>
  <c r="T11"/>
  <c r="S11"/>
  <c r="AI11"/>
  <c r="AG11"/>
  <c r="AE11"/>
  <c r="AD11" i="22" s="1"/>
  <c r="AC11" i="5"/>
  <c r="AA11"/>
  <c r="Y11"/>
  <c r="W11"/>
  <c r="V11" i="22"/>
  <c r="U11" i="5"/>
  <c r="AJ9"/>
  <c r="AI9" i="22" s="1"/>
  <c r="AH9" i="5"/>
  <c r="AF9"/>
  <c r="AE9" i="22" s="1"/>
  <c r="AD9" i="5"/>
  <c r="AB9"/>
  <c r="Z9"/>
  <c r="X9"/>
  <c r="W9" i="22" s="1"/>
  <c r="V9" i="5"/>
  <c r="S9"/>
  <c r="AI9"/>
  <c r="AG9"/>
  <c r="AF9" i="22"/>
  <c r="AE9" i="5"/>
  <c r="AD9" i="22"/>
  <c r="AC9" i="5"/>
  <c r="AA9"/>
  <c r="Z9" i="22" s="1"/>
  <c r="Y9" i="5"/>
  <c r="W9"/>
  <c r="V9" i="22" s="1"/>
  <c r="U9" i="5"/>
  <c r="AI10" i="22"/>
  <c r="V10"/>
  <c r="Z27"/>
  <c r="AC28"/>
  <c r="K43" i="5"/>
  <c r="M43" s="1"/>
  <c r="N43" s="1"/>
  <c r="K42"/>
  <c r="M42"/>
  <c r="N42" s="1"/>
  <c r="K40"/>
  <c r="M40" s="1"/>
  <c r="N40" s="1"/>
  <c r="J39"/>
  <c r="K37"/>
  <c r="M37" s="1"/>
  <c r="N37" s="1"/>
  <c r="K34"/>
  <c r="M34"/>
  <c r="N34" s="1"/>
  <c r="T11" i="2"/>
  <c r="R11"/>
  <c r="P11"/>
  <c r="N11"/>
  <c r="L11"/>
  <c r="J11"/>
  <c r="F3" i="20" s="1"/>
  <c r="H11" i="2"/>
  <c r="F11"/>
  <c r="D11"/>
  <c r="D3" i="20" s="1"/>
  <c r="C11" i="2"/>
  <c r="C3" i="20" s="1"/>
  <c r="S11" i="2"/>
  <c r="Q11"/>
  <c r="O11"/>
  <c r="M11"/>
  <c r="K11"/>
  <c r="G3" i="20" s="1"/>
  <c r="N3" i="21" s="1"/>
  <c r="I11" i="2"/>
  <c r="G11"/>
  <c r="S42" i="5"/>
  <c r="S38"/>
  <c r="T37"/>
  <c r="W36"/>
  <c r="S44"/>
  <c r="S40"/>
  <c r="S36"/>
  <c r="S34"/>
  <c r="AE34"/>
  <c r="AA34"/>
  <c r="W34"/>
  <c r="AJ44"/>
  <c r="AH44"/>
  <c r="AF44"/>
  <c r="AD44"/>
  <c r="AB44"/>
  <c r="Z44"/>
  <c r="X44"/>
  <c r="V44"/>
  <c r="T44"/>
  <c r="AJ42"/>
  <c r="AH42"/>
  <c r="AF42"/>
  <c r="AD42"/>
  <c r="AB42"/>
  <c r="Z42"/>
  <c r="X42"/>
  <c r="V42"/>
  <c r="T42"/>
  <c r="AJ40"/>
  <c r="AH40"/>
  <c r="AF40"/>
  <c r="AD40"/>
  <c r="AB40"/>
  <c r="Z40"/>
  <c r="X40"/>
  <c r="V40"/>
  <c r="T40"/>
  <c r="AJ38"/>
  <c r="AH38"/>
  <c r="AF38"/>
  <c r="AD38"/>
  <c r="AB38"/>
  <c r="Z38"/>
  <c r="X38"/>
  <c r="V38"/>
  <c r="T38"/>
  <c r="AJ36"/>
  <c r="AH36"/>
  <c r="AF36"/>
  <c r="AD36"/>
  <c r="AB36"/>
  <c r="Z36"/>
  <c r="X36"/>
  <c r="V36"/>
  <c r="T36"/>
  <c r="AJ34"/>
  <c r="AH34"/>
  <c r="AF34"/>
  <c r="AD34"/>
  <c r="AB34"/>
  <c r="Z34"/>
  <c r="X34"/>
  <c r="V34"/>
  <c r="T34"/>
  <c r="J18"/>
  <c r="J25" i="29"/>
  <c r="J29" i="5"/>
  <c r="J28" i="22"/>
  <c r="T9" i="2"/>
  <c r="R9"/>
  <c r="P9"/>
  <c r="F31" i="13" s="1"/>
  <c r="N9" i="2"/>
  <c r="F29" i="13" s="1"/>
  <c r="L9" i="2"/>
  <c r="F27" i="13" s="1"/>
  <c r="J9" i="2"/>
  <c r="H9"/>
  <c r="F9"/>
  <c r="D9"/>
  <c r="D2" i="20" s="1"/>
  <c r="C9" i="2"/>
  <c r="S9"/>
  <c r="Q9"/>
  <c r="O9"/>
  <c r="M9"/>
  <c r="K9"/>
  <c r="I9"/>
  <c r="G9"/>
  <c r="Y23" i="22"/>
  <c r="V23"/>
  <c r="AH23"/>
  <c r="W23"/>
  <c r="AE23"/>
  <c r="AI23"/>
  <c r="T23"/>
  <c r="H33" i="16"/>
  <c r="U19" i="22"/>
  <c r="X19"/>
  <c r="AA19"/>
  <c r="AI19"/>
  <c r="Z19"/>
  <c r="W19"/>
  <c r="AH19"/>
  <c r="AE19"/>
  <c r="AF19"/>
  <c r="V19"/>
  <c r="AB19"/>
  <c r="Y19"/>
  <c r="AD19"/>
  <c r="AG19"/>
  <c r="T14"/>
  <c r="AB14"/>
  <c r="W14"/>
  <c r="AC14"/>
  <c r="H24" i="16"/>
  <c r="AG14" i="22"/>
  <c r="V14"/>
  <c r="AA14"/>
  <c r="Z14"/>
  <c r="AF14"/>
  <c r="AI14"/>
  <c r="AJ14"/>
  <c r="AE14"/>
  <c r="Y12"/>
  <c r="AG12"/>
  <c r="S12"/>
  <c r="AF12"/>
  <c r="AJ12"/>
  <c r="W12"/>
  <c r="Z12"/>
  <c r="AI12"/>
  <c r="F22" i="16"/>
  <c r="T12" i="22"/>
  <c r="AA12"/>
  <c r="AD12"/>
  <c r="K67" i="16"/>
  <c r="F67"/>
  <c r="H67"/>
  <c r="M30" i="19" s="1"/>
  <c r="I67" i="16"/>
  <c r="O30" i="19" s="1"/>
  <c r="S19" i="22"/>
  <c r="W24"/>
  <c r="AE24"/>
  <c r="AI24"/>
  <c r="Z24"/>
  <c r="AH24"/>
  <c r="S24"/>
  <c r="AG24"/>
  <c r="F34" i="16"/>
  <c r="I34"/>
  <c r="Y20" i="22"/>
  <c r="T20"/>
  <c r="AB20"/>
  <c r="AD20"/>
  <c r="V20"/>
  <c r="AE20"/>
  <c r="F30" i="16"/>
  <c r="AC20" i="22"/>
  <c r="H30" i="16"/>
  <c r="AG20" i="22"/>
  <c r="AA20"/>
  <c r="Z20"/>
  <c r="I29" i="16"/>
  <c r="F29"/>
  <c r="E26" i="23" s="1"/>
  <c r="H29" i="16"/>
  <c r="X14" i="22"/>
  <c r="AF23"/>
  <c r="S23"/>
  <c r="T11"/>
  <c r="W11"/>
  <c r="AC27"/>
  <c r="T29"/>
  <c r="AE11"/>
  <c r="S9"/>
  <c r="X30"/>
  <c r="U30"/>
  <c r="AI29"/>
  <c r="AB29"/>
  <c r="AC23"/>
  <c r="AB23"/>
  <c r="AA9"/>
  <c r="S14"/>
  <c r="Y14"/>
  <c r="AD14"/>
  <c r="S20"/>
  <c r="Y29"/>
  <c r="S29"/>
  <c r="AH30"/>
  <c r="K25" i="5"/>
  <c r="M25" s="1"/>
  <c r="N25" s="1"/>
  <c r="M21" i="22"/>
  <c r="P21" s="1"/>
  <c r="M30"/>
  <c r="P30" s="1"/>
  <c r="G5" i="12"/>
  <c r="M13" i="22"/>
  <c r="P13" s="1"/>
  <c r="M8"/>
  <c r="P8" s="1"/>
  <c r="K69" i="16"/>
  <c r="I69"/>
  <c r="O32" i="19"/>
  <c r="F69" i="16"/>
  <c r="H69"/>
  <c r="M32" i="19" s="1"/>
  <c r="M11" i="22"/>
  <c r="P11" s="1"/>
  <c r="M19"/>
  <c r="P19" s="1"/>
  <c r="M28"/>
  <c r="P28" s="1"/>
  <c r="M24"/>
  <c r="P24" s="1"/>
  <c r="M18"/>
  <c r="P18" s="1"/>
  <c r="M14"/>
  <c r="P14" s="1"/>
  <c r="M10"/>
  <c r="P10" s="1"/>
  <c r="M26"/>
  <c r="P26" s="1"/>
  <c r="M22"/>
  <c r="P22" s="1"/>
  <c r="M29"/>
  <c r="P29" s="1"/>
  <c r="M27"/>
  <c r="P27" s="1"/>
  <c r="M20"/>
  <c r="P20" s="1"/>
  <c r="M16"/>
  <c r="P16" s="1"/>
  <c r="M12"/>
  <c r="P12" s="1"/>
  <c r="AH14"/>
  <c r="AD23"/>
  <c r="U15"/>
  <c r="AG9"/>
  <c r="AC24"/>
  <c r="Y24"/>
  <c r="AJ24"/>
  <c r="AJ23"/>
  <c r="Z28"/>
  <c r="AI11"/>
  <c r="AE15"/>
  <c r="Z23"/>
  <c r="AC10"/>
  <c r="B42" i="16"/>
  <c r="AF20" i="22"/>
  <c r="AI20"/>
  <c r="X20"/>
  <c r="W20"/>
  <c r="AA24"/>
  <c r="AJ27"/>
  <c r="S27"/>
  <c r="Y27"/>
  <c r="AD29"/>
  <c r="Z29"/>
  <c r="AJ29"/>
  <c r="X29"/>
  <c r="S30"/>
  <c r="AI30"/>
  <c r="W30"/>
  <c r="AC30"/>
  <c r="AJ30"/>
  <c r="AB30"/>
  <c r="Y30"/>
  <c r="AD30"/>
  <c r="F19" i="16"/>
  <c r="E15" i="17" s="1"/>
  <c r="F21" i="16"/>
  <c r="H71"/>
  <c r="U10" i="22"/>
  <c r="AB9"/>
  <c r="D29" i="17"/>
  <c r="M23" i="22"/>
  <c r="P23" s="1"/>
  <c r="Z11"/>
  <c r="AB11"/>
  <c r="S11"/>
  <c r="AF11"/>
  <c r="AH11"/>
  <c r="AJ11"/>
  <c r="AG11"/>
  <c r="Y10"/>
  <c r="AB10"/>
  <c r="AJ10"/>
  <c r="W10"/>
  <c r="F62" i="16"/>
  <c r="I25" i="19" s="1"/>
  <c r="K62" i="16"/>
  <c r="AF10" i="22"/>
  <c r="T9"/>
  <c r="K23" i="23"/>
  <c r="F20" i="16"/>
  <c r="E17" i="23" s="1"/>
  <c r="F39" i="16"/>
  <c r="F25"/>
  <c r="E22" i="23" s="1"/>
  <c r="F40" i="16"/>
  <c r="E37" i="23" s="1"/>
  <c r="F37" i="16"/>
  <c r="E34" i="23" s="1"/>
  <c r="AB24" i="22"/>
  <c r="I37" i="16"/>
  <c r="I25"/>
  <c r="I40"/>
  <c r="I20"/>
  <c r="I39"/>
  <c r="H25"/>
  <c r="X15" i="22"/>
  <c r="H38" i="16"/>
  <c r="X28" i="22"/>
  <c r="AE25"/>
  <c r="W25"/>
  <c r="AJ25"/>
  <c r="AB25"/>
  <c r="T25"/>
  <c r="Z25"/>
  <c r="Y25"/>
  <c r="AD25"/>
  <c r="AI25"/>
  <c r="AA25"/>
  <c r="S25"/>
  <c r="AF25"/>
  <c r="AC25"/>
  <c r="AH25"/>
  <c r="AG25"/>
  <c r="V25"/>
  <c r="E16" i="17"/>
  <c r="I22" i="16"/>
  <c r="U12" i="22"/>
  <c r="AH27"/>
  <c r="V29"/>
  <c r="AG29"/>
  <c r="U9"/>
  <c r="I19" i="16"/>
  <c r="U20" i="22"/>
  <c r="I30" i="16"/>
  <c r="F38"/>
  <c r="I38"/>
  <c r="U28" i="22"/>
  <c r="X10"/>
  <c r="H20" i="16"/>
  <c r="H22"/>
  <c r="X12" i="22"/>
  <c r="AF27"/>
  <c r="W27"/>
  <c r="AA29"/>
  <c r="F3" i="13"/>
  <c r="G2" i="20"/>
  <c r="F2" i="13"/>
  <c r="F2" i="20"/>
  <c r="G5" i="30"/>
  <c r="G5" i="32"/>
  <c r="G3" i="12"/>
  <c r="G3" i="30"/>
  <c r="G3" i="32"/>
  <c r="C2" i="20"/>
  <c r="G6" i="32"/>
  <c r="G7" s="1"/>
  <c r="G6" i="12"/>
  <c r="G7" s="1"/>
  <c r="G6" i="30"/>
  <c r="G7" s="1"/>
  <c r="H19" i="16"/>
  <c r="X9" i="22"/>
  <c r="E25" i="17"/>
  <c r="E30"/>
  <c r="E31" i="23"/>
  <c r="F35" i="16"/>
  <c r="E32" i="23" s="1"/>
  <c r="X25" i="22"/>
  <c r="H35" i="16"/>
  <c r="U14" i="22"/>
  <c r="I24" i="16"/>
  <c r="F33"/>
  <c r="E30" i="23" s="1"/>
  <c r="T19" i="22"/>
  <c r="E26" i="17"/>
  <c r="E27" i="23"/>
  <c r="X24" i="22"/>
  <c r="H34" i="16"/>
  <c r="U25" i="22"/>
  <c r="I35" i="16"/>
  <c r="I30" i="19"/>
  <c r="L67" i="16"/>
  <c r="E18" i="17"/>
  <c r="E19" i="23"/>
  <c r="F24" i="16"/>
  <c r="E21" i="23" s="1"/>
  <c r="I33" i="16"/>
  <c r="U23" i="22"/>
  <c r="AJ19"/>
  <c r="AC19"/>
  <c r="F42" i="16"/>
  <c r="E36" i="17" s="1"/>
  <c r="H42" i="16"/>
  <c r="I42"/>
  <c r="F36" i="17"/>
  <c r="I32" i="19"/>
  <c r="L69" i="16"/>
  <c r="K65"/>
  <c r="L62"/>
  <c r="AG10" i="22"/>
  <c r="X23"/>
  <c r="E18" i="23"/>
  <c r="E17" i="17"/>
  <c r="E16" i="23"/>
  <c r="AE29" i="22"/>
  <c r="U29"/>
  <c r="V24"/>
  <c r="AD24"/>
  <c r="Y9"/>
  <c r="AJ20"/>
  <c r="AB27"/>
  <c r="AI27"/>
  <c r="AG23"/>
  <c r="I21" i="16"/>
  <c r="U11" i="22"/>
  <c r="X11"/>
  <c r="H21" i="16"/>
  <c r="V30" i="22"/>
  <c r="W29"/>
  <c r="AC29"/>
  <c r="X27"/>
  <c r="T24"/>
  <c r="U24"/>
  <c r="AF24"/>
  <c r="AC9"/>
  <c r="AJ9"/>
  <c r="AH9"/>
  <c r="T30"/>
  <c r="AH20"/>
  <c r="AA23"/>
  <c r="E33" i="17"/>
  <c r="E36" i="23"/>
  <c r="E35" i="17"/>
  <c r="E35" i="23"/>
  <c r="E34" i="17"/>
  <c r="E2" i="21"/>
  <c r="B8" i="20"/>
  <c r="E3" i="21"/>
  <c r="E20" i="17"/>
  <c r="E31"/>
  <c r="AJ2" i="16"/>
  <c r="I10"/>
  <c r="I11"/>
  <c r="I9"/>
  <c r="I7"/>
  <c r="D31" i="23"/>
  <c r="D30" i="17"/>
  <c r="K63" i="16"/>
  <c r="L63" s="1"/>
  <c r="I63"/>
  <c r="O26" i="19" s="1"/>
  <c r="M11" i="29"/>
  <c r="P11" s="1"/>
  <c r="M24"/>
  <c r="P24" s="1"/>
  <c r="M25"/>
  <c r="P25" s="1"/>
  <c r="K8" i="19"/>
  <c r="G16" i="16"/>
  <c r="F71"/>
  <c r="K71"/>
  <c r="L71"/>
  <c r="I71"/>
  <c r="M25" i="22"/>
  <c r="P25" s="1"/>
  <c r="M10" i="29"/>
  <c r="P10" s="1"/>
  <c r="M12"/>
  <c r="P12" s="1"/>
  <c r="H66" i="16"/>
  <c r="M29" i="19" s="1"/>
  <c r="H63" i="16"/>
  <c r="M26" i="19" s="1"/>
  <c r="C44" i="20"/>
  <c r="W38" i="5"/>
  <c r="U37"/>
  <c r="S39"/>
  <c r="Z37"/>
  <c r="AE36"/>
  <c r="U35"/>
  <c r="G31" i="16"/>
  <c r="G33"/>
  <c r="F18" i="1"/>
  <c r="F19"/>
  <c r="D23" i="32" s="1"/>
  <c r="DC23" s="1"/>
  <c r="F11" i="1"/>
  <c r="D15" i="30" s="1"/>
  <c r="F15" i="1"/>
  <c r="F21"/>
  <c r="D25" i="12" s="1"/>
  <c r="F17" i="1"/>
  <c r="D21" i="32" s="1"/>
  <c r="F13" i="1"/>
  <c r="D17" i="12" s="1"/>
  <c r="F23" i="1"/>
  <c r="D27" i="30" s="1"/>
  <c r="F12" i="1"/>
  <c r="F6"/>
  <c r="D10" i="30" s="1"/>
  <c r="F16" i="1"/>
  <c r="F9"/>
  <c r="D13" i="32" s="1"/>
  <c r="DC13" s="1"/>
  <c r="O13" i="20"/>
  <c r="D17" i="30"/>
  <c r="D13" i="12"/>
  <c r="AD2" i="16"/>
  <c r="G61"/>
  <c r="K24" i="19" s="1"/>
  <c r="F10" i="1"/>
  <c r="G13" i="20" s="1"/>
  <c r="M13"/>
  <c r="R13"/>
  <c r="X2" i="16"/>
  <c r="G26"/>
  <c r="D38" i="20"/>
  <c r="R2" i="16"/>
  <c r="G52"/>
  <c r="K15" i="19" s="1"/>
  <c r="G23" i="16"/>
  <c r="L2"/>
  <c r="G18"/>
  <c r="F2"/>
  <c r="G46"/>
  <c r="K9" i="19" s="1"/>
  <c r="G4" i="30"/>
  <c r="G4" i="12"/>
  <c r="G4" i="32"/>
  <c r="R42" i="16"/>
  <c r="K39" i="23" s="1"/>
  <c r="R40" i="16"/>
  <c r="K37" i="23" s="1"/>
  <c r="R38" i="16"/>
  <c r="R30"/>
  <c r="R24"/>
  <c r="R20"/>
  <c r="E21" i="17"/>
  <c r="R39" i="16"/>
  <c r="R35"/>
  <c r="R31"/>
  <c r="R27"/>
  <c r="DS13" i="32"/>
  <c r="DS23"/>
  <c r="DC21"/>
  <c r="CM13"/>
  <c r="CM23"/>
  <c r="BW13"/>
  <c r="BW23"/>
  <c r="BG13"/>
  <c r="BG23"/>
  <c r="BG21"/>
  <c r="BV13" i="12"/>
  <c r="DO13"/>
  <c r="D19"/>
  <c r="BV19" s="1"/>
  <c r="G13"/>
  <c r="H17" i="30"/>
  <c r="D15" i="12"/>
  <c r="J15" s="1"/>
  <c r="D19" i="32"/>
  <c r="D25"/>
  <c r="AA25" s="1"/>
  <c r="D15"/>
  <c r="C13" i="20"/>
  <c r="C15" s="1"/>
  <c r="D17" i="32"/>
  <c r="DM15" i="30"/>
  <c r="DM17"/>
  <c r="DM27"/>
  <c r="J13" i="20"/>
  <c r="D25" i="30"/>
  <c r="D13"/>
  <c r="F22" i="1"/>
  <c r="D26" i="30" s="1"/>
  <c r="AQ23" i="32"/>
  <c r="H25"/>
  <c r="J27" i="30"/>
  <c r="J13"/>
  <c r="H21" i="32"/>
  <c r="AA21"/>
  <c r="D20"/>
  <c r="D16" i="12"/>
  <c r="CZ16" s="1"/>
  <c r="D16" i="30"/>
  <c r="D27" i="32"/>
  <c r="D21" i="12"/>
  <c r="D21" i="30"/>
  <c r="D11" i="12"/>
  <c r="D11" i="30"/>
  <c r="D22" i="12"/>
  <c r="D22" i="32"/>
  <c r="F14" i="1"/>
  <c r="H13" i="12"/>
  <c r="J13"/>
  <c r="CK13"/>
  <c r="I13"/>
  <c r="BG13"/>
  <c r="AR13"/>
  <c r="CZ19"/>
  <c r="P13" i="20"/>
  <c r="P15" s="1"/>
  <c r="P18" s="1"/>
  <c r="D23" i="12"/>
  <c r="D23" i="30"/>
  <c r="AA23" i="32"/>
  <c r="AQ21"/>
  <c r="D22" i="30"/>
  <c r="D11" i="32"/>
  <c r="D20" i="12"/>
  <c r="D27"/>
  <c r="S37" i="20"/>
  <c r="S38"/>
  <c r="O15"/>
  <c r="O18" s="1"/>
  <c r="C37"/>
  <c r="C38"/>
  <c r="G15" i="23"/>
  <c r="G14" i="17"/>
  <c r="D3" i="23"/>
  <c r="D3" i="17"/>
  <c r="F16" i="16"/>
  <c r="I8" i="19"/>
  <c r="K36" i="23"/>
  <c r="K24"/>
  <c r="K21"/>
  <c r="K38" i="16"/>
  <c r="K29"/>
  <c r="K25"/>
  <c r="K33"/>
  <c r="K28"/>
  <c r="K28" i="23"/>
  <c r="K17"/>
  <c r="K27"/>
  <c r="K30" i="16"/>
  <c r="K31"/>
  <c r="K27"/>
  <c r="K35" i="23"/>
  <c r="K24" i="16"/>
  <c r="K35"/>
  <c r="K40"/>
  <c r="K39"/>
  <c r="K37"/>
  <c r="K34"/>
  <c r="K19"/>
  <c r="K20"/>
  <c r="K32" i="23"/>
  <c r="K22" i="16"/>
  <c r="K21"/>
  <c r="K42"/>
  <c r="I13" i="20"/>
  <c r="I15" s="1"/>
  <c r="C45"/>
  <c r="K13"/>
  <c r="K15" s="1"/>
  <c r="J15" i="30"/>
  <c r="D16" i="32"/>
  <c r="R37" i="20"/>
  <c r="N37"/>
  <c r="J15"/>
  <c r="J18" s="1"/>
  <c r="J37"/>
  <c r="J38"/>
  <c r="F37"/>
  <c r="T37"/>
  <c r="AQ13" i="32"/>
  <c r="H13"/>
  <c r="AA13"/>
  <c r="DO25" i="12"/>
  <c r="J25"/>
  <c r="CK25"/>
  <c r="I25"/>
  <c r="G25"/>
  <c r="AC25"/>
  <c r="H25"/>
  <c r="CZ25"/>
  <c r="BV25"/>
  <c r="BG25"/>
  <c r="AR25"/>
  <c r="Q37" i="20"/>
  <c r="Q38"/>
  <c r="M37"/>
  <c r="I38"/>
  <c r="I37"/>
  <c r="E37"/>
  <c r="E38"/>
  <c r="D20" i="30"/>
  <c r="J13" i="32"/>
  <c r="H15" i="30"/>
  <c r="H23" i="32"/>
  <c r="J21"/>
  <c r="H15"/>
  <c r="H27" i="30"/>
  <c r="I15" i="12"/>
  <c r="DO15"/>
  <c r="J15" i="32"/>
  <c r="J19"/>
  <c r="J17" i="30"/>
  <c r="CK16" i="12"/>
  <c r="G16"/>
  <c r="AQ15" i="32"/>
  <c r="AR19" i="12"/>
  <c r="I19"/>
  <c r="CK19"/>
  <c r="AA15" i="32"/>
  <c r="DS11"/>
  <c r="DS27"/>
  <c r="DS17"/>
  <c r="DS15"/>
  <c r="DS19"/>
  <c r="DS16"/>
  <c r="DS22"/>
  <c r="DS20"/>
  <c r="DS25"/>
  <c r="DC11"/>
  <c r="DC27"/>
  <c r="DC17"/>
  <c r="DC15"/>
  <c r="DC19"/>
  <c r="DC16"/>
  <c r="DC22"/>
  <c r="DC20"/>
  <c r="DC25"/>
  <c r="CM11"/>
  <c r="CM27"/>
  <c r="CM17"/>
  <c r="CM15"/>
  <c r="CM19"/>
  <c r="CM16"/>
  <c r="CM22"/>
  <c r="CM20"/>
  <c r="CM25"/>
  <c r="BW16"/>
  <c r="BW22"/>
  <c r="BW20"/>
  <c r="BW25"/>
  <c r="BW11"/>
  <c r="BW27"/>
  <c r="BW17"/>
  <c r="BW15"/>
  <c r="BW19"/>
  <c r="BG16"/>
  <c r="BG22"/>
  <c r="BG20"/>
  <c r="BG25"/>
  <c r="BG11"/>
  <c r="BG27"/>
  <c r="BG17"/>
  <c r="BG15"/>
  <c r="BG19"/>
  <c r="I16" i="12"/>
  <c r="DO16"/>
  <c r="BG16"/>
  <c r="H19"/>
  <c r="AR16"/>
  <c r="BV16"/>
  <c r="H16"/>
  <c r="AC16"/>
  <c r="J16"/>
  <c r="AQ25" i="32"/>
  <c r="AC15" i="12"/>
  <c r="BG19"/>
  <c r="J19"/>
  <c r="J25" i="32"/>
  <c r="AR15" i="12"/>
  <c r="CK15"/>
  <c r="H15"/>
  <c r="G15"/>
  <c r="BV15"/>
  <c r="BG15"/>
  <c r="CZ15"/>
  <c r="AQ19" i="32"/>
  <c r="H19"/>
  <c r="AA19"/>
  <c r="D26"/>
  <c r="D26" i="12"/>
  <c r="DM11" i="30"/>
  <c r="DM21"/>
  <c r="DM16"/>
  <c r="DM25"/>
  <c r="H17" i="32"/>
  <c r="AA17"/>
  <c r="J17"/>
  <c r="AQ17"/>
  <c r="DM20" i="30"/>
  <c r="DM22"/>
  <c r="DM23"/>
  <c r="DM13"/>
  <c r="C46" i="20"/>
  <c r="H13" i="30"/>
  <c r="H25"/>
  <c r="J25"/>
  <c r="AQ11" i="32"/>
  <c r="J11"/>
  <c r="AA11"/>
  <c r="H11"/>
  <c r="J22" i="30"/>
  <c r="H22"/>
  <c r="DO23" i="12"/>
  <c r="H23"/>
  <c r="G23"/>
  <c r="AR23"/>
  <c r="BV23"/>
  <c r="AC23"/>
  <c r="CK23"/>
  <c r="J23"/>
  <c r="CZ23"/>
  <c r="I23"/>
  <c r="BG23"/>
  <c r="D14"/>
  <c r="D14" i="30"/>
  <c r="D14" i="32"/>
  <c r="AA22"/>
  <c r="AQ22"/>
  <c r="H22"/>
  <c r="J22"/>
  <c r="H11" i="30"/>
  <c r="J11"/>
  <c r="J21"/>
  <c r="H21"/>
  <c r="H16"/>
  <c r="J16"/>
  <c r="H20" i="32"/>
  <c r="AA20"/>
  <c r="AQ20"/>
  <c r="J20"/>
  <c r="CZ26" i="12"/>
  <c r="BG26"/>
  <c r="DO26"/>
  <c r="I26"/>
  <c r="AR26"/>
  <c r="J26"/>
  <c r="H26"/>
  <c r="AC26"/>
  <c r="BV26"/>
  <c r="CK26"/>
  <c r="G26"/>
  <c r="CZ27"/>
  <c r="J27"/>
  <c r="DO27"/>
  <c r="H27"/>
  <c r="AR27"/>
  <c r="AC27"/>
  <c r="I27"/>
  <c r="BV27"/>
  <c r="G27"/>
  <c r="CK27"/>
  <c r="BG27"/>
  <c r="CK20"/>
  <c r="BV20"/>
  <c r="J20"/>
  <c r="CZ20"/>
  <c r="G20"/>
  <c r="BG20"/>
  <c r="H20"/>
  <c r="AC20"/>
  <c r="DO20"/>
  <c r="I20"/>
  <c r="AR20"/>
  <c r="J23" i="30"/>
  <c r="H23"/>
  <c r="D18" i="32"/>
  <c r="D18" i="12"/>
  <c r="D18" i="30"/>
  <c r="CZ22" i="12"/>
  <c r="H22"/>
  <c r="J22"/>
  <c r="BG22"/>
  <c r="I22"/>
  <c r="G22"/>
  <c r="AC22"/>
  <c r="BV22"/>
  <c r="CK22"/>
  <c r="DO22"/>
  <c r="AR22"/>
  <c r="I11"/>
  <c r="DO11"/>
  <c r="AC11"/>
  <c r="CZ11"/>
  <c r="G11"/>
  <c r="CK11"/>
  <c r="J11"/>
  <c r="BG11"/>
  <c r="H11"/>
  <c r="BV11"/>
  <c r="AR11"/>
  <c r="CZ21"/>
  <c r="I21"/>
  <c r="DO21"/>
  <c r="BV21"/>
  <c r="BG21"/>
  <c r="CK21"/>
  <c r="AR21"/>
  <c r="AC21"/>
  <c r="H21"/>
  <c r="J21"/>
  <c r="G21"/>
  <c r="J27" i="32"/>
  <c r="AA27"/>
  <c r="AQ27"/>
  <c r="H27"/>
  <c r="AQ26"/>
  <c r="AA26"/>
  <c r="J26"/>
  <c r="H26"/>
  <c r="G39" i="23"/>
  <c r="O39" s="1"/>
  <c r="L42" i="16"/>
  <c r="G36" i="17" s="1"/>
  <c r="L34" i="16"/>
  <c r="G30" i="17" s="1"/>
  <c r="G31" i="23"/>
  <c r="O31" s="1"/>
  <c r="G36"/>
  <c r="O36" s="1"/>
  <c r="L39" i="16"/>
  <c r="G35" i="17" s="1"/>
  <c r="G32" i="23"/>
  <c r="O32" s="1"/>
  <c r="L35" i="16"/>
  <c r="G31" i="17" s="1"/>
  <c r="L24" i="16"/>
  <c r="G20" i="17" s="1"/>
  <c r="G21" i="23"/>
  <c r="O21" s="1"/>
  <c r="L27" i="16"/>
  <c r="G23" i="17" s="1"/>
  <c r="G24" i="23"/>
  <c r="O24" s="1"/>
  <c r="L28" i="16"/>
  <c r="G24" i="17" s="1"/>
  <c r="G25" i="23"/>
  <c r="O25" s="1"/>
  <c r="G22"/>
  <c r="O22" s="1"/>
  <c r="L25" i="16"/>
  <c r="G21" i="17" s="1"/>
  <c r="G35" i="23"/>
  <c r="O35" s="1"/>
  <c r="L38" i="16"/>
  <c r="G34" i="17" s="1"/>
  <c r="G18" i="23"/>
  <c r="O18" s="1"/>
  <c r="L21" i="16"/>
  <c r="G17" i="17" s="1"/>
  <c r="G19" i="23"/>
  <c r="O19" s="1"/>
  <c r="L22" i="16"/>
  <c r="G18" i="17" s="1"/>
  <c r="G17" i="23"/>
  <c r="O17" s="1"/>
  <c r="L20" i="16"/>
  <c r="G16" i="17" s="1"/>
  <c r="G16" i="23"/>
  <c r="O16" s="1"/>
  <c r="L19" i="16"/>
  <c r="G15" i="17" s="1"/>
  <c r="L37" i="16"/>
  <c r="G33" i="17" s="1"/>
  <c r="G34" i="23"/>
  <c r="O34" s="1"/>
  <c r="L40" i="16"/>
  <c r="G37" i="23"/>
  <c r="O37" s="1"/>
  <c r="G28"/>
  <c r="O28" s="1"/>
  <c r="L31" i="16"/>
  <c r="G27" i="17" s="1"/>
  <c r="G27" i="23"/>
  <c r="O27" s="1"/>
  <c r="L30" i="16"/>
  <c r="G26" i="17" s="1"/>
  <c r="L33" i="16"/>
  <c r="G29" i="17" s="1"/>
  <c r="G30" i="23"/>
  <c r="O30" s="1"/>
  <c r="G26"/>
  <c r="O26" s="1"/>
  <c r="L29" i="16"/>
  <c r="G25" i="17" s="1"/>
  <c r="AA16" i="32"/>
  <c r="AQ16"/>
  <c r="H16"/>
  <c r="J16"/>
  <c r="J20" i="30"/>
  <c r="H20"/>
  <c r="DS26" i="32"/>
  <c r="DS18"/>
  <c r="DS14"/>
  <c r="DC26"/>
  <c r="DC18"/>
  <c r="DC14"/>
  <c r="CM26"/>
  <c r="CM18"/>
  <c r="CM14"/>
  <c r="BW18"/>
  <c r="BW14"/>
  <c r="BW26"/>
  <c r="BG18"/>
  <c r="BG14"/>
  <c r="BG26"/>
  <c r="DM14" i="30"/>
  <c r="DM18"/>
  <c r="DO18" i="12"/>
  <c r="J18"/>
  <c r="CK18"/>
  <c r="I18"/>
  <c r="BV18"/>
  <c r="AC18"/>
  <c r="CZ18"/>
  <c r="H18"/>
  <c r="BG18"/>
  <c r="G18"/>
  <c r="AR18"/>
  <c r="H14" i="30"/>
  <c r="J14"/>
  <c r="J18"/>
  <c r="H18"/>
  <c r="AQ18" i="32"/>
  <c r="AA18"/>
  <c r="H18"/>
  <c r="J18"/>
  <c r="H14"/>
  <c r="AQ14"/>
  <c r="J14"/>
  <c r="AA14"/>
  <c r="G14" i="12"/>
  <c r="I14"/>
  <c r="AC14"/>
  <c r="CZ14"/>
  <c r="DO14"/>
  <c r="CK14"/>
  <c r="J14"/>
  <c r="AR14"/>
  <c r="BG14"/>
  <c r="BV14"/>
  <c r="H14"/>
  <c r="I18" i="20" l="1"/>
  <c r="I16"/>
  <c r="I19" s="1"/>
  <c r="DM10" i="30"/>
  <c r="H10"/>
  <c r="D15" i="20"/>
  <c r="D18" s="1"/>
  <c r="D33" s="1"/>
  <c r="D16"/>
  <c r="D19" s="1"/>
  <c r="N20" i="5"/>
  <c r="N17"/>
  <c r="F64" i="16"/>
  <c r="I64"/>
  <c r="O27" i="19" s="1"/>
  <c r="K64" i="16"/>
  <c r="M15" i="29"/>
  <c r="P15" s="1"/>
  <c r="M14"/>
  <c r="P14" s="1"/>
  <c r="M20"/>
  <c r="P20" s="1"/>
  <c r="M19"/>
  <c r="P19" s="1"/>
  <c r="M17"/>
  <c r="P17" s="1"/>
  <c r="M21"/>
  <c r="P21" s="1"/>
  <c r="M18"/>
  <c r="P18" s="1"/>
  <c r="M28"/>
  <c r="P28" s="1"/>
  <c r="M29"/>
  <c r="P29" s="1"/>
  <c r="M27"/>
  <c r="P27" s="1"/>
  <c r="M30"/>
  <c r="P30" s="1"/>
  <c r="I13" i="16"/>
  <c r="J13"/>
  <c r="R34"/>
  <c r="K31" i="23" s="1"/>
  <c r="R28" i="16"/>
  <c r="K25" i="23" s="1"/>
  <c r="R22" i="16"/>
  <c r="K19" i="23" s="1"/>
  <c r="R19" i="16"/>
  <c r="K16" i="23" s="1"/>
  <c r="R37" i="16"/>
  <c r="K34" i="23" s="1"/>
  <c r="R33" i="16"/>
  <c r="K30" i="23" s="1"/>
  <c r="R29" i="16"/>
  <c r="K26" i="23" s="1"/>
  <c r="R25" i="16"/>
  <c r="K22" i="23" s="1"/>
  <c r="G19" i="12"/>
  <c r="DO19"/>
  <c r="AC19"/>
  <c r="J23" i="32"/>
  <c r="T13" i="20"/>
  <c r="T15" s="1"/>
  <c r="T18" s="1"/>
  <c r="T33" s="1"/>
  <c r="N13"/>
  <c r="N15" s="1"/>
  <c r="N18" s="1"/>
  <c r="N33" s="1"/>
  <c r="N19" i="5"/>
  <c r="N14"/>
  <c r="AC13" i="12"/>
  <c r="CZ13"/>
  <c r="D10" i="32"/>
  <c r="D10" i="12"/>
  <c r="DS21" i="32"/>
  <c r="CM21"/>
  <c r="BW21"/>
  <c r="D19" i="30"/>
  <c r="L13" i="20"/>
  <c r="L15" s="1"/>
  <c r="B9"/>
  <c r="N2" i="21"/>
  <c r="B7" i="20"/>
  <c r="G51" i="16"/>
  <c r="K14" i="19" s="1"/>
  <c r="G56" i="16"/>
  <c r="K19" i="19" s="1"/>
  <c r="G54" i="16"/>
  <c r="K17" i="19" s="1"/>
  <c r="G62" i="16"/>
  <c r="K25" i="19" s="1"/>
  <c r="G68" i="16"/>
  <c r="K31" i="19" s="1"/>
  <c r="G69" i="16"/>
  <c r="K32" i="19" s="1"/>
  <c r="G30" i="16"/>
  <c r="G34"/>
  <c r="G19"/>
  <c r="G42"/>
  <c r="G36"/>
  <c r="G53"/>
  <c r="K16" i="19" s="1"/>
  <c r="G49" i="16"/>
  <c r="K12" i="19" s="1"/>
  <c r="G58" i="16"/>
  <c r="K21" i="19" s="1"/>
  <c r="G71" i="16"/>
  <c r="G22"/>
  <c r="G21"/>
  <c r="G37"/>
  <c r="G28"/>
  <c r="G40"/>
  <c r="G39"/>
  <c r="G24"/>
  <c r="G41"/>
  <c r="G48"/>
  <c r="K11" i="19" s="1"/>
  <c r="G50" i="16"/>
  <c r="K13" i="19" s="1"/>
  <c r="G64" i="16"/>
  <c r="K27" i="19" s="1"/>
  <c r="G60" i="16"/>
  <c r="K23" i="19" s="1"/>
  <c r="G57" i="16"/>
  <c r="K20" i="19" s="1"/>
  <c r="G59" i="16"/>
  <c r="K22" i="19" s="1"/>
  <c r="G63" i="16"/>
  <c r="K26" i="19" s="1"/>
  <c r="G66" i="16"/>
  <c r="K29" i="19" s="1"/>
  <c r="G25" i="16"/>
  <c r="G67"/>
  <c r="K30" i="19" s="1"/>
  <c r="G29" i="16"/>
  <c r="G20"/>
  <c r="G27"/>
  <c r="G38"/>
  <c r="G35"/>
  <c r="G70"/>
  <c r="K33" i="19" s="1"/>
  <c r="G65" i="16"/>
  <c r="K28" i="19" s="1"/>
  <c r="G32" i="16"/>
  <c r="G55"/>
  <c r="K18" i="19" s="1"/>
  <c r="G47" i="16"/>
  <c r="K10" i="19" s="1"/>
  <c r="G17" i="16"/>
  <c r="Q21" i="5"/>
  <c r="H25" i="7"/>
  <c r="F60" i="16"/>
  <c r="K60"/>
  <c r="H60"/>
  <c r="M23" i="19" s="1"/>
  <c r="I60" i="16"/>
  <c r="O23" i="19" s="1"/>
  <c r="F59" i="16"/>
  <c r="K59"/>
  <c r="I59"/>
  <c r="O22" i="19" s="1"/>
  <c r="K58" i="16"/>
  <c r="F58"/>
  <c r="H58"/>
  <c r="M21" i="19" s="1"/>
  <c r="K57" i="16"/>
  <c r="F57"/>
  <c r="F56"/>
  <c r="K56"/>
  <c r="I56"/>
  <c r="O19" i="19" s="1"/>
  <c r="F54" i="16"/>
  <c r="K54"/>
  <c r="H54"/>
  <c r="M17" i="19" s="1"/>
  <c r="K53" i="16"/>
  <c r="F53"/>
  <c r="I53"/>
  <c r="O16" i="19" s="1"/>
  <c r="K51" i="16"/>
  <c r="F51"/>
  <c r="H51"/>
  <c r="M14" i="19" s="1"/>
  <c r="F50" i="16"/>
  <c r="K50"/>
  <c r="I50"/>
  <c r="O13" i="19" s="1"/>
  <c r="K49" i="16"/>
  <c r="F49"/>
  <c r="H49"/>
  <c r="M12" i="19" s="1"/>
  <c r="K48" i="16"/>
  <c r="F48"/>
  <c r="I48"/>
  <c r="O11" i="19" s="1"/>
  <c r="AK5" i="16"/>
  <c r="I12"/>
  <c r="M5"/>
  <c r="I8"/>
  <c r="M16" i="29"/>
  <c r="P16" s="1"/>
  <c r="M22"/>
  <c r="P22" s="1"/>
  <c r="M8"/>
  <c r="P8" s="1"/>
  <c r="K68" i="16"/>
  <c r="H68"/>
  <c r="M31" i="19" s="1"/>
  <c r="F68" i="16"/>
  <c r="N18" i="5"/>
  <c r="M26" i="29"/>
  <c r="P26" s="1"/>
  <c r="J10" i="30"/>
  <c r="R15" i="20"/>
  <c r="R18" s="1"/>
  <c r="R33" s="1"/>
  <c r="M15"/>
  <c r="M18" s="1"/>
  <c r="M33" s="1"/>
  <c r="E39" i="23"/>
  <c r="E29" i="17"/>
  <c r="N24" i="5"/>
  <c r="M17" i="22"/>
  <c r="P17" s="1"/>
  <c r="AK44" i="5"/>
  <c r="M11" i="25"/>
  <c r="M9"/>
  <c r="M15"/>
  <c r="M15" i="26"/>
  <c r="M16" i="25"/>
  <c r="M8"/>
  <c r="M24" i="26"/>
  <c r="K29"/>
  <c r="M29" s="1"/>
  <c r="K27"/>
  <c r="M27" s="1"/>
  <c r="N28" s="1"/>
  <c r="Q28" s="1"/>
  <c r="F20" i="1"/>
  <c r="F8"/>
  <c r="F24"/>
  <c r="I58" i="16"/>
  <c r="O21" i="19" s="1"/>
  <c r="I54" i="16"/>
  <c r="O17" i="19" s="1"/>
  <c r="I49" i="16"/>
  <c r="O12" i="19" s="1"/>
  <c r="I62" i="16"/>
  <c r="O25" i="19" s="1"/>
  <c r="I57" i="16"/>
  <c r="O20" i="19" s="1"/>
  <c r="I51" i="16"/>
  <c r="O14" i="19" s="1"/>
  <c r="H56" i="16"/>
  <c r="M19" i="19" s="1"/>
  <c r="H48" i="16"/>
  <c r="M11" i="19" s="1"/>
  <c r="H50" i="16"/>
  <c r="M13" i="19" s="1"/>
  <c r="H53" i="16"/>
  <c r="M16" i="19" s="1"/>
  <c r="H57" i="16"/>
  <c r="M20" i="19" s="1"/>
  <c r="H59" i="16"/>
  <c r="M22" i="19" s="1"/>
  <c r="I29"/>
  <c r="N30" i="5"/>
  <c r="C20" i="23"/>
  <c r="M15" i="22"/>
  <c r="P15" s="1"/>
  <c r="J28" i="5"/>
  <c r="J27" i="22"/>
  <c r="J12"/>
  <c r="J23" i="25"/>
  <c r="R21" i="16"/>
  <c r="K18" i="23" s="1"/>
  <c r="Y44" i="5"/>
  <c r="U44"/>
  <c r="M12" i="25"/>
  <c r="M10"/>
  <c r="M12" i="26"/>
  <c r="M11"/>
  <c r="M10"/>
  <c r="M9"/>
  <c r="M14" i="25"/>
  <c r="N14" s="1"/>
  <c r="Q14" s="1"/>
  <c r="M14" i="26"/>
  <c r="N14" s="1"/>
  <c r="Q14" s="1"/>
  <c r="M21"/>
  <c r="M20"/>
  <c r="M19"/>
  <c r="M18"/>
  <c r="M17"/>
  <c r="M13" i="25"/>
  <c r="J25"/>
  <c r="AF25" s="1"/>
  <c r="M25"/>
  <c r="M24"/>
  <c r="M23"/>
  <c r="M22"/>
  <c r="N22" s="1"/>
  <c r="Q22" s="1"/>
  <c r="M25" i="26"/>
  <c r="M23"/>
  <c r="J25"/>
  <c r="K30" i="25"/>
  <c r="M30" s="1"/>
  <c r="M29"/>
  <c r="M28"/>
  <c r="K27"/>
  <c r="M27" s="1"/>
  <c r="K30" i="26"/>
  <c r="M30" s="1"/>
  <c r="DN10" i="30"/>
  <c r="DO10" s="1"/>
  <c r="DN14"/>
  <c r="DO14" s="1"/>
  <c r="DN18"/>
  <c r="DO18" s="1"/>
  <c r="DN22"/>
  <c r="DO22" s="1"/>
  <c r="DN26"/>
  <c r="DO26" s="1"/>
  <c r="J17" i="12"/>
  <c r="G17"/>
  <c r="AC17"/>
  <c r="H17"/>
  <c r="I17"/>
  <c r="CZ17"/>
  <c r="BV17"/>
  <c r="BG17"/>
  <c r="DO17"/>
  <c r="CK17"/>
  <c r="AR17"/>
  <c r="P38" i="20"/>
  <c r="P37"/>
  <c r="P33"/>
  <c r="L38"/>
  <c r="L37"/>
  <c r="H38"/>
  <c r="H37"/>
  <c r="J33"/>
  <c r="BW10" i="32"/>
  <c r="BG10"/>
  <c r="AQ10"/>
  <c r="AA10"/>
  <c r="DS10"/>
  <c r="DC10"/>
  <c r="CM10"/>
  <c r="H10"/>
  <c r="J10"/>
  <c r="D24" i="12"/>
  <c r="D24" i="32"/>
  <c r="Q13" i="20"/>
  <c r="Q15" s="1"/>
  <c r="Q18" s="1"/>
  <c r="Q33" s="1"/>
  <c r="D24" i="30"/>
  <c r="O37" i="20"/>
  <c r="O38"/>
  <c r="O33"/>
  <c r="K37"/>
  <c r="K38"/>
  <c r="G37"/>
  <c r="G38"/>
  <c r="J16"/>
  <c r="J19" s="1"/>
  <c r="K18"/>
  <c r="K16"/>
  <c r="K19" s="1"/>
  <c r="DM26" i="30"/>
  <c r="H26"/>
  <c r="J26"/>
  <c r="C18" i="20"/>
  <c r="C16"/>
  <c r="C19" s="1"/>
  <c r="D21"/>
  <c r="D22"/>
  <c r="D34"/>
  <c r="U38"/>
  <c r="U37"/>
  <c r="N9" i="5"/>
  <c r="N10"/>
  <c r="N11"/>
  <c r="N12"/>
  <c r="Q26"/>
  <c r="H8" i="7"/>
  <c r="Q16" i="20"/>
  <c r="Q19" s="1"/>
  <c r="P16"/>
  <c r="P19" s="1"/>
  <c r="O16"/>
  <c r="O19" s="1"/>
  <c r="O21" s="1"/>
  <c r="S13"/>
  <c r="N29" i="5"/>
  <c r="N27"/>
  <c r="N13"/>
  <c r="G15" i="20"/>
  <c r="G18" s="1"/>
  <c r="Q25" i="5"/>
  <c r="H29" i="7"/>
  <c r="Q24" i="5"/>
  <c r="H28" i="7"/>
  <c r="E13" i="20"/>
  <c r="D12" i="32"/>
  <c r="M16" i="20"/>
  <c r="M19" s="1"/>
  <c r="N16"/>
  <c r="N19" s="1"/>
  <c r="R16"/>
  <c r="R19" s="1"/>
  <c r="T16"/>
  <c r="T19" s="1"/>
  <c r="Q32" i="5"/>
  <c r="H36" i="7"/>
  <c r="Q30" i="5"/>
  <c r="H34" i="7"/>
  <c r="N16" i="5"/>
  <c r="N8"/>
  <c r="N33"/>
  <c r="N31"/>
  <c r="N28"/>
  <c r="N23"/>
  <c r="N22"/>
  <c r="P30" i="26"/>
  <c r="P30" i="5"/>
  <c r="G29" i="26"/>
  <c r="G29" i="25"/>
  <c r="G29" i="29"/>
  <c r="O23"/>
  <c r="P23" i="5"/>
  <c r="G22" i="29"/>
  <c r="G22" i="5"/>
  <c r="G22" i="22"/>
  <c r="G18" i="26"/>
  <c r="G18" i="25"/>
  <c r="G18" i="5"/>
  <c r="O13" i="29"/>
  <c r="P13" i="25"/>
  <c r="V12"/>
  <c r="X12"/>
  <c r="Z12"/>
  <c r="AB12"/>
  <c r="AD12"/>
  <c r="AF12"/>
  <c r="AH12"/>
  <c r="AJ12"/>
  <c r="S12"/>
  <c r="T12"/>
  <c r="U12"/>
  <c r="W12"/>
  <c r="Y12"/>
  <c r="AA12"/>
  <c r="AC12"/>
  <c r="AE12"/>
  <c r="AG12"/>
  <c r="AI12"/>
  <c r="AK12"/>
  <c r="O11" i="29"/>
  <c r="P11" i="5"/>
  <c r="V10" i="25"/>
  <c r="X10"/>
  <c r="Z10"/>
  <c r="AB10"/>
  <c r="AD10"/>
  <c r="AF10"/>
  <c r="AH10"/>
  <c r="AJ10"/>
  <c r="S10"/>
  <c r="T10"/>
  <c r="U10"/>
  <c r="W10"/>
  <c r="Y10"/>
  <c r="AA10"/>
  <c r="AC10"/>
  <c r="AE10"/>
  <c r="AG10"/>
  <c r="AI10"/>
  <c r="AK10"/>
  <c r="O9" i="29"/>
  <c r="P9" i="5"/>
  <c r="G8" i="26"/>
  <c r="G8" i="25"/>
  <c r="B36" i="23"/>
  <c r="B35" i="17"/>
  <c r="AK43" i="5"/>
  <c r="S43"/>
  <c r="W43"/>
  <c r="AA43"/>
  <c r="AE43"/>
  <c r="AI43"/>
  <c r="V41"/>
  <c r="Z41"/>
  <c r="AD41"/>
  <c r="AH41"/>
  <c r="S41"/>
  <c r="T41"/>
  <c r="X41"/>
  <c r="AB41"/>
  <c r="AF41"/>
  <c r="AJ41"/>
  <c r="W39"/>
  <c r="AA39"/>
  <c r="AD39"/>
  <c r="AF39"/>
  <c r="AH39"/>
  <c r="AJ39"/>
  <c r="T39"/>
  <c r="U39"/>
  <c r="Y39"/>
  <c r="AC39"/>
  <c r="AE39"/>
  <c r="AG39"/>
  <c r="AI39"/>
  <c r="AK39"/>
  <c r="V37"/>
  <c r="X37"/>
  <c r="AB37"/>
  <c r="AD37"/>
  <c r="AF37"/>
  <c r="AH37"/>
  <c r="AJ37"/>
  <c r="T35"/>
  <c r="W35"/>
  <c r="Z35"/>
  <c r="AB35"/>
  <c r="AD35"/>
  <c r="AF35"/>
  <c r="AH35"/>
  <c r="AJ35"/>
  <c r="AC24" i="12"/>
  <c r="H13" i="20"/>
  <c r="F13"/>
  <c r="H19" i="7"/>
  <c r="D24" i="17"/>
  <c r="M13" i="29"/>
  <c r="P13" s="1"/>
  <c r="T43" i="5"/>
  <c r="U42"/>
  <c r="W40"/>
  <c r="U38"/>
  <c r="AA37"/>
  <c r="AG36"/>
  <c r="S35"/>
  <c r="Y34"/>
  <c r="N11" i="25"/>
  <c r="Q11" s="1"/>
  <c r="N9"/>
  <c r="Q9" s="1"/>
  <c r="G26" i="29"/>
  <c r="G26" i="5"/>
  <c r="G21" i="26"/>
  <c r="G21" i="25"/>
  <c r="G21" i="5"/>
  <c r="G21" i="22"/>
  <c r="G17" i="26"/>
  <c r="G17" i="25"/>
  <c r="G17" i="5"/>
  <c r="O14" i="29"/>
  <c r="P14" i="5"/>
  <c r="G13" i="29"/>
  <c r="G13" i="22"/>
  <c r="V11" i="26"/>
  <c r="X11"/>
  <c r="Z11"/>
  <c r="AB11"/>
  <c r="AD11"/>
  <c r="AF11"/>
  <c r="AH11"/>
  <c r="AJ11"/>
  <c r="S11"/>
  <c r="T11"/>
  <c r="U11"/>
  <c r="W11"/>
  <c r="Y11"/>
  <c r="AA11"/>
  <c r="AC11"/>
  <c r="AE11"/>
  <c r="AG11"/>
  <c r="AI11"/>
  <c r="AK11"/>
  <c r="O10" i="29"/>
  <c r="P10" i="25"/>
  <c r="V9" i="26"/>
  <c r="X9"/>
  <c r="Z9"/>
  <c r="AB9"/>
  <c r="AD9"/>
  <c r="AF9"/>
  <c r="AH9"/>
  <c r="AJ9"/>
  <c r="S9"/>
  <c r="T9"/>
  <c r="U9"/>
  <c r="W9"/>
  <c r="Y9"/>
  <c r="AA9"/>
  <c r="AC9"/>
  <c r="AE9"/>
  <c r="AG9"/>
  <c r="AI9"/>
  <c r="G26" i="30" s="1"/>
  <c r="AK9" i="26"/>
  <c r="W42" i="5"/>
  <c r="Y42"/>
  <c r="AG42"/>
  <c r="U40"/>
  <c r="AA40"/>
  <c r="AI40"/>
  <c r="Y38"/>
  <c r="AC38"/>
  <c r="AK38"/>
  <c r="U36"/>
  <c r="Y36"/>
  <c r="AI36"/>
  <c r="U34"/>
  <c r="AG34"/>
  <c r="N10" i="25"/>
  <c r="Q10" s="1"/>
  <c r="N11" i="26"/>
  <c r="Q11" s="1"/>
  <c r="N10"/>
  <c r="Q10" s="1"/>
  <c r="N9"/>
  <c r="Q9" s="1"/>
  <c r="G30" i="25"/>
  <c r="G30" i="26"/>
  <c r="G28" i="25"/>
  <c r="G28" i="26"/>
  <c r="G27"/>
  <c r="G27" i="25"/>
  <c r="AK25" i="26"/>
  <c r="AJ25"/>
  <c r="AH25"/>
  <c r="AI25"/>
  <c r="AG25"/>
  <c r="AE25"/>
  <c r="AC25"/>
  <c r="AA25"/>
  <c r="AF25"/>
  <c r="AB25"/>
  <c r="Y25"/>
  <c r="W25"/>
  <c r="U25"/>
  <c r="S25"/>
  <c r="AD25"/>
  <c r="Z25"/>
  <c r="X25"/>
  <c r="V25"/>
  <c r="T25"/>
  <c r="G24"/>
  <c r="G24" i="25"/>
  <c r="G23" i="26"/>
  <c r="G23" i="25"/>
  <c r="G20" i="26"/>
  <c r="G20" i="25"/>
  <c r="G19" i="26"/>
  <c r="G19" i="25"/>
  <c r="G15"/>
  <c r="G15" i="26"/>
  <c r="G14"/>
  <c r="G14" i="25"/>
  <c r="AK32" i="26"/>
  <c r="AK31" s="1"/>
  <c r="AI32"/>
  <c r="AI31" s="1"/>
  <c r="DL26" i="30" s="1"/>
  <c r="DP26" s="1"/>
  <c r="AG32" i="26"/>
  <c r="AG31" s="1"/>
  <c r="DL24" i="30" s="1"/>
  <c r="DP24" s="1"/>
  <c r="AE32" i="26"/>
  <c r="AE31" s="1"/>
  <c r="DL22" i="30" s="1"/>
  <c r="DP22" s="1"/>
  <c r="AC32" i="26"/>
  <c r="AC31" s="1"/>
  <c r="DL20" i="30" s="1"/>
  <c r="DP20" s="1"/>
  <c r="AA32" i="26"/>
  <c r="AA31" s="1"/>
  <c r="DL18" i="30" s="1"/>
  <c r="DP18" s="1"/>
  <c r="Y32" i="26"/>
  <c r="Y31" s="1"/>
  <c r="DL16" i="30" s="1"/>
  <c r="DP16" s="1"/>
  <c r="W32" i="26"/>
  <c r="W31" s="1"/>
  <c r="DL14" i="30" s="1"/>
  <c r="DP14" s="1"/>
  <c r="U32" i="26"/>
  <c r="U31" s="1"/>
  <c r="S32"/>
  <c r="S31" s="1"/>
  <c r="DL10" i="30" s="1"/>
  <c r="DP10" s="1"/>
  <c r="AJ32" i="26"/>
  <c r="AH32"/>
  <c r="AH31" s="1"/>
  <c r="DL25" i="30" s="1"/>
  <c r="DP25" s="1"/>
  <c r="AF32" i="26"/>
  <c r="AF31" s="1"/>
  <c r="DL23" i="30" s="1"/>
  <c r="DP23" s="1"/>
  <c r="AD32" i="26"/>
  <c r="AD31" s="1"/>
  <c r="DL21" i="30" s="1"/>
  <c r="DP21" s="1"/>
  <c r="AB32" i="26"/>
  <c r="AB31" s="1"/>
  <c r="DL19" i="30" s="1"/>
  <c r="DP19" s="1"/>
  <c r="Z32" i="26"/>
  <c r="Z31" s="1"/>
  <c r="DL17" i="30" s="1"/>
  <c r="DP17" s="1"/>
  <c r="X32" i="26"/>
  <c r="X31" s="1"/>
  <c r="DL15" i="30" s="1"/>
  <c r="DP15" s="1"/>
  <c r="V32" i="26"/>
  <c r="V31" s="1"/>
  <c r="DL13" i="30" s="1"/>
  <c r="DP13" s="1"/>
  <c r="T32" i="26"/>
  <c r="T31" s="1"/>
  <c r="DL11" i="30" s="1"/>
  <c r="DP11" s="1"/>
  <c r="B32" i="23"/>
  <c r="AC44" i="5"/>
  <c r="AG43"/>
  <c r="AC43"/>
  <c r="Y43"/>
  <c r="U43"/>
  <c r="AK42"/>
  <c r="AC42"/>
  <c r="AE40"/>
  <c r="AG38"/>
  <c r="AK37"/>
  <c r="AI37"/>
  <c r="AG37"/>
  <c r="AE37"/>
  <c r="AC37"/>
  <c r="AK36"/>
  <c r="AK35"/>
  <c r="AI35"/>
  <c r="AG35"/>
  <c r="AE35"/>
  <c r="AC35"/>
  <c r="AA35"/>
  <c r="Y35"/>
  <c r="AK34"/>
  <c r="G11" i="25"/>
  <c r="G9"/>
  <c r="G12" i="26"/>
  <c r="G10"/>
  <c r="AK21" i="25"/>
  <c r="AK20"/>
  <c r="N20"/>
  <c r="Q20" s="1"/>
  <c r="N19"/>
  <c r="Q19" s="1"/>
  <c r="N18"/>
  <c r="Q18" s="1"/>
  <c r="N17"/>
  <c r="Q17" s="1"/>
  <c r="AI14"/>
  <c r="N20" i="26"/>
  <c r="Q20" s="1"/>
  <c r="N19"/>
  <c r="Q19" s="1"/>
  <c r="N18"/>
  <c r="Q18" s="1"/>
  <c r="N17"/>
  <c r="Q17" s="1"/>
  <c r="AK21"/>
  <c r="AJ21" i="29" s="1"/>
  <c r="AK20" i="26"/>
  <c r="AJ20" i="29" s="1"/>
  <c r="AJ21" i="25"/>
  <c r="N24" i="26"/>
  <c r="Q24" s="1"/>
  <c r="AJ24"/>
  <c r="N31"/>
  <c r="Q31" s="1"/>
  <c r="N29"/>
  <c r="Q29" s="1"/>
  <c r="N27"/>
  <c r="Q27" s="1"/>
  <c r="AK25" i="25"/>
  <c r="AJ25"/>
  <c r="AH25"/>
  <c r="AI25"/>
  <c r="AG25"/>
  <c r="AE25"/>
  <c r="AC25"/>
  <c r="N26"/>
  <c r="Q26" s="1"/>
  <c r="AJ24"/>
  <c r="N24"/>
  <c r="Q24" s="1"/>
  <c r="N23"/>
  <c r="Q23" s="1"/>
  <c r="N23" i="26"/>
  <c r="Q23" s="1"/>
  <c r="N29" i="25"/>
  <c r="Q29" s="1"/>
  <c r="N28"/>
  <c r="Q28" s="1"/>
  <c r="N27"/>
  <c r="Q27" s="1"/>
  <c r="AJ31" i="26"/>
  <c r="DL27" i="30" s="1"/>
  <c r="DP27" s="1"/>
  <c r="N30" i="26"/>
  <c r="Q30" s="1"/>
  <c r="AH24" i="25"/>
  <c r="DN11" i="30"/>
  <c r="DO11" s="1"/>
  <c r="DN13"/>
  <c r="DO13" s="1"/>
  <c r="DN15"/>
  <c r="DO15" s="1"/>
  <c r="DN17"/>
  <c r="DO17" s="1"/>
  <c r="DN19"/>
  <c r="DO19" s="1"/>
  <c r="DN21"/>
  <c r="DO21" s="1"/>
  <c r="DN23"/>
  <c r="DO23" s="1"/>
  <c r="DN25"/>
  <c r="DO25" s="1"/>
  <c r="U13" i="20" l="1"/>
  <c r="D28" i="12"/>
  <c r="D28" i="32"/>
  <c r="D28" i="30"/>
  <c r="H22" i="7"/>
  <c r="Q18" i="5"/>
  <c r="I11" i="19"/>
  <c r="L48" i="16"/>
  <c r="I16" i="19"/>
  <c r="L53" i="16"/>
  <c r="I17" i="19"/>
  <c r="L54" i="16"/>
  <c r="I20" i="19"/>
  <c r="L57" i="16"/>
  <c r="DM19" i="30"/>
  <c r="H19"/>
  <c r="J19"/>
  <c r="DO10" i="12"/>
  <c r="CZ10"/>
  <c r="AR10"/>
  <c r="CK10"/>
  <c r="H10"/>
  <c r="BG10"/>
  <c r="BV10"/>
  <c r="G10"/>
  <c r="I10"/>
  <c r="AC10"/>
  <c r="J10"/>
  <c r="Q19" i="5"/>
  <c r="H23" i="7"/>
  <c r="I27" i="19"/>
  <c r="L64" i="16"/>
  <c r="H24" i="7"/>
  <c r="Q20" i="5"/>
  <c r="I33" i="20"/>
  <c r="I21"/>
  <c r="DL28" i="30"/>
  <c r="DP28" s="1"/>
  <c r="N25" i="26"/>
  <c r="Q25" s="1"/>
  <c r="N25" i="25"/>
  <c r="Q25" s="1"/>
  <c r="N13"/>
  <c r="Q13" s="1"/>
  <c r="Y25"/>
  <c r="U25"/>
  <c r="N21" i="26"/>
  <c r="Q21" s="1"/>
  <c r="N12"/>
  <c r="Q12" s="1"/>
  <c r="N12" i="25"/>
  <c r="Q12" s="1"/>
  <c r="N16"/>
  <c r="Q16" s="1"/>
  <c r="N15"/>
  <c r="Q15" s="1"/>
  <c r="AD25"/>
  <c r="AB25"/>
  <c r="AA25" i="29" s="1"/>
  <c r="Z25" i="25"/>
  <c r="Y25" i="29" s="1"/>
  <c r="X25" i="25"/>
  <c r="V25"/>
  <c r="U25" i="29" s="1"/>
  <c r="T25" i="25"/>
  <c r="D12" i="12"/>
  <c r="D12" i="30"/>
  <c r="L68" i="16"/>
  <c r="I31" i="19"/>
  <c r="L49" i="16"/>
  <c r="I12" i="19"/>
  <c r="I13"/>
  <c r="L50" i="16"/>
  <c r="I14" i="19"/>
  <c r="L51" i="16"/>
  <c r="I19" i="19"/>
  <c r="L56" i="16"/>
  <c r="I21" i="19"/>
  <c r="L58" i="16"/>
  <c r="L59"/>
  <c r="I22" i="19"/>
  <c r="I23"/>
  <c r="L60" i="16"/>
  <c r="L16" i="20"/>
  <c r="L19" s="1"/>
  <c r="L18"/>
  <c r="Q14" i="5"/>
  <c r="H18" i="7"/>
  <c r="L13" i="16"/>
  <c r="B11" i="23" s="1"/>
  <c r="K13" i="16"/>
  <c r="Q17" i="5"/>
  <c r="H21" i="7"/>
  <c r="I34" i="20"/>
  <c r="I22"/>
  <c r="S25" i="29"/>
  <c r="W25"/>
  <c r="AC25"/>
  <c r="T25"/>
  <c r="X25"/>
  <c r="AE25"/>
  <c r="N30" i="25"/>
  <c r="Q30" s="1"/>
  <c r="AA25"/>
  <c r="Z25" i="29" s="1"/>
  <c r="W25" i="25"/>
  <c r="V25" i="29" s="1"/>
  <c r="S25" i="25"/>
  <c r="N8"/>
  <c r="Q8" s="1"/>
  <c r="N15" i="26"/>
  <c r="Q15" s="1"/>
  <c r="J22" i="20"/>
  <c r="J34"/>
  <c r="J24" i="30"/>
  <c r="H24"/>
  <c r="DM24"/>
  <c r="DC24" i="32"/>
  <c r="BG24"/>
  <c r="AA24"/>
  <c r="J24"/>
  <c r="DS24"/>
  <c r="CM24"/>
  <c r="BW24"/>
  <c r="H24"/>
  <c r="AQ24"/>
  <c r="DO24" i="12"/>
  <c r="CK24"/>
  <c r="G24"/>
  <c r="AR24"/>
  <c r="I24"/>
  <c r="CZ24"/>
  <c r="BV24"/>
  <c r="BG24"/>
  <c r="J24"/>
  <c r="H24"/>
  <c r="J21" i="20"/>
  <c r="T12" i="26"/>
  <c r="S12" i="29" s="1"/>
  <c r="U12" i="26"/>
  <c r="T12" i="29" s="1"/>
  <c r="W12" i="26"/>
  <c r="V12" i="29" s="1"/>
  <c r="Y12" i="26"/>
  <c r="X12" i="29" s="1"/>
  <c r="AA12" i="26"/>
  <c r="Z12" i="29" s="1"/>
  <c r="AC12" i="26"/>
  <c r="AB12" i="29" s="1"/>
  <c r="AE12" i="26"/>
  <c r="AD12" i="29" s="1"/>
  <c r="AG12" i="26"/>
  <c r="AF12" i="29" s="1"/>
  <c r="AI12" i="26"/>
  <c r="AH12" i="29" s="1"/>
  <c r="AK12" i="26"/>
  <c r="AJ12" i="29" s="1"/>
  <c r="V12" i="26"/>
  <c r="U12" i="29" s="1"/>
  <c r="X12" i="26"/>
  <c r="W12" i="29" s="1"/>
  <c r="Z12" i="26"/>
  <c r="Y12" i="29" s="1"/>
  <c r="AB12" i="26"/>
  <c r="AA12" i="29" s="1"/>
  <c r="AD12" i="26"/>
  <c r="AC12" i="29" s="1"/>
  <c r="AF12" i="26"/>
  <c r="AE12" i="29" s="1"/>
  <c r="AH12" i="26"/>
  <c r="AG12" i="29" s="1"/>
  <c r="AJ12" i="26"/>
  <c r="AI12" i="29" s="1"/>
  <c r="N22" i="16" s="1"/>
  <c r="O22" s="1"/>
  <c r="S12" i="26"/>
  <c r="T11" i="25"/>
  <c r="U11"/>
  <c r="W11"/>
  <c r="Y11"/>
  <c r="AA11"/>
  <c r="Z11" i="29" s="1"/>
  <c r="AC11" i="25"/>
  <c r="AE11"/>
  <c r="AG11"/>
  <c r="AI11"/>
  <c r="AH11" i="29" s="1"/>
  <c r="AK11" i="25"/>
  <c r="V11"/>
  <c r="X11"/>
  <c r="Z11"/>
  <c r="AB11"/>
  <c r="AD11"/>
  <c r="AF11"/>
  <c r="AH11"/>
  <c r="AJ11"/>
  <c r="S11"/>
  <c r="AK14"/>
  <c r="AJ14"/>
  <c r="AH14"/>
  <c r="AG14"/>
  <c r="AE14"/>
  <c r="AC14"/>
  <c r="AD14"/>
  <c r="AB14"/>
  <c r="Z14"/>
  <c r="X14"/>
  <c r="V14"/>
  <c r="T14"/>
  <c r="AF14"/>
  <c r="AA14"/>
  <c r="Y14"/>
  <c r="W14"/>
  <c r="U14"/>
  <c r="S14"/>
  <c r="AK15" i="26"/>
  <c r="AJ15"/>
  <c r="AH15"/>
  <c r="AI15"/>
  <c r="AG15"/>
  <c r="AE15"/>
  <c r="AC15"/>
  <c r="AF15"/>
  <c r="AB15"/>
  <c r="Z15"/>
  <c r="X15"/>
  <c r="V15"/>
  <c r="T15"/>
  <c r="AD15"/>
  <c r="AA15"/>
  <c r="Y15"/>
  <c r="W15"/>
  <c r="U15"/>
  <c r="S15"/>
  <c r="AI19" i="25"/>
  <c r="AG19"/>
  <c r="AE19"/>
  <c r="AC19"/>
  <c r="AA19"/>
  <c r="Y19"/>
  <c r="W19"/>
  <c r="U19"/>
  <c r="S19"/>
  <c r="AK19"/>
  <c r="AJ19"/>
  <c r="AH19"/>
  <c r="AF19"/>
  <c r="AD19"/>
  <c r="AB19"/>
  <c r="Z19"/>
  <c r="X19"/>
  <c r="V19"/>
  <c r="T19"/>
  <c r="AJ20"/>
  <c r="AH20"/>
  <c r="AF20"/>
  <c r="AD20"/>
  <c r="AB20"/>
  <c r="Z20"/>
  <c r="X20"/>
  <c r="V20"/>
  <c r="T20"/>
  <c r="AI20"/>
  <c r="AG20"/>
  <c r="AE20"/>
  <c r="AC20"/>
  <c r="AA20"/>
  <c r="Y20"/>
  <c r="W20"/>
  <c r="U20"/>
  <c r="S20"/>
  <c r="AJ23"/>
  <c r="AH23"/>
  <c r="AK23"/>
  <c r="AI23"/>
  <c r="AG23"/>
  <c r="AE23"/>
  <c r="AC23"/>
  <c r="AA23"/>
  <c r="AD23"/>
  <c r="Y23"/>
  <c r="W23"/>
  <c r="U23"/>
  <c r="S23"/>
  <c r="AF23"/>
  <c r="AB23"/>
  <c r="Z23"/>
  <c r="X23"/>
  <c r="V23"/>
  <c r="T23"/>
  <c r="AK24"/>
  <c r="AI24"/>
  <c r="AG24"/>
  <c r="AF24"/>
  <c r="AD24"/>
  <c r="AB24"/>
  <c r="AC24"/>
  <c r="Z24"/>
  <c r="X24"/>
  <c r="V24"/>
  <c r="T24"/>
  <c r="AE24"/>
  <c r="AA24"/>
  <c r="Y24"/>
  <c r="W24"/>
  <c r="U24"/>
  <c r="S24"/>
  <c r="AI27" i="26"/>
  <c r="AG27"/>
  <c r="AE27"/>
  <c r="AC27"/>
  <c r="AA27"/>
  <c r="Y27"/>
  <c r="W27"/>
  <c r="U27"/>
  <c r="S27"/>
  <c r="AK27"/>
  <c r="AJ27"/>
  <c r="AH27"/>
  <c r="AF27"/>
  <c r="AD27"/>
  <c r="AB27"/>
  <c r="Z27"/>
  <c r="X27"/>
  <c r="V27"/>
  <c r="T27"/>
  <c r="AI28" i="25"/>
  <c r="AG28"/>
  <c r="AE28"/>
  <c r="AC28"/>
  <c r="AA28"/>
  <c r="Y28"/>
  <c r="W28"/>
  <c r="U28"/>
  <c r="S28"/>
  <c r="AK28"/>
  <c r="AJ28"/>
  <c r="AH28"/>
  <c r="AF28"/>
  <c r="AD28"/>
  <c r="AB28"/>
  <c r="Z28"/>
  <c r="X28"/>
  <c r="V28"/>
  <c r="T28"/>
  <c r="AI30"/>
  <c r="AG30"/>
  <c r="AE30"/>
  <c r="AC30"/>
  <c r="AA30"/>
  <c r="Y30"/>
  <c r="W30"/>
  <c r="U30"/>
  <c r="S30"/>
  <c r="AK30"/>
  <c r="AJ30"/>
  <c r="AH30"/>
  <c r="AF30"/>
  <c r="AD30"/>
  <c r="AB30"/>
  <c r="Z30"/>
  <c r="X30"/>
  <c r="V30"/>
  <c r="T30"/>
  <c r="G28" i="30"/>
  <c r="G28" i="32"/>
  <c r="G24"/>
  <c r="G20"/>
  <c r="G20" i="30"/>
  <c r="G16"/>
  <c r="G16" i="32"/>
  <c r="G12" i="30"/>
  <c r="G10"/>
  <c r="G10" i="32"/>
  <c r="G25"/>
  <c r="G25" i="30"/>
  <c r="G21" i="32"/>
  <c r="G21" i="30"/>
  <c r="G17"/>
  <c r="G17" i="32"/>
  <c r="G13" i="30"/>
  <c r="G13" i="32"/>
  <c r="AJ17" i="5"/>
  <c r="AF17"/>
  <c r="AD17"/>
  <c r="Z17"/>
  <c r="T17"/>
  <c r="S17"/>
  <c r="AE17"/>
  <c r="AA17"/>
  <c r="W17"/>
  <c r="AK17"/>
  <c r="AH17"/>
  <c r="AB17"/>
  <c r="U17"/>
  <c r="X17"/>
  <c r="V17"/>
  <c r="AI17"/>
  <c r="AG17"/>
  <c r="AC17"/>
  <c r="Y17"/>
  <c r="AI17" i="26"/>
  <c r="AG17"/>
  <c r="AE17"/>
  <c r="AC17"/>
  <c r="AA17"/>
  <c r="Y17"/>
  <c r="W17"/>
  <c r="U17"/>
  <c r="S17"/>
  <c r="AK17"/>
  <c r="AJ17"/>
  <c r="AH17"/>
  <c r="AF17"/>
  <c r="AD17"/>
  <c r="AB17"/>
  <c r="Z17"/>
  <c r="X17"/>
  <c r="V17"/>
  <c r="T17"/>
  <c r="AH21" i="5"/>
  <c r="AG21" i="22" s="1"/>
  <c r="AD21" i="5"/>
  <c r="AC21" i="22" s="1"/>
  <c r="Z21" i="5"/>
  <c r="Y21" i="22" s="1"/>
  <c r="V21" i="5"/>
  <c r="U21" i="22" s="1"/>
  <c r="AI21" i="5"/>
  <c r="AH21" i="22" s="1"/>
  <c r="AE21" i="5"/>
  <c r="AD21" i="22" s="1"/>
  <c r="AA21" i="5"/>
  <c r="Z21" i="22" s="1"/>
  <c r="W21" i="5"/>
  <c r="V21" i="22" s="1"/>
  <c r="AK21" i="5"/>
  <c r="AJ21" i="22" s="1"/>
  <c r="T21" i="5"/>
  <c r="S21" i="22" s="1"/>
  <c r="AJ21" i="5"/>
  <c r="AF21"/>
  <c r="AE21" i="22" s="1"/>
  <c r="AB21" i="5"/>
  <c r="AA21" i="22" s="1"/>
  <c r="X21" i="5"/>
  <c r="W21" i="22" s="1"/>
  <c r="S21" i="5"/>
  <c r="AG21"/>
  <c r="AC21"/>
  <c r="AB21" i="22" s="1"/>
  <c r="Y21" i="5"/>
  <c r="X21" i="22" s="1"/>
  <c r="U21" i="5"/>
  <c r="AI21" i="26"/>
  <c r="AG21"/>
  <c r="AE21"/>
  <c r="AC21"/>
  <c r="AA21"/>
  <c r="Y21"/>
  <c r="W21"/>
  <c r="U21"/>
  <c r="S21"/>
  <c r="AJ21"/>
  <c r="AI21" i="29" s="1"/>
  <c r="N31" i="16" s="1"/>
  <c r="O31" s="1"/>
  <c r="AH21" i="26"/>
  <c r="AF21"/>
  <c r="AD21"/>
  <c r="AB21"/>
  <c r="Z21"/>
  <c r="X21"/>
  <c r="V21"/>
  <c r="T21"/>
  <c r="H15" i="20"/>
  <c r="H18" s="1"/>
  <c r="AK18" i="5"/>
  <c r="AJ18" i="22" s="1"/>
  <c r="AJ18" i="5"/>
  <c r="AH18"/>
  <c r="AG18" i="22" s="1"/>
  <c r="AF18" i="5"/>
  <c r="AE18" i="22" s="1"/>
  <c r="AD18" i="5"/>
  <c r="AC18" i="22" s="1"/>
  <c r="AB18" i="5"/>
  <c r="AA18" i="22" s="1"/>
  <c r="U18" i="5"/>
  <c r="X18"/>
  <c r="W18" i="22" s="1"/>
  <c r="T18" i="5"/>
  <c r="S18" i="22" s="1"/>
  <c r="AG18" i="5"/>
  <c r="Y18"/>
  <c r="X18" i="22" s="1"/>
  <c r="Z18" i="5"/>
  <c r="Y18" i="22" s="1"/>
  <c r="V18" i="5"/>
  <c r="U18" i="22" s="1"/>
  <c r="S18" i="5"/>
  <c r="AI18"/>
  <c r="AH18" i="22" s="1"/>
  <c r="AE18" i="5"/>
  <c r="AD18" i="22" s="1"/>
  <c r="AC18" i="5"/>
  <c r="AB18" i="22" s="1"/>
  <c r="AA18" i="5"/>
  <c r="Z18" i="22" s="1"/>
  <c r="W18" i="5"/>
  <c r="V18" i="22" s="1"/>
  <c r="AK18" i="26"/>
  <c r="AJ18"/>
  <c r="AH18"/>
  <c r="AF18"/>
  <c r="AD18"/>
  <c r="AB18"/>
  <c r="Z18"/>
  <c r="X18"/>
  <c r="V18"/>
  <c r="T18"/>
  <c r="AI18"/>
  <c r="AG18"/>
  <c r="AE18"/>
  <c r="AC18"/>
  <c r="AA18"/>
  <c r="Y18"/>
  <c r="W18"/>
  <c r="U18"/>
  <c r="S18"/>
  <c r="AI29"/>
  <c r="AG29"/>
  <c r="AE29"/>
  <c r="AC29"/>
  <c r="AA29"/>
  <c r="Y29"/>
  <c r="W29"/>
  <c r="U29"/>
  <c r="S29"/>
  <c r="AK29"/>
  <c r="AJ29"/>
  <c r="AH29"/>
  <c r="AF29"/>
  <c r="AD29"/>
  <c r="AB29"/>
  <c r="Z29"/>
  <c r="X29"/>
  <c r="V29"/>
  <c r="T29"/>
  <c r="Q23" i="5"/>
  <c r="H27" i="7"/>
  <c r="Q16" i="5"/>
  <c r="H6" i="7"/>
  <c r="AA31" i="5"/>
  <c r="AI31"/>
  <c r="V31"/>
  <c r="AD31"/>
  <c r="U31"/>
  <c r="AC31"/>
  <c r="AK31"/>
  <c r="X31"/>
  <c r="AF31"/>
  <c r="AJ31"/>
  <c r="W31"/>
  <c r="AE31"/>
  <c r="S31"/>
  <c r="Z31"/>
  <c r="AH31"/>
  <c r="Y31"/>
  <c r="AG31"/>
  <c r="T31"/>
  <c r="AB31"/>
  <c r="R34" i="20"/>
  <c r="R22"/>
  <c r="R21"/>
  <c r="M21"/>
  <c r="M34"/>
  <c r="M22"/>
  <c r="E15"/>
  <c r="E18" s="1"/>
  <c r="G33"/>
  <c r="Q27" i="5"/>
  <c r="H31" i="7"/>
  <c r="S15" i="20"/>
  <c r="S18" s="1"/>
  <c r="P34"/>
  <c r="P22"/>
  <c r="H16" i="7"/>
  <c r="Q12" i="5"/>
  <c r="H14" i="7"/>
  <c r="Q10" i="5"/>
  <c r="C21" i="20"/>
  <c r="C33"/>
  <c r="K21"/>
  <c r="K33"/>
  <c r="AI24" i="29"/>
  <c r="N34" i="16" s="1"/>
  <c r="O34" s="1"/>
  <c r="AB25" i="29"/>
  <c r="AF25"/>
  <c r="AG25"/>
  <c r="AJ25"/>
  <c r="AD11"/>
  <c r="V11"/>
  <c r="S11"/>
  <c r="AI11"/>
  <c r="N21" i="16" s="1"/>
  <c r="O21" s="1"/>
  <c r="AE11" i="29"/>
  <c r="AA11"/>
  <c r="W11"/>
  <c r="T10" i="26"/>
  <c r="S10" i="29" s="1"/>
  <c r="U10" i="26"/>
  <c r="T10" i="29" s="1"/>
  <c r="W10" i="26"/>
  <c r="V10" i="29" s="1"/>
  <c r="Y10" i="26"/>
  <c r="X10" i="29" s="1"/>
  <c r="AA10" i="26"/>
  <c r="Z10" i="29" s="1"/>
  <c r="AC10" i="26"/>
  <c r="AB10" i="29" s="1"/>
  <c r="AE10" i="26"/>
  <c r="AD10" i="29" s="1"/>
  <c r="AG10" i="26"/>
  <c r="AF10" i="29" s="1"/>
  <c r="AI10" i="26"/>
  <c r="AH10" i="29" s="1"/>
  <c r="AK10" i="26"/>
  <c r="AJ10" i="29" s="1"/>
  <c r="V10" i="26"/>
  <c r="U10" i="29" s="1"/>
  <c r="X10" i="26"/>
  <c r="W10" i="29" s="1"/>
  <c r="Z10" i="26"/>
  <c r="Y10" i="29" s="1"/>
  <c r="AB10" i="26"/>
  <c r="AA10" i="29" s="1"/>
  <c r="AD10" i="26"/>
  <c r="AC10" i="29" s="1"/>
  <c r="AF10" i="26"/>
  <c r="AE10" i="29" s="1"/>
  <c r="AH10" i="26"/>
  <c r="AG10" i="29" s="1"/>
  <c r="AJ10" i="26"/>
  <c r="AI10" i="29" s="1"/>
  <c r="N20" i="16" s="1"/>
  <c r="O20" s="1"/>
  <c r="S10" i="26"/>
  <c r="T9" i="25"/>
  <c r="U9"/>
  <c r="I12" i="30" s="1"/>
  <c r="W9" i="25"/>
  <c r="Y9"/>
  <c r="X9" i="29" s="1"/>
  <c r="AA9" i="25"/>
  <c r="AC9"/>
  <c r="AE9"/>
  <c r="AG9"/>
  <c r="AI9"/>
  <c r="AK9"/>
  <c r="AJ9" i="29" s="1"/>
  <c r="V9" i="25"/>
  <c r="X9"/>
  <c r="Z9"/>
  <c r="AB9"/>
  <c r="AD9"/>
  <c r="AF9"/>
  <c r="AH9"/>
  <c r="AJ9"/>
  <c r="S9"/>
  <c r="AI14" i="26"/>
  <c r="AG14"/>
  <c r="AK14"/>
  <c r="AJ14"/>
  <c r="AH14"/>
  <c r="AF14"/>
  <c r="AD14"/>
  <c r="AE14"/>
  <c r="AA14"/>
  <c r="Y14"/>
  <c r="W14"/>
  <c r="U14"/>
  <c r="S14"/>
  <c r="AC14"/>
  <c r="AB14"/>
  <c r="Z14"/>
  <c r="X14"/>
  <c r="V14"/>
  <c r="T14"/>
  <c r="AI15" i="25"/>
  <c r="AG15"/>
  <c r="AK15"/>
  <c r="AJ15"/>
  <c r="AH15"/>
  <c r="AF15"/>
  <c r="AD15"/>
  <c r="AE15"/>
  <c r="AA15"/>
  <c r="Y15"/>
  <c r="W15"/>
  <c r="U15"/>
  <c r="S15"/>
  <c r="AC15"/>
  <c r="AB15"/>
  <c r="Z15"/>
  <c r="X15"/>
  <c r="V15"/>
  <c r="T15"/>
  <c r="AI19" i="26"/>
  <c r="AH19" i="29" s="1"/>
  <c r="AG19" i="26"/>
  <c r="AF19" i="29" s="1"/>
  <c r="AE19" i="26"/>
  <c r="AD19" i="29" s="1"/>
  <c r="AC19" i="26"/>
  <c r="AB19" i="29" s="1"/>
  <c r="AA19" i="26"/>
  <c r="Z19" i="29" s="1"/>
  <c r="Y19" i="26"/>
  <c r="X19" i="29" s="1"/>
  <c r="W19" i="26"/>
  <c r="V19" i="29" s="1"/>
  <c r="U19" i="26"/>
  <c r="T19" i="29" s="1"/>
  <c r="S19" i="26"/>
  <c r="AK19"/>
  <c r="AJ19" i="29" s="1"/>
  <c r="AJ19" i="26"/>
  <c r="AI19" i="29" s="1"/>
  <c r="N29" i="16" s="1"/>
  <c r="O29" s="1"/>
  <c r="AH19" i="26"/>
  <c r="AG19" i="29" s="1"/>
  <c r="AF19" i="26"/>
  <c r="AE19" i="29" s="1"/>
  <c r="AD19" i="26"/>
  <c r="AC19" i="29" s="1"/>
  <c r="AB19" i="26"/>
  <c r="AA19" i="29" s="1"/>
  <c r="Z19" i="26"/>
  <c r="Y19" i="29" s="1"/>
  <c r="X19" i="26"/>
  <c r="W19" i="29" s="1"/>
  <c r="V19" i="26"/>
  <c r="U19" i="29" s="1"/>
  <c r="T19" i="26"/>
  <c r="S19" i="29" s="1"/>
  <c r="AJ20" i="26"/>
  <c r="AI20" i="29" s="1"/>
  <c r="N30" i="16" s="1"/>
  <c r="O30" s="1"/>
  <c r="AH20" i="26"/>
  <c r="AG20" i="29" s="1"/>
  <c r="AF20" i="26"/>
  <c r="AE20" i="29" s="1"/>
  <c r="AD20" i="26"/>
  <c r="AC20" i="29" s="1"/>
  <c r="AB20" i="26"/>
  <c r="AA20" i="29" s="1"/>
  <c r="Z20" i="26"/>
  <c r="Y20" i="29" s="1"/>
  <c r="X20" i="26"/>
  <c r="W20" i="29" s="1"/>
  <c r="V20" i="26"/>
  <c r="U20" i="29" s="1"/>
  <c r="T20" i="26"/>
  <c r="S20" i="29" s="1"/>
  <c r="AI20" i="26"/>
  <c r="AH20" i="29" s="1"/>
  <c r="AG20" i="26"/>
  <c r="AF20" i="29" s="1"/>
  <c r="AE20" i="26"/>
  <c r="AD20" i="29" s="1"/>
  <c r="AC20" i="26"/>
  <c r="AB20" i="29" s="1"/>
  <c r="AA20" i="26"/>
  <c r="Z20" i="29" s="1"/>
  <c r="Y20" i="26"/>
  <c r="X20" i="29" s="1"/>
  <c r="W20" i="26"/>
  <c r="V20" i="29" s="1"/>
  <c r="U20" i="26"/>
  <c r="T20" i="29" s="1"/>
  <c r="S20" i="26"/>
  <c r="AJ23"/>
  <c r="AI23" i="29" s="1"/>
  <c r="N33" i="16" s="1"/>
  <c r="O33" s="1"/>
  <c r="AH23" i="26"/>
  <c r="AG23" i="29" s="1"/>
  <c r="AF23" i="26"/>
  <c r="AE23" i="29" s="1"/>
  <c r="AK23" i="26"/>
  <c r="AJ23" i="29" s="1"/>
  <c r="AI23" i="26"/>
  <c r="AH23" i="29" s="1"/>
  <c r="AG23" i="26"/>
  <c r="AF23" i="29" s="1"/>
  <c r="AE23" i="26"/>
  <c r="AD23" i="29" s="1"/>
  <c r="AC23" i="26"/>
  <c r="AB23" i="29" s="1"/>
  <c r="AA23" i="26"/>
  <c r="Z23" i="29" s="1"/>
  <c r="AD23" i="26"/>
  <c r="AC23" i="29" s="1"/>
  <c r="Y23" i="26"/>
  <c r="X23" i="29" s="1"/>
  <c r="W23" i="26"/>
  <c r="V23" i="29" s="1"/>
  <c r="U23" i="26"/>
  <c r="T23" i="29" s="1"/>
  <c r="S23" i="26"/>
  <c r="AB23"/>
  <c r="AA23" i="29" s="1"/>
  <c r="Z23" i="26"/>
  <c r="Y23" i="29" s="1"/>
  <c r="X23" i="26"/>
  <c r="W23" i="29" s="1"/>
  <c r="V23" i="26"/>
  <c r="U23" i="29" s="1"/>
  <c r="T23" i="26"/>
  <c r="S23" i="29" s="1"/>
  <c r="AK24" i="26"/>
  <c r="AJ24" i="29" s="1"/>
  <c r="AI24" i="26"/>
  <c r="AH24" i="29" s="1"/>
  <c r="AG24" i="26"/>
  <c r="AF24" i="29" s="1"/>
  <c r="AH24" i="26"/>
  <c r="AG24" i="29" s="1"/>
  <c r="AF24" i="26"/>
  <c r="AE24" i="29" s="1"/>
  <c r="AD24" i="26"/>
  <c r="AC24" i="29" s="1"/>
  <c r="AB24" i="26"/>
  <c r="AA24" i="29" s="1"/>
  <c r="AC24" i="26"/>
  <c r="AB24" i="29" s="1"/>
  <c r="Z24" i="26"/>
  <c r="Y24" i="29" s="1"/>
  <c r="X24" i="26"/>
  <c r="W24" i="29" s="1"/>
  <c r="V24" i="26"/>
  <c r="U24" i="29" s="1"/>
  <c r="T24" i="26"/>
  <c r="S24" i="29" s="1"/>
  <c r="AE24" i="26"/>
  <c r="AD24" i="29" s="1"/>
  <c r="AA24" i="26"/>
  <c r="Z24" i="29" s="1"/>
  <c r="Y24" i="26"/>
  <c r="X24" i="29" s="1"/>
  <c r="W24" i="26"/>
  <c r="V24" i="29" s="1"/>
  <c r="U24" i="26"/>
  <c r="T24" i="29" s="1"/>
  <c r="S24" i="26"/>
  <c r="R25" i="29"/>
  <c r="R25" i="22"/>
  <c r="AK27" i="25"/>
  <c r="AJ27"/>
  <c r="AH27"/>
  <c r="AF27"/>
  <c r="AD27"/>
  <c r="AB27"/>
  <c r="Z27"/>
  <c r="X27"/>
  <c r="V27"/>
  <c r="T27"/>
  <c r="AI27"/>
  <c r="AG27"/>
  <c r="AE27"/>
  <c r="AC27"/>
  <c r="AA27"/>
  <c r="Y27"/>
  <c r="W27"/>
  <c r="U27"/>
  <c r="S27"/>
  <c r="AK28" i="26"/>
  <c r="AJ28" i="29" s="1"/>
  <c r="AJ28" i="26"/>
  <c r="AI28" i="29" s="1"/>
  <c r="N38" i="16" s="1"/>
  <c r="O38" s="1"/>
  <c r="AH28" i="26"/>
  <c r="AG28" i="29" s="1"/>
  <c r="AF28" i="26"/>
  <c r="AE28" i="29" s="1"/>
  <c r="AD28" i="26"/>
  <c r="AC28" i="29" s="1"/>
  <c r="AB28" i="26"/>
  <c r="AA28" i="29" s="1"/>
  <c r="Z28" i="26"/>
  <c r="Y28" i="29" s="1"/>
  <c r="X28" i="26"/>
  <c r="W28" i="29" s="1"/>
  <c r="V28" i="26"/>
  <c r="U28" i="29" s="1"/>
  <c r="T28" i="26"/>
  <c r="S28" i="29" s="1"/>
  <c r="AI28" i="26"/>
  <c r="AH28" i="29" s="1"/>
  <c r="AG28" i="26"/>
  <c r="AF28" i="29" s="1"/>
  <c r="AE28" i="26"/>
  <c r="AD28" i="29" s="1"/>
  <c r="AC28" i="26"/>
  <c r="AB28" i="29" s="1"/>
  <c r="AA28" i="26"/>
  <c r="Z28" i="29" s="1"/>
  <c r="Y28" i="26"/>
  <c r="X28" i="29" s="1"/>
  <c r="W28" i="26"/>
  <c r="V28" i="29" s="1"/>
  <c r="U28" i="26"/>
  <c r="T28" i="29" s="1"/>
  <c r="S28" i="26"/>
  <c r="AK30"/>
  <c r="AJ30" i="29" s="1"/>
  <c r="AJ30" i="26"/>
  <c r="AI30" i="29" s="1"/>
  <c r="N40" i="16" s="1"/>
  <c r="O40" s="1"/>
  <c r="F37" i="23" s="1"/>
  <c r="AH30" i="26"/>
  <c r="AG30" i="29" s="1"/>
  <c r="AF30" i="26"/>
  <c r="AE30" i="29" s="1"/>
  <c r="AD30" i="26"/>
  <c r="AC30" i="29" s="1"/>
  <c r="AB30" i="26"/>
  <c r="AA30" i="29" s="1"/>
  <c r="Z30" i="26"/>
  <c r="Y30" i="29" s="1"/>
  <c r="X30" i="26"/>
  <c r="W30" i="29" s="1"/>
  <c r="V30" i="26"/>
  <c r="U30" i="29" s="1"/>
  <c r="T30" i="26"/>
  <c r="S30" i="29" s="1"/>
  <c r="AI30" i="26"/>
  <c r="AH30" i="29" s="1"/>
  <c r="AG30" i="26"/>
  <c r="AF30" i="29" s="1"/>
  <c r="AE30" i="26"/>
  <c r="AD30" i="29" s="1"/>
  <c r="AC30" i="26"/>
  <c r="AB30" i="29" s="1"/>
  <c r="AA30" i="26"/>
  <c r="Z30" i="29" s="1"/>
  <c r="Y30" i="26"/>
  <c r="X30" i="29" s="1"/>
  <c r="W30" i="26"/>
  <c r="V30" i="29" s="1"/>
  <c r="U30" i="26"/>
  <c r="T30" i="29" s="1"/>
  <c r="S30" i="26"/>
  <c r="G26" i="32"/>
  <c r="G22"/>
  <c r="G22" i="30"/>
  <c r="Z9" i="29"/>
  <c r="G18" i="32"/>
  <c r="G18" i="30"/>
  <c r="G14"/>
  <c r="G14" i="32"/>
  <c r="S9" i="29"/>
  <c r="G11" i="32"/>
  <c r="G11" i="30"/>
  <c r="AI9" i="29"/>
  <c r="G27" i="30"/>
  <c r="G27" i="32"/>
  <c r="AE9" i="29"/>
  <c r="G23" i="32"/>
  <c r="G23" i="30"/>
  <c r="AA9" i="29"/>
  <c r="G19" i="32"/>
  <c r="G19" i="30"/>
  <c r="W9" i="29"/>
  <c r="G15" i="30"/>
  <c r="G15" i="32"/>
  <c r="R11" i="22"/>
  <c r="R11" i="29"/>
  <c r="AI17" i="25"/>
  <c r="AG17"/>
  <c r="AE17"/>
  <c r="AC17"/>
  <c r="AA17"/>
  <c r="Y17"/>
  <c r="W17"/>
  <c r="U17"/>
  <c r="S17"/>
  <c r="AK17"/>
  <c r="AJ17"/>
  <c r="AH17"/>
  <c r="AF17"/>
  <c r="AD17"/>
  <c r="AB17"/>
  <c r="Z17"/>
  <c r="X17"/>
  <c r="V17"/>
  <c r="T17"/>
  <c r="AI21"/>
  <c r="AG21"/>
  <c r="AE21"/>
  <c r="AC21"/>
  <c r="AA21"/>
  <c r="Y21"/>
  <c r="W21"/>
  <c r="U21"/>
  <c r="S21"/>
  <c r="AH21"/>
  <c r="AF21"/>
  <c r="AD21"/>
  <c r="AB21"/>
  <c r="Z21"/>
  <c r="X21"/>
  <c r="V21"/>
  <c r="T21"/>
  <c r="F15" i="20"/>
  <c r="F18" s="1"/>
  <c r="AK18" i="25"/>
  <c r="AJ18"/>
  <c r="AH18"/>
  <c r="AF18"/>
  <c r="AD18"/>
  <c r="AB18"/>
  <c r="Z18"/>
  <c r="X18"/>
  <c r="V18"/>
  <c r="T18"/>
  <c r="AI18"/>
  <c r="AG18"/>
  <c r="AE18"/>
  <c r="AC18"/>
  <c r="AA18"/>
  <c r="Y18"/>
  <c r="W18"/>
  <c r="U18"/>
  <c r="S18"/>
  <c r="AK29"/>
  <c r="AJ29"/>
  <c r="AH29"/>
  <c r="AH26" s="1"/>
  <c r="CX25" i="30" s="1"/>
  <c r="AF29" i="25"/>
  <c r="AD29"/>
  <c r="AD26" s="1"/>
  <c r="AB29"/>
  <c r="Z29"/>
  <c r="Z26" s="1"/>
  <c r="CX17" i="30" s="1"/>
  <c r="X29" i="25"/>
  <c r="V29"/>
  <c r="V26" s="1"/>
  <c r="CX13" i="30" s="1"/>
  <c r="T29" i="25"/>
  <c r="AI29"/>
  <c r="AI26" s="1"/>
  <c r="CX26" i="30" s="1"/>
  <c r="AG29" i="25"/>
  <c r="AE29"/>
  <c r="AE26" s="1"/>
  <c r="AC29"/>
  <c r="AA29"/>
  <c r="AA26" s="1"/>
  <c r="Y29"/>
  <c r="W29"/>
  <c r="W26" s="1"/>
  <c r="U29"/>
  <c r="S29"/>
  <c r="S26" s="1"/>
  <c r="H7" i="7"/>
  <c r="Q22" i="5"/>
  <c r="H32" i="7"/>
  <c r="Q28" i="5"/>
  <c r="H9" i="7"/>
  <c r="Q31" i="5"/>
  <c r="H4" i="7"/>
  <c r="Q8" i="5"/>
  <c r="T21" i="20"/>
  <c r="T22"/>
  <c r="T34"/>
  <c r="N34"/>
  <c r="N22"/>
  <c r="N21"/>
  <c r="CM12" i="32"/>
  <c r="I12"/>
  <c r="DS12"/>
  <c r="DC12"/>
  <c r="BW12"/>
  <c r="J12"/>
  <c r="AA12"/>
  <c r="AQ12"/>
  <c r="H12"/>
  <c r="DR12"/>
  <c r="BG12"/>
  <c r="G12"/>
  <c r="Q13" i="5"/>
  <c r="V24" i="33" s="1"/>
  <c r="H5" i="7"/>
  <c r="H33"/>
  <c r="Q29" i="5"/>
  <c r="O22" i="20"/>
  <c r="O34"/>
  <c r="Q34"/>
  <c r="Q21"/>
  <c r="Q22"/>
  <c r="AL24" i="33"/>
  <c r="AT24"/>
  <c r="Q11" i="5"/>
  <c r="H15" i="7"/>
  <c r="H13"/>
  <c r="Q9" i="5"/>
  <c r="C22" i="20"/>
  <c r="C34"/>
  <c r="K22"/>
  <c r="K34"/>
  <c r="AD25" i="29"/>
  <c r="AH25"/>
  <c r="AI25"/>
  <c r="N35" i="16" s="1"/>
  <c r="O35" s="1"/>
  <c r="F31" i="17" s="1"/>
  <c r="AJ11" i="29"/>
  <c r="AF11"/>
  <c r="AB11"/>
  <c r="X11"/>
  <c r="T11"/>
  <c r="AG11"/>
  <c r="AC11"/>
  <c r="Y11"/>
  <c r="U11"/>
  <c r="G16" i="20"/>
  <c r="G19" s="1"/>
  <c r="G21" s="1"/>
  <c r="P21"/>
  <c r="G24" i="30"/>
  <c r="L21" i="20" l="1"/>
  <c r="L33"/>
  <c r="J12" i="30"/>
  <c r="DM12"/>
  <c r="H12"/>
  <c r="BW28" i="32"/>
  <c r="BG28"/>
  <c r="H28"/>
  <c r="J28"/>
  <c r="DS28"/>
  <c r="DC28"/>
  <c r="CM28"/>
  <c r="AQ28"/>
  <c r="AA28"/>
  <c r="U15" i="20"/>
  <c r="U18" s="1"/>
  <c r="U26" i="25"/>
  <c r="CX12" i="30" s="1"/>
  <c r="DL12"/>
  <c r="DP12" s="1"/>
  <c r="L22" i="20"/>
  <c r="L34"/>
  <c r="CZ12" i="12"/>
  <c r="CK12"/>
  <c r="AR12"/>
  <c r="J12"/>
  <c r="BG12"/>
  <c r="DO12"/>
  <c r="H12"/>
  <c r="G12"/>
  <c r="AC12"/>
  <c r="I12"/>
  <c r="BV12"/>
  <c r="DM28" i="30"/>
  <c r="H28"/>
  <c r="J28"/>
  <c r="CK28" i="12"/>
  <c r="CZ28"/>
  <c r="G28"/>
  <c r="AR28"/>
  <c r="H28"/>
  <c r="AC28"/>
  <c r="I28"/>
  <c r="J28"/>
  <c r="BG28"/>
  <c r="BV28"/>
  <c r="DO28"/>
  <c r="Y26" i="25"/>
  <c r="CX16" i="30" s="1"/>
  <c r="AC26" i="25"/>
  <c r="CX20" i="30" s="1"/>
  <c r="AG26" i="25"/>
  <c r="T26"/>
  <c r="T22" s="1"/>
  <c r="X26"/>
  <c r="AB26"/>
  <c r="AB22" s="1"/>
  <c r="AF26"/>
  <c r="CX23" i="30" s="1"/>
  <c r="S16" i="20"/>
  <c r="S19" s="1"/>
  <c r="H16"/>
  <c r="H19" s="1"/>
  <c r="CX24" i="30"/>
  <c r="AG22" i="25"/>
  <c r="CI24" i="30" s="1"/>
  <c r="CX11"/>
  <c r="CX15"/>
  <c r="X22" i="25"/>
  <c r="CI15" i="30" s="1"/>
  <c r="CX19"/>
  <c r="AG16" i="25"/>
  <c r="BT24" i="30" s="1"/>
  <c r="V22" i="25"/>
  <c r="CI13" i="30" s="1"/>
  <c r="Z22" i="25"/>
  <c r="CI17" i="30" s="1"/>
  <c r="AF22" i="25"/>
  <c r="CI23" i="30" s="1"/>
  <c r="U22" i="25"/>
  <c r="CI12" i="30" s="1"/>
  <c r="Y22" i="25"/>
  <c r="CI16" i="30" s="1"/>
  <c r="AI22" i="25"/>
  <c r="CI26" i="30" s="1"/>
  <c r="CX10"/>
  <c r="S22" i="25"/>
  <c r="CI10" i="30" s="1"/>
  <c r="CX14"/>
  <c r="W22" i="25"/>
  <c r="CI14" i="30" s="1"/>
  <c r="CX18"/>
  <c r="AA22" i="25"/>
  <c r="CI18" i="30" s="1"/>
  <c r="CX22"/>
  <c r="AE22" i="25"/>
  <c r="CI22" i="30" s="1"/>
  <c r="CX21"/>
  <c r="AD22" i="25"/>
  <c r="CI21" i="30" s="1"/>
  <c r="V16" i="25"/>
  <c r="BT13" i="30" s="1"/>
  <c r="AD16" i="25"/>
  <c r="BT21" i="30" s="1"/>
  <c r="X16" i="25"/>
  <c r="BT15" i="30" s="1"/>
  <c r="S16" i="25"/>
  <c r="BT10" i="30" s="1"/>
  <c r="W16" i="25"/>
  <c r="BT14" i="30" s="1"/>
  <c r="AA16" i="25"/>
  <c r="BT18" i="30" s="1"/>
  <c r="AE16" i="25"/>
  <c r="BT22" i="30" s="1"/>
  <c r="AI16" i="25"/>
  <c r="BT26" i="30" s="1"/>
  <c r="F33" i="20"/>
  <c r="K15" i="30"/>
  <c r="L15" s="1"/>
  <c r="K15" i="12"/>
  <c r="K15" i="32"/>
  <c r="L15" s="1"/>
  <c r="F29" i="17"/>
  <c r="F30" i="23"/>
  <c r="F27"/>
  <c r="F26" i="17"/>
  <c r="U14" i="29"/>
  <c r="Y14"/>
  <c r="AB14"/>
  <c r="T14"/>
  <c r="X14"/>
  <c r="AD14"/>
  <c r="AE14"/>
  <c r="AI14"/>
  <c r="N24" i="16" s="1"/>
  <c r="O24" s="1"/>
  <c r="AF14" i="29"/>
  <c r="I10" i="32"/>
  <c r="I10" i="30"/>
  <c r="I25"/>
  <c r="I25" i="32"/>
  <c r="I21"/>
  <c r="I21" i="30"/>
  <c r="I17" i="32"/>
  <c r="I17" i="30"/>
  <c r="I13"/>
  <c r="I13" i="32"/>
  <c r="I26"/>
  <c r="I26" i="30"/>
  <c r="I22"/>
  <c r="I22" i="32"/>
  <c r="I18" i="30"/>
  <c r="I18" i="32"/>
  <c r="I14" i="30"/>
  <c r="I14" i="32"/>
  <c r="I11"/>
  <c r="I11" i="30"/>
  <c r="F17" i="23"/>
  <c r="F16" i="17"/>
  <c r="F18" i="23"/>
  <c r="F17" i="17"/>
  <c r="F30"/>
  <c r="F31" i="23"/>
  <c r="S34" i="20"/>
  <c r="S22"/>
  <c r="E33"/>
  <c r="DN11" i="12"/>
  <c r="DR11" s="1"/>
  <c r="DR11" i="32"/>
  <c r="DN16" i="12"/>
  <c r="DR16" s="1"/>
  <c r="DR16" i="32"/>
  <c r="DN17" i="12"/>
  <c r="DR17" s="1"/>
  <c r="DR17" i="32"/>
  <c r="DN22" i="12"/>
  <c r="DR22" s="1"/>
  <c r="DR22" i="32"/>
  <c r="F70" i="16"/>
  <c r="F13"/>
  <c r="F41"/>
  <c r="DN27" i="12"/>
  <c r="DR27" s="1"/>
  <c r="DR27" i="32"/>
  <c r="DR15"/>
  <c r="DN15" i="12"/>
  <c r="DR15" s="1"/>
  <c r="DN20"/>
  <c r="DR20" s="1"/>
  <c r="DR20" i="32"/>
  <c r="DR21"/>
  <c r="DN21" i="12"/>
  <c r="DR21" s="1"/>
  <c r="DN26"/>
  <c r="DR26" s="1"/>
  <c r="DR26" i="32"/>
  <c r="R29" i="29"/>
  <c r="R29" i="22"/>
  <c r="H28" i="16"/>
  <c r="T18" i="22"/>
  <c r="H22" i="20"/>
  <c r="H34"/>
  <c r="R21" i="29"/>
  <c r="R21" i="22"/>
  <c r="I31" i="16"/>
  <c r="AF21" i="22"/>
  <c r="R17" i="29"/>
  <c r="R17" i="22"/>
  <c r="AB17"/>
  <c r="AH17"/>
  <c r="W17"/>
  <c r="AA17"/>
  <c r="AJ17"/>
  <c r="Z17"/>
  <c r="Y17"/>
  <c r="AE17"/>
  <c r="K16" i="32"/>
  <c r="L16" s="1"/>
  <c r="K16" i="12"/>
  <c r="K16" i="30"/>
  <c r="L16" s="1"/>
  <c r="K28" i="32"/>
  <c r="L28" s="1"/>
  <c r="K28" i="12"/>
  <c r="K28" i="30"/>
  <c r="L28" s="1"/>
  <c r="F19" i="23"/>
  <c r="F18" i="17"/>
  <c r="T26" i="26"/>
  <c r="X26"/>
  <c r="X22" s="1"/>
  <c r="AB26"/>
  <c r="AF26"/>
  <c r="AJ26"/>
  <c r="U26"/>
  <c r="Y26"/>
  <c r="AC26"/>
  <c r="AG26"/>
  <c r="S29" i="29"/>
  <c r="W29"/>
  <c r="AA29"/>
  <c r="AE29"/>
  <c r="AI29"/>
  <c r="N39" i="16" s="1"/>
  <c r="O39" s="1"/>
  <c r="V29" i="29"/>
  <c r="Z29"/>
  <c r="AD29"/>
  <c r="AH29"/>
  <c r="T18"/>
  <c r="X18"/>
  <c r="AB18"/>
  <c r="AF18"/>
  <c r="S18"/>
  <c r="W18"/>
  <c r="AA18"/>
  <c r="AE18"/>
  <c r="AI18"/>
  <c r="N28" i="16" s="1"/>
  <c r="O28" s="1"/>
  <c r="U21" i="29"/>
  <c r="Y21"/>
  <c r="AC21"/>
  <c r="AG21"/>
  <c r="V21"/>
  <c r="Z21"/>
  <c r="AD21"/>
  <c r="AH21"/>
  <c r="S17"/>
  <c r="W17"/>
  <c r="AA17"/>
  <c r="AE17"/>
  <c r="AI17"/>
  <c r="N27" i="16" s="1"/>
  <c r="O27" s="1"/>
  <c r="V17" i="29"/>
  <c r="Z17"/>
  <c r="AD17"/>
  <c r="AH17"/>
  <c r="U9"/>
  <c r="AC9"/>
  <c r="R9" i="22"/>
  <c r="U27" i="29"/>
  <c r="Y27"/>
  <c r="AC27"/>
  <c r="AG27"/>
  <c r="AJ27"/>
  <c r="T27"/>
  <c r="X27"/>
  <c r="AB27"/>
  <c r="AF27"/>
  <c r="AH22" i="25"/>
  <c r="CI25" i="30" s="1"/>
  <c r="T15" i="29"/>
  <c r="X15"/>
  <c r="AC15"/>
  <c r="U15"/>
  <c r="Y15"/>
  <c r="AE15"/>
  <c r="AD15"/>
  <c r="AH15"/>
  <c r="AI15"/>
  <c r="N25" i="16" s="1"/>
  <c r="O25" s="1"/>
  <c r="S13" i="25"/>
  <c r="W13"/>
  <c r="BE14" i="30" s="1"/>
  <c r="AA13" i="25"/>
  <c r="BE18" i="30" s="1"/>
  <c r="X13" i="25"/>
  <c r="AG13"/>
  <c r="U22" i="26"/>
  <c r="U16" s="1"/>
  <c r="Y22"/>
  <c r="T22"/>
  <c r="T16" s="1"/>
  <c r="AB22"/>
  <c r="AF22"/>
  <c r="AJ22"/>
  <c r="AK26"/>
  <c r="K23" i="30"/>
  <c r="L23" s="1"/>
  <c r="K23" i="12"/>
  <c r="K23" i="32"/>
  <c r="L23" s="1"/>
  <c r="K11" i="30"/>
  <c r="L11" s="1"/>
  <c r="K11" i="32"/>
  <c r="L11" s="1"/>
  <c r="K11" i="12"/>
  <c r="K18" i="30"/>
  <c r="L18" s="1"/>
  <c r="K18" i="32"/>
  <c r="L18" s="1"/>
  <c r="K18" i="12"/>
  <c r="R28" i="29"/>
  <c r="R28" i="22"/>
  <c r="R24"/>
  <c r="R24" i="29"/>
  <c r="G34" i="20"/>
  <c r="G22"/>
  <c r="DV12" i="32"/>
  <c r="DT12"/>
  <c r="DU12" s="1"/>
  <c r="N24" i="33"/>
  <c r="K19" i="30"/>
  <c r="L19" s="1"/>
  <c r="K19" i="32"/>
  <c r="L19" s="1"/>
  <c r="K19" i="12"/>
  <c r="N19" i="16"/>
  <c r="O19" s="1"/>
  <c r="K27" i="30"/>
  <c r="L27" s="1"/>
  <c r="K27" i="32"/>
  <c r="L27" s="1"/>
  <c r="K27" i="12"/>
  <c r="R30" i="29"/>
  <c r="R30" i="22"/>
  <c r="F35" i="23"/>
  <c r="F34" i="17"/>
  <c r="R23" i="29"/>
  <c r="R23" i="22"/>
  <c r="R20"/>
  <c r="R20" i="29"/>
  <c r="F26" i="23"/>
  <c r="F25" i="17"/>
  <c r="R19" i="29"/>
  <c r="R19" i="22"/>
  <c r="S14" i="29"/>
  <c r="W14"/>
  <c r="AA14"/>
  <c r="R14"/>
  <c r="R14" i="22"/>
  <c r="V14" i="29"/>
  <c r="Z14"/>
  <c r="AC14"/>
  <c r="AG14"/>
  <c r="AJ14"/>
  <c r="AH14"/>
  <c r="I27" i="30"/>
  <c r="I27" i="32"/>
  <c r="I23"/>
  <c r="I23" i="30"/>
  <c r="I19" i="32"/>
  <c r="I19" i="30"/>
  <c r="I15" i="32"/>
  <c r="I15" i="30"/>
  <c r="I28"/>
  <c r="I28" i="32"/>
  <c r="I24"/>
  <c r="I24" i="30"/>
  <c r="I20" i="32"/>
  <c r="I20" i="30"/>
  <c r="I16"/>
  <c r="I16" i="32"/>
  <c r="R10" i="29"/>
  <c r="R10" i="22"/>
  <c r="S33" i="20"/>
  <c r="S21"/>
  <c r="AB26" i="5"/>
  <c r="T26"/>
  <c r="AG26"/>
  <c r="Y26"/>
  <c r="AH26"/>
  <c r="Z26"/>
  <c r="S26"/>
  <c r="AE26"/>
  <c r="W26"/>
  <c r="AF26"/>
  <c r="X26"/>
  <c r="AK26"/>
  <c r="AC26"/>
  <c r="U26"/>
  <c r="AD26"/>
  <c r="V26"/>
  <c r="AI26"/>
  <c r="AA26"/>
  <c r="AJ26"/>
  <c r="DR19" i="32"/>
  <c r="DN19" i="12"/>
  <c r="DR19" s="1"/>
  <c r="I41" i="16"/>
  <c r="I70"/>
  <c r="O33" i="19" s="1"/>
  <c r="DN24" i="12"/>
  <c r="DR24" s="1"/>
  <c r="DR24" i="32"/>
  <c r="DN25" i="12"/>
  <c r="DR25" s="1"/>
  <c r="DR25" i="32"/>
  <c r="DN10" i="12"/>
  <c r="DR10" s="1"/>
  <c r="DR10" i="32"/>
  <c r="DR14"/>
  <c r="DN14" i="12"/>
  <c r="DR14" s="1"/>
  <c r="DR23" i="32"/>
  <c r="DN23" i="12"/>
  <c r="DR23" s="1"/>
  <c r="DN28"/>
  <c r="DR28" s="1"/>
  <c r="DR28" i="32"/>
  <c r="H70" i="16"/>
  <c r="M33" i="19" s="1"/>
  <c r="H41" i="16"/>
  <c r="DN12" i="12"/>
  <c r="DR12" s="1"/>
  <c r="DR13" i="32"/>
  <c r="DN13" i="12"/>
  <c r="DR13" s="1"/>
  <c r="DR18" i="32"/>
  <c r="DN18" i="12"/>
  <c r="DR18" s="1"/>
  <c r="DS18" s="1"/>
  <c r="AD24" i="33"/>
  <c r="AF22" i="5"/>
  <c r="V22"/>
  <c r="V16" s="1"/>
  <c r="Z22"/>
  <c r="AJ22"/>
  <c r="AJ16" s="1"/>
  <c r="T22"/>
  <c r="Y22"/>
  <c r="AE22"/>
  <c r="X22"/>
  <c r="X16" s="1"/>
  <c r="U22"/>
  <c r="S22"/>
  <c r="S16" s="1"/>
  <c r="AD22"/>
  <c r="AH22"/>
  <c r="AA22"/>
  <c r="AB22"/>
  <c r="AB16" s="1"/>
  <c r="AG22"/>
  <c r="AI22"/>
  <c r="AI16" s="1"/>
  <c r="W22"/>
  <c r="AC22"/>
  <c r="AC16" s="1"/>
  <c r="AK22"/>
  <c r="R18" i="22"/>
  <c r="R18" i="29"/>
  <c r="I28" i="16"/>
  <c r="AF18" i="22"/>
  <c r="F28" i="16"/>
  <c r="AI18" i="22"/>
  <c r="H33" i="20"/>
  <c r="H21"/>
  <c r="F27" i="17"/>
  <c r="F28" i="23"/>
  <c r="H31" i="16"/>
  <c r="T21" i="22"/>
  <c r="AI21"/>
  <c r="F31" i="16"/>
  <c r="X17" i="22"/>
  <c r="Y16" i="5"/>
  <c r="I27" i="16"/>
  <c r="AF17" i="22"/>
  <c r="AG16" i="5"/>
  <c r="U17" i="22"/>
  <c r="H27" i="16"/>
  <c r="T17" i="22"/>
  <c r="U16" i="5"/>
  <c r="U13" s="1"/>
  <c r="AG17" i="22"/>
  <c r="AH16" i="5"/>
  <c r="V17" i="22"/>
  <c r="W16" i="5"/>
  <c r="W13" s="1"/>
  <c r="AD17" i="22"/>
  <c r="AE16" i="5"/>
  <c r="S17" i="22"/>
  <c r="T16" i="5"/>
  <c r="AC17" i="22"/>
  <c r="AD16" i="5"/>
  <c r="AI17" i="22"/>
  <c r="F27" i="16"/>
  <c r="R27" i="29"/>
  <c r="R27" i="22"/>
  <c r="R15"/>
  <c r="R15" i="29"/>
  <c r="R12"/>
  <c r="R12" i="22"/>
  <c r="AJ26" i="25"/>
  <c r="CX27" i="30" s="1"/>
  <c r="F16" i="20"/>
  <c r="F19" s="1"/>
  <c r="AA8" i="25"/>
  <c r="W8"/>
  <c r="V9" i="29"/>
  <c r="AD9"/>
  <c r="AH9"/>
  <c r="AK26" i="25"/>
  <c r="CX28" i="30" s="1"/>
  <c r="V26" i="26"/>
  <c r="Z26"/>
  <c r="AD26"/>
  <c r="AH26"/>
  <c r="S26"/>
  <c r="W26"/>
  <c r="W22" s="1"/>
  <c r="AA26"/>
  <c r="AE26"/>
  <c r="AI26"/>
  <c r="E16" i="20"/>
  <c r="E19" s="1"/>
  <c r="E21" s="1"/>
  <c r="U29" i="29"/>
  <c r="Y29"/>
  <c r="AC29"/>
  <c r="AG29"/>
  <c r="AJ29"/>
  <c r="T29"/>
  <c r="X29"/>
  <c r="AB29"/>
  <c r="AF29"/>
  <c r="V18"/>
  <c r="Z18"/>
  <c r="AD18"/>
  <c r="AH18"/>
  <c r="U18"/>
  <c r="Y18"/>
  <c r="AC18"/>
  <c r="AG18"/>
  <c r="AJ18"/>
  <c r="S21"/>
  <c r="W21"/>
  <c r="AA21"/>
  <c r="AE21"/>
  <c r="T21"/>
  <c r="X21"/>
  <c r="AB21"/>
  <c r="AF21"/>
  <c r="U17"/>
  <c r="Y17"/>
  <c r="AC17"/>
  <c r="AG17"/>
  <c r="AJ17"/>
  <c r="T17"/>
  <c r="X17"/>
  <c r="AB17"/>
  <c r="AF17"/>
  <c r="Y9"/>
  <c r="AG9"/>
  <c r="R9"/>
  <c r="T9"/>
  <c r="AB9"/>
  <c r="AF9"/>
  <c r="S27"/>
  <c r="W27"/>
  <c r="AA27"/>
  <c r="AE27"/>
  <c r="AI27"/>
  <c r="N37" i="16" s="1"/>
  <c r="O37" s="1"/>
  <c r="V27" i="29"/>
  <c r="Z27"/>
  <c r="AD27"/>
  <c r="AH27"/>
  <c r="AJ22" i="25"/>
  <c r="CI27" i="30" s="1"/>
  <c r="V15" i="29"/>
  <c r="Z15"/>
  <c r="S15"/>
  <c r="W15"/>
  <c r="AA15"/>
  <c r="AB15"/>
  <c r="AF15"/>
  <c r="AG15"/>
  <c r="AJ15"/>
  <c r="V13" i="25"/>
  <c r="BE13" i="30" s="1"/>
  <c r="AD13" i="25"/>
  <c r="BE21" i="30" s="1"/>
  <c r="AE13" i="25"/>
  <c r="BE22" i="30" s="1"/>
  <c r="S22" i="26"/>
  <c r="S16" s="1"/>
  <c r="AC22"/>
  <c r="V22"/>
  <c r="V16" s="1"/>
  <c r="Z22"/>
  <c r="Z16" s="1"/>
  <c r="AD22"/>
  <c r="AG22"/>
  <c r="AK22"/>
  <c r="CI19" i="30" l="1"/>
  <c r="AB16" i="25"/>
  <c r="CI11" i="30"/>
  <c r="T16" i="25"/>
  <c r="U33" i="20"/>
  <c r="DQ11" i="30"/>
  <c r="DQ13"/>
  <c r="DQ21"/>
  <c r="DQ10"/>
  <c r="DQ18"/>
  <c r="DQ26"/>
  <c r="DQ19"/>
  <c r="DQ12"/>
  <c r="DQ20"/>
  <c r="DQ28"/>
  <c r="DQ17"/>
  <c r="DQ25"/>
  <c r="DQ14"/>
  <c r="DQ22"/>
  <c r="DQ15"/>
  <c r="DQ23"/>
  <c r="DQ16"/>
  <c r="DQ24"/>
  <c r="DQ27"/>
  <c r="AC22" i="25"/>
  <c r="CI20" i="30" s="1"/>
  <c r="U16" i="20"/>
  <c r="U19" s="1"/>
  <c r="R16" i="29"/>
  <c r="R16" i="22"/>
  <c r="BS10" i="30"/>
  <c r="BW10" s="1"/>
  <c r="S13" i="26"/>
  <c r="R3" i="16"/>
  <c r="H52"/>
  <c r="M15" i="19" s="1"/>
  <c r="T13" i="22"/>
  <c r="H23" i="16"/>
  <c r="BF12" i="12"/>
  <c r="BJ12" s="1"/>
  <c r="BF12" i="32"/>
  <c r="U8" i="5"/>
  <c r="AB16" i="22"/>
  <c r="BV20" i="32"/>
  <c r="BU20" i="12"/>
  <c r="BY20" s="1"/>
  <c r="AC13" i="5"/>
  <c r="AH16" i="22"/>
  <c r="BU26" i="12"/>
  <c r="BY26" s="1"/>
  <c r="BV26" i="32"/>
  <c r="AI13" i="5"/>
  <c r="AA16" i="22"/>
  <c r="BU19" i="12"/>
  <c r="BY19" s="1"/>
  <c r="BV19" i="32"/>
  <c r="AB13" i="5"/>
  <c r="BU10" i="12"/>
  <c r="BY10" s="1"/>
  <c r="BV10" i="32"/>
  <c r="S13" i="5"/>
  <c r="BU15" i="12"/>
  <c r="BY15" s="1"/>
  <c r="W16" i="22"/>
  <c r="BV15" i="32"/>
  <c r="X13" i="5"/>
  <c r="AI16" i="22"/>
  <c r="F26" i="16"/>
  <c r="X1"/>
  <c r="F55"/>
  <c r="F10"/>
  <c r="BV27" i="32"/>
  <c r="BU27" i="12"/>
  <c r="BY27" s="1"/>
  <c r="AJ13" i="5"/>
  <c r="BU13" i="12"/>
  <c r="BY13" s="1"/>
  <c r="U16" i="22"/>
  <c r="BV13" i="32"/>
  <c r="V13" i="5"/>
  <c r="BF14" i="32"/>
  <c r="V13" i="22"/>
  <c r="BF14" i="12"/>
  <c r="BJ14" s="1"/>
  <c r="W8" i="5"/>
  <c r="BS17" i="30"/>
  <c r="BW17" s="1"/>
  <c r="Z13" i="26"/>
  <c r="V22" i="29"/>
  <c r="CH14" i="30"/>
  <c r="CL14" s="1"/>
  <c r="W16" i="26"/>
  <c r="S16" i="29"/>
  <c r="BS11" i="30"/>
  <c r="BW11" s="1"/>
  <c r="T13" i="26"/>
  <c r="BS12" i="30"/>
  <c r="BW12" s="1"/>
  <c r="U13" i="26"/>
  <c r="W22" i="29"/>
  <c r="CH15" i="30"/>
  <c r="CL15" s="1"/>
  <c r="X16" i="26"/>
  <c r="AC22" i="29"/>
  <c r="CH21" i="30"/>
  <c r="CL21" s="1"/>
  <c r="AB22" i="29"/>
  <c r="CH20" i="30"/>
  <c r="CL20" s="1"/>
  <c r="K10"/>
  <c r="K10" i="12"/>
  <c r="K10" i="32"/>
  <c r="AD26" i="29"/>
  <c r="CW22" i="30"/>
  <c r="DA22" s="1"/>
  <c r="AG26" i="29"/>
  <c r="CW25" i="30"/>
  <c r="DA25" s="1"/>
  <c r="Y26" i="29"/>
  <c r="CW17" i="30"/>
  <c r="DA17" s="1"/>
  <c r="CH28"/>
  <c r="CL28" s="1"/>
  <c r="AK16" i="26"/>
  <c r="U22" i="29"/>
  <c r="CH13" i="30"/>
  <c r="CL13" s="1"/>
  <c r="K24" i="32"/>
  <c r="L24" s="1"/>
  <c r="K24" i="12"/>
  <c r="K24" i="30"/>
  <c r="L24" s="1"/>
  <c r="K12" i="32"/>
  <c r="L12" s="1"/>
  <c r="K12" i="30"/>
  <c r="L12" s="1"/>
  <c r="K12" i="12"/>
  <c r="K25" i="32"/>
  <c r="L25" s="1"/>
  <c r="K25" i="30"/>
  <c r="L25" s="1"/>
  <c r="K25" i="12"/>
  <c r="AH26" i="29"/>
  <c r="CW26" i="30"/>
  <c r="DA26" s="1"/>
  <c r="Z26" i="29"/>
  <c r="CW18" i="30"/>
  <c r="DA18" s="1"/>
  <c r="R26" i="29"/>
  <c r="R26" i="22"/>
  <c r="CW10" i="30"/>
  <c r="DA10" s="1"/>
  <c r="AC26" i="29"/>
  <c r="CW21" i="30"/>
  <c r="DA21" s="1"/>
  <c r="U26" i="29"/>
  <c r="CW13" i="30"/>
  <c r="DA13" s="1"/>
  <c r="K26" i="32"/>
  <c r="L26" s="1"/>
  <c r="K26" i="30"/>
  <c r="L26" s="1"/>
  <c r="K26" i="12"/>
  <c r="K14" i="32"/>
  <c r="L14" s="1"/>
  <c r="K14" i="12"/>
  <c r="K14" i="30"/>
  <c r="L14" s="1"/>
  <c r="AP14"/>
  <c r="W7" i="25"/>
  <c r="AA14" i="30" s="1"/>
  <c r="F34" i="20"/>
  <c r="F22"/>
  <c r="X4" i="16"/>
  <c r="AF16" i="22"/>
  <c r="I55" i="16"/>
  <c r="O18" i="19" s="1"/>
  <c r="BU24" i="12"/>
  <c r="BY24" s="1"/>
  <c r="I26" i="16"/>
  <c r="BV24" i="32"/>
  <c r="CL28"/>
  <c r="CJ28" i="12"/>
  <c r="CN28" s="1"/>
  <c r="AJ22" i="22"/>
  <c r="V22"/>
  <c r="CL14" i="32"/>
  <c r="CJ14" i="12"/>
  <c r="CN14" s="1"/>
  <c r="AF22" i="22"/>
  <c r="I61" i="16"/>
  <c r="O24" i="19" s="1"/>
  <c r="AD4" i="16"/>
  <c r="I32"/>
  <c r="CJ24" i="12"/>
  <c r="CN24" s="1"/>
  <c r="CL24" i="32"/>
  <c r="Z22" i="22"/>
  <c r="CL18" i="32"/>
  <c r="CJ18" i="12"/>
  <c r="CN18" s="1"/>
  <c r="AC22" i="22"/>
  <c r="CJ21" i="12"/>
  <c r="CN21" s="1"/>
  <c r="CL21" i="32"/>
  <c r="H32" i="16"/>
  <c r="H61"/>
  <c r="M24" i="19" s="1"/>
  <c r="AD3" i="16"/>
  <c r="T22" i="22"/>
  <c r="CJ12" i="12"/>
  <c r="CN12" s="1"/>
  <c r="CL12" i="32"/>
  <c r="AD22" i="22"/>
  <c r="CJ22" i="12"/>
  <c r="CN22" s="1"/>
  <c r="CL22" i="32"/>
  <c r="S22" i="22"/>
  <c r="CJ11" i="12"/>
  <c r="CN11" s="1"/>
  <c r="CL11" i="32"/>
  <c r="Y22" i="22"/>
  <c r="CJ17" i="12"/>
  <c r="CN17" s="1"/>
  <c r="CL17" i="32"/>
  <c r="AE22" i="22"/>
  <c r="CL23" i="32"/>
  <c r="CJ23" i="12"/>
  <c r="CN23" s="1"/>
  <c r="DT18" i="32"/>
  <c r="DU18" s="1"/>
  <c r="DV18"/>
  <c r="DV13"/>
  <c r="DT13"/>
  <c r="DU13" s="1"/>
  <c r="DT28"/>
  <c r="DU28" s="1"/>
  <c r="DV28"/>
  <c r="DT10"/>
  <c r="DU10" s="1"/>
  <c r="DV10"/>
  <c r="DV25"/>
  <c r="DT25"/>
  <c r="DU25" s="1"/>
  <c r="DV24"/>
  <c r="DT24"/>
  <c r="DU24" s="1"/>
  <c r="F12" i="16"/>
  <c r="F65"/>
  <c r="AJ1"/>
  <c r="F36"/>
  <c r="AI26" i="22"/>
  <c r="DB27" i="32"/>
  <c r="CY27" i="12"/>
  <c r="DC27" s="1"/>
  <c r="AH26" i="22"/>
  <c r="CY26" i="12"/>
  <c r="DC26" s="1"/>
  <c r="DB26" i="32"/>
  <c r="AC26" i="22"/>
  <c r="DB21" i="32"/>
  <c r="CY21" i="12"/>
  <c r="DC21" s="1"/>
  <c r="AB26" i="22"/>
  <c r="DB20" i="32"/>
  <c r="CY20" i="12"/>
  <c r="DC20" s="1"/>
  <c r="W26" i="22"/>
  <c r="DB15" i="32"/>
  <c r="CY15" i="12"/>
  <c r="DC15" s="1"/>
  <c r="V26" i="22"/>
  <c r="DB14" i="32"/>
  <c r="CY14" i="12"/>
  <c r="DC14" s="1"/>
  <c r="CY10"/>
  <c r="DC10" s="1"/>
  <c r="DB10" i="32"/>
  <c r="AG26" i="22"/>
  <c r="CY25" i="12"/>
  <c r="DC25" s="1"/>
  <c r="DB25" i="32"/>
  <c r="AF26" i="22"/>
  <c r="AJ4" i="16"/>
  <c r="I65"/>
  <c r="O28" i="19" s="1"/>
  <c r="I36" i="16"/>
  <c r="DB24" i="32"/>
  <c r="CY24" i="12"/>
  <c r="DC24" s="1"/>
  <c r="AA26" i="22"/>
  <c r="DB19" i="32"/>
  <c r="CY19" i="12"/>
  <c r="DC19" s="1"/>
  <c r="F15" i="17"/>
  <c r="F16" i="23"/>
  <c r="M18" i="12"/>
  <c r="L18"/>
  <c r="AJ26" i="29"/>
  <c r="CW28" i="30"/>
  <c r="DA28" s="1"/>
  <c r="AI22" i="29"/>
  <c r="CH27" i="30"/>
  <c r="CL27" s="1"/>
  <c r="AA22" i="29"/>
  <c r="CH19" i="30"/>
  <c r="CL19" s="1"/>
  <c r="X22" i="29"/>
  <c r="CH16" i="30"/>
  <c r="CL16" s="1"/>
  <c r="BE24"/>
  <c r="AG8" i="25"/>
  <c r="F21" i="17"/>
  <c r="F22" i="23"/>
  <c r="K21" i="30"/>
  <c r="L21" s="1"/>
  <c r="K21" i="32"/>
  <c r="L21" s="1"/>
  <c r="K21" i="12"/>
  <c r="F24" i="17"/>
  <c r="F25" i="23"/>
  <c r="AF26" i="29"/>
  <c r="CW24" i="30"/>
  <c r="DA24" s="1"/>
  <c r="X26" i="29"/>
  <c r="CW16" i="30"/>
  <c r="DA16" s="1"/>
  <c r="AI26" i="29"/>
  <c r="CW27" i="30"/>
  <c r="DA27" s="1"/>
  <c r="AA26" i="29"/>
  <c r="CW19" i="30"/>
  <c r="DA19" s="1"/>
  <c r="S26" i="29"/>
  <c r="CW11" i="30"/>
  <c r="DA11" s="1"/>
  <c r="L16" i="12"/>
  <c r="M16"/>
  <c r="DV21" i="32"/>
  <c r="DT21"/>
  <c r="DU21" s="1"/>
  <c r="DV15"/>
  <c r="DT15"/>
  <c r="DU15" s="1"/>
  <c r="D13" i="16"/>
  <c r="E11" i="23"/>
  <c r="C13" i="16"/>
  <c r="DT22" i="32"/>
  <c r="DU22" s="1"/>
  <c r="DV22"/>
  <c r="DT17"/>
  <c r="DU17" s="1"/>
  <c r="DV17"/>
  <c r="DV16"/>
  <c r="DT16"/>
  <c r="DU16" s="1"/>
  <c r="DT11"/>
  <c r="DU11" s="1"/>
  <c r="DV11"/>
  <c r="AD16" i="26"/>
  <c r="AH22"/>
  <c r="AE22"/>
  <c r="AK22" i="25"/>
  <c r="AE8"/>
  <c r="V8"/>
  <c r="AD8"/>
  <c r="DS23" i="12"/>
  <c r="DS14"/>
  <c r="DS19"/>
  <c r="AJ16" i="26"/>
  <c r="AB16"/>
  <c r="AF16" i="5"/>
  <c r="Z16"/>
  <c r="AA16"/>
  <c r="AK16"/>
  <c r="DS26" i="12"/>
  <c r="DS20"/>
  <c r="DS27"/>
  <c r="F21" i="20"/>
  <c r="AF16" i="25"/>
  <c r="Y16"/>
  <c r="AC16" i="26"/>
  <c r="U16" i="25"/>
  <c r="Z16"/>
  <c r="Y16" i="29" s="1"/>
  <c r="AF22"/>
  <c r="CH24" i="30"/>
  <c r="CL24" s="1"/>
  <c r="Y22" i="29"/>
  <c r="CH17" i="30"/>
  <c r="CL17" s="1"/>
  <c r="R22" i="29"/>
  <c r="R22" i="22"/>
  <c r="CH10" i="30"/>
  <c r="CL10" s="1"/>
  <c r="U16" i="29"/>
  <c r="BS13" i="30"/>
  <c r="BW13" s="1"/>
  <c r="F34" i="23"/>
  <c r="F33" i="17"/>
  <c r="K20" i="32"/>
  <c r="L20" s="1"/>
  <c r="K20" i="30"/>
  <c r="L20" s="1"/>
  <c r="K20" i="12"/>
  <c r="K17" i="32"/>
  <c r="L17" s="1"/>
  <c r="K17" i="12"/>
  <c r="K17" i="30"/>
  <c r="L17" s="1"/>
  <c r="E34" i="20"/>
  <c r="E22"/>
  <c r="V26" i="29"/>
  <c r="CW14" i="30"/>
  <c r="DA14" s="1"/>
  <c r="K22" i="32"/>
  <c r="L22" s="1"/>
  <c r="K22" i="30"/>
  <c r="L22" s="1"/>
  <c r="K22" i="12"/>
  <c r="AP18" i="30"/>
  <c r="AA7" i="25"/>
  <c r="AA18" i="30" s="1"/>
  <c r="E24" i="23"/>
  <c r="E23" i="17"/>
  <c r="BU21" i="12"/>
  <c r="BY21" s="1"/>
  <c r="AC16" i="22"/>
  <c r="BV21" i="32"/>
  <c r="S16" i="22"/>
  <c r="BU11" i="12"/>
  <c r="BY11" s="1"/>
  <c r="BV11" i="32"/>
  <c r="AD16" i="22"/>
  <c r="BU22" i="12"/>
  <c r="BY22" s="1"/>
  <c r="BV22" i="32"/>
  <c r="V16" i="22"/>
  <c r="BV14" i="32"/>
  <c r="BU14" i="12"/>
  <c r="BY14" s="1"/>
  <c r="AG16" i="22"/>
  <c r="BV25" i="32"/>
  <c r="BU25" i="12"/>
  <c r="BY25" s="1"/>
  <c r="X3" i="16"/>
  <c r="Y3" s="1"/>
  <c r="H26"/>
  <c r="T16" i="22"/>
  <c r="H55" i="16"/>
  <c r="M18" i="19" s="1"/>
  <c r="BU12" i="12"/>
  <c r="BY12" s="1"/>
  <c r="BV12" i="32"/>
  <c r="X16" i="22"/>
  <c r="BV16" i="32"/>
  <c r="BU16" i="12"/>
  <c r="BY16" s="1"/>
  <c r="E27" i="17"/>
  <c r="E28" i="23"/>
  <c r="E24" i="17"/>
  <c r="E25" i="23"/>
  <c r="AB22" i="22"/>
  <c r="CL20" i="32"/>
  <c r="CJ20" i="12"/>
  <c r="CN20" s="1"/>
  <c r="AH22" i="22"/>
  <c r="CJ26" i="12"/>
  <c r="CN26" s="1"/>
  <c r="CL26" i="32"/>
  <c r="AA22" i="22"/>
  <c r="CL19" i="32"/>
  <c r="CJ19" i="12"/>
  <c r="CN19" s="1"/>
  <c r="AG22" i="22"/>
  <c r="CL25" i="32"/>
  <c r="CJ25" i="12"/>
  <c r="CN25" s="1"/>
  <c r="CL10" i="32"/>
  <c r="CJ10" i="12"/>
  <c r="CN10" s="1"/>
  <c r="W22" i="22"/>
  <c r="CJ15" i="12"/>
  <c r="CN15" s="1"/>
  <c r="CL15" i="32"/>
  <c r="X22" i="22"/>
  <c r="CL16" i="32"/>
  <c r="CJ16" i="12"/>
  <c r="CN16" s="1"/>
  <c r="F32" i="16"/>
  <c r="AD1"/>
  <c r="AI22" i="22"/>
  <c r="F61" i="16"/>
  <c r="F11"/>
  <c r="CL27" i="32"/>
  <c r="CJ27" i="12"/>
  <c r="CN27" s="1"/>
  <c r="U22" i="22"/>
  <c r="CL13" i="32"/>
  <c r="CJ13" i="12"/>
  <c r="CN13" s="1"/>
  <c r="DT23" i="32"/>
  <c r="DU23" s="1"/>
  <c r="DV23"/>
  <c r="DV14"/>
  <c r="DT14"/>
  <c r="DU14" s="1"/>
  <c r="DT19"/>
  <c r="DU19" s="1"/>
  <c r="DV19"/>
  <c r="Z26" i="22"/>
  <c r="DB18" i="32"/>
  <c r="CY18" i="12"/>
  <c r="DC18" s="1"/>
  <c r="U26" i="22"/>
  <c r="DB13" i="32"/>
  <c r="CY13" i="12"/>
  <c r="DC13" s="1"/>
  <c r="H65" i="16"/>
  <c r="M28" i="19" s="1"/>
  <c r="H36" i="16"/>
  <c r="AJ3"/>
  <c r="AK3" s="1"/>
  <c r="T26" i="22"/>
  <c r="CY12" i="12"/>
  <c r="DC12" s="1"/>
  <c r="DB12" i="32"/>
  <c r="AJ26" i="22"/>
  <c r="DB28" i="32"/>
  <c r="CY28" i="12"/>
  <c r="DC28" s="1"/>
  <c r="AE26" i="22"/>
  <c r="DB23" i="32"/>
  <c r="CY23" i="12"/>
  <c r="DC23" s="1"/>
  <c r="AD26" i="22"/>
  <c r="DB22" i="32"/>
  <c r="CY22" i="12"/>
  <c r="DC22" s="1"/>
  <c r="Y26" i="22"/>
  <c r="CY17" i="12"/>
  <c r="DC17" s="1"/>
  <c r="DB17" i="32"/>
  <c r="X26" i="22"/>
  <c r="DB16" i="32"/>
  <c r="CY16" i="12"/>
  <c r="DC16" s="1"/>
  <c r="S26" i="22"/>
  <c r="DB11" i="32"/>
  <c r="CY11" i="12"/>
  <c r="DC11" s="1"/>
  <c r="L27"/>
  <c r="M27"/>
  <c r="L19"/>
  <c r="M19"/>
  <c r="M11"/>
  <c r="L11"/>
  <c r="M23"/>
  <c r="L23"/>
  <c r="AE22" i="29"/>
  <c r="CH23" i="30"/>
  <c r="CL23" s="1"/>
  <c r="S22" i="29"/>
  <c r="CH11" i="30"/>
  <c r="CL11" s="1"/>
  <c r="T22" i="29"/>
  <c r="CH12" i="30"/>
  <c r="CL12" s="1"/>
  <c r="BE15"/>
  <c r="X8" i="25"/>
  <c r="BE10" i="30"/>
  <c r="S8" i="25"/>
  <c r="K13" i="30"/>
  <c r="L13" s="1"/>
  <c r="K13" i="12"/>
  <c r="K13" i="32"/>
  <c r="L13" s="1"/>
  <c r="F23" i="17"/>
  <c r="F24" i="23"/>
  <c r="F36"/>
  <c r="F35" i="17"/>
  <c r="AB26" i="29"/>
  <c r="CW20" i="30"/>
  <c r="DA20" s="1"/>
  <c r="T26" i="29"/>
  <c r="CW12" i="30"/>
  <c r="DA12" s="1"/>
  <c r="AE26" i="29"/>
  <c r="CW23" i="30"/>
  <c r="DA23" s="1"/>
  <c r="W26" i="29"/>
  <c r="CW15" i="30"/>
  <c r="DA15" s="1"/>
  <c r="DB15" s="1"/>
  <c r="M28" i="12"/>
  <c r="L28"/>
  <c r="DV26" i="32"/>
  <c r="DT26"/>
  <c r="DU26" s="1"/>
  <c r="DV20"/>
  <c r="DT20"/>
  <c r="DU20" s="1"/>
  <c r="DV27"/>
  <c r="DW27" s="1"/>
  <c r="DT27"/>
  <c r="DU27" s="1"/>
  <c r="L70" i="16"/>
  <c r="I33" i="19"/>
  <c r="F20" i="17"/>
  <c r="F21" i="23"/>
  <c r="L15" i="12"/>
  <c r="M15"/>
  <c r="T13" i="5"/>
  <c r="AD13"/>
  <c r="AH13"/>
  <c r="AG13"/>
  <c r="AE13"/>
  <c r="Y13"/>
  <c r="DS13" i="12"/>
  <c r="DS12"/>
  <c r="DS28"/>
  <c r="DS10"/>
  <c r="DS25"/>
  <c r="DS24"/>
  <c r="DW12" i="32"/>
  <c r="AI22" i="26"/>
  <c r="AA22"/>
  <c r="AF16"/>
  <c r="DS21" i="12"/>
  <c r="DS15"/>
  <c r="DS22"/>
  <c r="DS17"/>
  <c r="DS16"/>
  <c r="DS11"/>
  <c r="V13" i="26"/>
  <c r="AJ16" i="25"/>
  <c r="AG16" i="26"/>
  <c r="Y16"/>
  <c r="AI13" i="25"/>
  <c r="AC16"/>
  <c r="AH16"/>
  <c r="U22" i="20" l="1"/>
  <c r="U34"/>
  <c r="DR28" i="30"/>
  <c r="DR24"/>
  <c r="DR20"/>
  <c r="DR16"/>
  <c r="DR12"/>
  <c r="DR27"/>
  <c r="DR23"/>
  <c r="DR19"/>
  <c r="DR15"/>
  <c r="DR11"/>
  <c r="DR26"/>
  <c r="DR22"/>
  <c r="DR18"/>
  <c r="DR14"/>
  <c r="DR10"/>
  <c r="DR25"/>
  <c r="DR21"/>
  <c r="DR17"/>
  <c r="DR13"/>
  <c r="BT11"/>
  <c r="T13" i="25"/>
  <c r="BT19" i="30"/>
  <c r="AB13" i="25"/>
  <c r="DD16" i="12"/>
  <c r="CO27"/>
  <c r="U21" i="20"/>
  <c r="BU17" i="30"/>
  <c r="BV17" s="1"/>
  <c r="BW17" i="12"/>
  <c r="BX17" s="1"/>
  <c r="BT25" i="30"/>
  <c r="AH13" i="25"/>
  <c r="BE26" i="30"/>
  <c r="AI8" i="25"/>
  <c r="AF16" i="29"/>
  <c r="BS24" i="30"/>
  <c r="BW24" s="1"/>
  <c r="AG13" i="26"/>
  <c r="U13" i="29"/>
  <c r="BD13" i="30"/>
  <c r="BH13" s="1"/>
  <c r="V8" i="26"/>
  <c r="Z22" i="29"/>
  <c r="CH18" i="30"/>
  <c r="CL18" s="1"/>
  <c r="AA16" i="26"/>
  <c r="BF22" i="32"/>
  <c r="AD13" i="22"/>
  <c r="BF22" i="12"/>
  <c r="BJ22" s="1"/>
  <c r="AE8" i="5"/>
  <c r="BF25" i="12"/>
  <c r="BJ25" s="1"/>
  <c r="AG13" i="22"/>
  <c r="BF25" i="32"/>
  <c r="AH8" i="5"/>
  <c r="BF11" i="32"/>
  <c r="BF11" i="12"/>
  <c r="BJ11" s="1"/>
  <c r="S13" i="22"/>
  <c r="T8" i="5"/>
  <c r="CY15" i="30"/>
  <c r="CZ15" s="1"/>
  <c r="DA15" i="12"/>
  <c r="DB15" s="1"/>
  <c r="CY23" i="30"/>
  <c r="CZ23" s="1"/>
  <c r="DA23" i="12"/>
  <c r="DB23" s="1"/>
  <c r="CY12" i="30"/>
  <c r="CZ12" s="1"/>
  <c r="DA12" i="12"/>
  <c r="DB12" s="1"/>
  <c r="CY20" i="30"/>
  <c r="CZ20" s="1"/>
  <c r="DA20" i="12"/>
  <c r="DB20" s="1"/>
  <c r="L13"/>
  <c r="M13"/>
  <c r="AP10" i="30"/>
  <c r="S7" i="25"/>
  <c r="AA10" i="30" s="1"/>
  <c r="AP15"/>
  <c r="X7" i="25"/>
  <c r="AA15" i="30" s="1"/>
  <c r="DD16" i="32"/>
  <c r="DE16" s="1"/>
  <c r="DF16"/>
  <c r="DF17"/>
  <c r="DD17"/>
  <c r="DE17" s="1"/>
  <c r="DF22"/>
  <c r="DD22"/>
  <c r="DE22" s="1"/>
  <c r="DF28"/>
  <c r="DD28"/>
  <c r="DE28" s="1"/>
  <c r="DD12"/>
  <c r="DE12" s="1"/>
  <c r="DF12"/>
  <c r="DF18"/>
  <c r="DD18"/>
  <c r="DE18" s="1"/>
  <c r="CP27"/>
  <c r="CN27"/>
  <c r="CO27" s="1"/>
  <c r="I24" i="19"/>
  <c r="L61" i="16"/>
  <c r="AE1"/>
  <c r="AE2"/>
  <c r="CN19" i="32"/>
  <c r="CO19" s="1"/>
  <c r="CP19"/>
  <c r="CP26"/>
  <c r="CN26"/>
  <c r="CO26" s="1"/>
  <c r="CP20"/>
  <c r="CN20"/>
  <c r="CO20" s="1"/>
  <c r="BZ25"/>
  <c r="BX25"/>
  <c r="BY25" s="1"/>
  <c r="BX11"/>
  <c r="BY11" s="1"/>
  <c r="BZ11"/>
  <c r="M22" i="12"/>
  <c r="L22"/>
  <c r="CY14" i="30"/>
  <c r="CZ14" s="1"/>
  <c r="DA14" i="12"/>
  <c r="DB14" s="1"/>
  <c r="C23" i="20"/>
  <c r="C24"/>
  <c r="C25"/>
  <c r="G4" i="21" s="1"/>
  <c r="CJ10" i="30"/>
  <c r="CK10" s="1"/>
  <c r="CL10" i="12"/>
  <c r="CM10" s="1"/>
  <c r="CJ17" i="30"/>
  <c r="CK17" s="1"/>
  <c r="CL17" i="12"/>
  <c r="CM17" s="1"/>
  <c r="CJ24" i="30"/>
  <c r="CK24" s="1"/>
  <c r="CL24" i="12"/>
  <c r="CM24" s="1"/>
  <c r="BT12" i="30"/>
  <c r="U13" i="25"/>
  <c r="BT16" i="30"/>
  <c r="Y13" i="25"/>
  <c r="BV28" i="32"/>
  <c r="BU28" i="12"/>
  <c r="BY28" s="1"/>
  <c r="AJ16" i="22"/>
  <c r="AK13" i="5"/>
  <c r="BU17" i="12"/>
  <c r="BY17" s="1"/>
  <c r="Y16" i="22"/>
  <c r="BV17" i="32"/>
  <c r="Z13" i="5"/>
  <c r="AA16" i="29"/>
  <c r="BS19" i="30"/>
  <c r="BW19" s="1"/>
  <c r="AB13" i="26"/>
  <c r="AP13" i="30"/>
  <c r="V7" i="25"/>
  <c r="AA13" i="30" s="1"/>
  <c r="CI28"/>
  <c r="AK16" i="25"/>
  <c r="AG22" i="29"/>
  <c r="CH25" i="30"/>
  <c r="CL25" s="1"/>
  <c r="AH16" i="26"/>
  <c r="L21" i="12"/>
  <c r="M21"/>
  <c r="CJ16" i="30"/>
  <c r="CK16" s="1"/>
  <c r="CL16" i="12"/>
  <c r="CM16" s="1"/>
  <c r="CJ19" i="30"/>
  <c r="CK19" s="1"/>
  <c r="CL19" i="12"/>
  <c r="CM19" s="1"/>
  <c r="CJ27" i="30"/>
  <c r="CK27" s="1"/>
  <c r="CL27" i="12"/>
  <c r="CM27" s="1"/>
  <c r="N32" i="16"/>
  <c r="O32" s="1"/>
  <c r="J11"/>
  <c r="CY28" i="30"/>
  <c r="CZ28" s="1"/>
  <c r="DA28" i="12"/>
  <c r="DB28" s="1"/>
  <c r="DF19" i="32"/>
  <c r="DD19"/>
  <c r="DE19" s="1"/>
  <c r="DD25"/>
  <c r="DE25" s="1"/>
  <c r="DF25"/>
  <c r="DD14"/>
  <c r="DE14" s="1"/>
  <c r="DF14"/>
  <c r="DD20"/>
  <c r="DE20" s="1"/>
  <c r="DF20"/>
  <c r="AK1" i="16"/>
  <c r="AK2"/>
  <c r="C12"/>
  <c r="E10" i="17"/>
  <c r="D12" i="16"/>
  <c r="G12" s="1"/>
  <c r="E10" i="23"/>
  <c r="CP23" i="32"/>
  <c r="CN23"/>
  <c r="CO23" s="1"/>
  <c r="CN17"/>
  <c r="CO17" s="1"/>
  <c r="CP17"/>
  <c r="CN22"/>
  <c r="CO22" s="1"/>
  <c r="CP22"/>
  <c r="CP14"/>
  <c r="CN14"/>
  <c r="CO14" s="1"/>
  <c r="CN28"/>
  <c r="CO28" s="1"/>
  <c r="CP28"/>
  <c r="CY10" i="30"/>
  <c r="CZ10" s="1"/>
  <c r="DA10" i="12"/>
  <c r="DB10" s="1"/>
  <c r="CY18" i="30"/>
  <c r="CZ18" s="1"/>
  <c r="DA18" i="12"/>
  <c r="DB18" s="1"/>
  <c r="CY26" i="30"/>
  <c r="CZ26" s="1"/>
  <c r="DA26" i="12"/>
  <c r="DB26" s="1"/>
  <c r="L12"/>
  <c r="M12"/>
  <c r="L24"/>
  <c r="M24"/>
  <c r="AJ16" i="29"/>
  <c r="BS28" i="30"/>
  <c r="BW28" s="1"/>
  <c r="AK13" i="26"/>
  <c r="CY17" i="30"/>
  <c r="CZ17" s="1"/>
  <c r="DA17" i="12"/>
  <c r="DB17" s="1"/>
  <c r="CY25" i="30"/>
  <c r="CZ25" s="1"/>
  <c r="DA25" i="12"/>
  <c r="DB25" s="1"/>
  <c r="CY22" i="30"/>
  <c r="CZ22" s="1"/>
  <c r="DA22" i="12"/>
  <c r="DB22" s="1"/>
  <c r="B4"/>
  <c r="M10"/>
  <c r="L10"/>
  <c r="W16" i="29"/>
  <c r="BS15" i="30"/>
  <c r="BW15" s="1"/>
  <c r="X13" i="26"/>
  <c r="CJ15" i="30"/>
  <c r="CK15" s="1"/>
  <c r="CL15" i="12"/>
  <c r="CM15" s="1"/>
  <c r="S13" i="29"/>
  <c r="BD11" i="30"/>
  <c r="BH11" s="1"/>
  <c r="T8" i="26"/>
  <c r="BU11" i="30"/>
  <c r="BV11" s="1"/>
  <c r="BW11" i="12"/>
  <c r="BX11" s="1"/>
  <c r="BD17" i="30"/>
  <c r="BH17" s="1"/>
  <c r="Z8" i="26"/>
  <c r="BH14" i="32"/>
  <c r="BI14" s="1"/>
  <c r="BJ14"/>
  <c r="BZ13"/>
  <c r="BX13"/>
  <c r="BY13" s="1"/>
  <c r="E8" i="17"/>
  <c r="E8" i="23"/>
  <c r="D10" i="16"/>
  <c r="C10"/>
  <c r="Y1"/>
  <c r="Y2"/>
  <c r="BZ15" i="32"/>
  <c r="BX15"/>
  <c r="BY15" s="1"/>
  <c r="BX10"/>
  <c r="BY10" s="1"/>
  <c r="BZ10"/>
  <c r="AA13" i="22"/>
  <c r="BF19" i="32"/>
  <c r="BF19" i="12"/>
  <c r="BJ19" s="1"/>
  <c r="AB8" i="5"/>
  <c r="BF26" i="12"/>
  <c r="BJ26" s="1"/>
  <c r="AH13" i="22"/>
  <c r="BF26" i="32"/>
  <c r="AI8" i="5"/>
  <c r="AB13" i="22"/>
  <c r="BF20" i="32"/>
  <c r="BF20" i="12"/>
  <c r="BJ20" s="1"/>
  <c r="AC8" i="5"/>
  <c r="BZ20" i="32"/>
  <c r="BX20"/>
  <c r="BY20" s="1"/>
  <c r="T8" i="22"/>
  <c r="H18" i="16"/>
  <c r="L3"/>
  <c r="H47"/>
  <c r="M10" i="19" s="1"/>
  <c r="AQ12" i="12"/>
  <c r="AU12" s="1"/>
  <c r="AP12" i="32"/>
  <c r="U7" i="5"/>
  <c r="BU10" i="30"/>
  <c r="BV10" s="1"/>
  <c r="BW10" i="12"/>
  <c r="BX10" s="1"/>
  <c r="DW20" i="32"/>
  <c r="DW26"/>
  <c r="DD11" i="12"/>
  <c r="DD23"/>
  <c r="DD13"/>
  <c r="DW19" i="32"/>
  <c r="DW23"/>
  <c r="CO13" i="12"/>
  <c r="CO16"/>
  <c r="CO15"/>
  <c r="CO10"/>
  <c r="CO25"/>
  <c r="DW11" i="32"/>
  <c r="DW17"/>
  <c r="DW22"/>
  <c r="G13" i="16"/>
  <c r="G11" i="23" s="1"/>
  <c r="DW15" i="32"/>
  <c r="DW21"/>
  <c r="DB11" i="30"/>
  <c r="DB19"/>
  <c r="DB27"/>
  <c r="DB16"/>
  <c r="DB24"/>
  <c r="DD24" i="12"/>
  <c r="AK4" i="16"/>
  <c r="DD10" i="12"/>
  <c r="DD15"/>
  <c r="DD21"/>
  <c r="DD26"/>
  <c r="DD27"/>
  <c r="DW24" i="32"/>
  <c r="DW25"/>
  <c r="DW13"/>
  <c r="CO11" i="12"/>
  <c r="CO12"/>
  <c r="AE3" i="16"/>
  <c r="CO21" i="12"/>
  <c r="CO18"/>
  <c r="CO24"/>
  <c r="AE4" i="16"/>
  <c r="Y4"/>
  <c r="DB13" i="30"/>
  <c r="DB21"/>
  <c r="DB10"/>
  <c r="AJ22" i="29"/>
  <c r="BT20" i="30"/>
  <c r="AC13" i="25"/>
  <c r="X16" i="29"/>
  <c r="BS16" i="30"/>
  <c r="BW16" s="1"/>
  <c r="Y13" i="26"/>
  <c r="BT27" i="30"/>
  <c r="AJ13" i="25"/>
  <c r="AE16" i="29"/>
  <c r="BS23" i="30"/>
  <c r="BW23" s="1"/>
  <c r="AF13" i="26"/>
  <c r="AH22" i="29"/>
  <c r="CH26" i="30"/>
  <c r="CL26" s="1"/>
  <c r="AI16" i="26"/>
  <c r="DT22" i="12"/>
  <c r="DT26"/>
  <c r="DT16"/>
  <c r="DT10"/>
  <c r="DT12"/>
  <c r="DT28"/>
  <c r="DT18"/>
  <c r="DT17"/>
  <c r="DT13"/>
  <c r="DT23"/>
  <c r="DT19"/>
  <c r="DT20"/>
  <c r="DT14"/>
  <c r="DT24"/>
  <c r="DT15"/>
  <c r="DT25"/>
  <c r="DT21"/>
  <c r="DT11"/>
  <c r="DT27"/>
  <c r="X13" i="22"/>
  <c r="BF16" i="32"/>
  <c r="BF16" i="12"/>
  <c r="BJ16" s="1"/>
  <c r="Y8" i="5"/>
  <c r="I23" i="16"/>
  <c r="R4"/>
  <c r="BF24" i="32"/>
  <c r="I52" i="16"/>
  <c r="O15" i="19" s="1"/>
  <c r="BF24" i="12"/>
  <c r="BJ24" s="1"/>
  <c r="AF13" i="22"/>
  <c r="AG8" i="5"/>
  <c r="BF21" i="32"/>
  <c r="BF21" i="12"/>
  <c r="BJ21" s="1"/>
  <c r="AC13" i="22"/>
  <c r="AD8" i="5"/>
  <c r="CJ12" i="30"/>
  <c r="CK12" s="1"/>
  <c r="CL12" i="12"/>
  <c r="CM12" s="1"/>
  <c r="CJ11" i="30"/>
  <c r="CK11" s="1"/>
  <c r="CL11" i="12"/>
  <c r="CM11" s="1"/>
  <c r="CJ23" i="30"/>
  <c r="CK23" s="1"/>
  <c r="CL23" i="12"/>
  <c r="CM23" s="1"/>
  <c r="DF11" i="32"/>
  <c r="DD11"/>
  <c r="DE11" s="1"/>
  <c r="DF23"/>
  <c r="DD23"/>
  <c r="DE23" s="1"/>
  <c r="DD13"/>
  <c r="DE13" s="1"/>
  <c r="DF13"/>
  <c r="CN13"/>
  <c r="CO13" s="1"/>
  <c r="CP13"/>
  <c r="E9" i="17"/>
  <c r="E9" i="23"/>
  <c r="D11" i="16"/>
  <c r="C11"/>
  <c r="CN16" i="32"/>
  <c r="CO16" s="1"/>
  <c r="CP16"/>
  <c r="CP15"/>
  <c r="CN15"/>
  <c r="CO15" s="1"/>
  <c r="CP10"/>
  <c r="CN10"/>
  <c r="CO10" s="1"/>
  <c r="CP25"/>
  <c r="CN25"/>
  <c r="CO25" s="1"/>
  <c r="BX16"/>
  <c r="BY16" s="1"/>
  <c r="BZ16"/>
  <c r="BZ12"/>
  <c r="BX12"/>
  <c r="BY12" s="1"/>
  <c r="BX14"/>
  <c r="BY14" s="1"/>
  <c r="BZ14"/>
  <c r="BX22"/>
  <c r="BY22" s="1"/>
  <c r="BZ22"/>
  <c r="BX21"/>
  <c r="BY21" s="1"/>
  <c r="BZ21"/>
  <c r="L17" i="12"/>
  <c r="M17"/>
  <c r="M20"/>
  <c r="L20"/>
  <c r="BU13" i="30"/>
  <c r="BV13" s="1"/>
  <c r="BW13" i="12"/>
  <c r="BX13" s="1"/>
  <c r="BT17" i="30"/>
  <c r="Z13" i="25"/>
  <c r="AB16" i="29"/>
  <c r="BS20" i="30"/>
  <c r="BW20" s="1"/>
  <c r="AC13" i="26"/>
  <c r="BT23" i="30"/>
  <c r="AF13" i="25"/>
  <c r="BV18" i="32"/>
  <c r="Z16" i="22"/>
  <c r="BU18" i="12"/>
  <c r="BY18" s="1"/>
  <c r="AA13" i="5"/>
  <c r="AE16" i="22"/>
  <c r="BV23" i="32"/>
  <c r="BU23" i="12"/>
  <c r="BY23" s="1"/>
  <c r="BZ23" s="1"/>
  <c r="AF13" i="5"/>
  <c r="AI16" i="29"/>
  <c r="BS27" i="30"/>
  <c r="BW27" s="1"/>
  <c r="AJ13" i="26"/>
  <c r="AP21" i="30"/>
  <c r="AD7" i="25"/>
  <c r="AA21" i="30" s="1"/>
  <c r="AP22"/>
  <c r="AE7" i="25"/>
  <c r="AA22" i="30" s="1"/>
  <c r="AD22" i="29"/>
  <c r="CH22" i="30"/>
  <c r="CL22" s="1"/>
  <c r="CM22" s="1"/>
  <c r="AE16" i="26"/>
  <c r="AC16" i="29"/>
  <c r="BS21" i="30"/>
  <c r="BW21" s="1"/>
  <c r="AD13" i="26"/>
  <c r="CY11" i="30"/>
  <c r="CZ11" s="1"/>
  <c r="DA11" i="12"/>
  <c r="DB11" s="1"/>
  <c r="CY19" i="30"/>
  <c r="CZ19" s="1"/>
  <c r="DA19" i="12"/>
  <c r="DB19" s="1"/>
  <c r="CY27" i="30"/>
  <c r="CZ27" s="1"/>
  <c r="J12" i="16"/>
  <c r="N36"/>
  <c r="O36" s="1"/>
  <c r="DA27" i="12"/>
  <c r="DB27" s="1"/>
  <c r="CY16" i="30"/>
  <c r="CZ16" s="1"/>
  <c r="DA16" i="12"/>
  <c r="DB16" s="1"/>
  <c r="CY24" i="30"/>
  <c r="CZ24" s="1"/>
  <c r="DA24" i="12"/>
  <c r="DB24" s="1"/>
  <c r="AP24" i="30"/>
  <c r="AG7" i="25"/>
  <c r="AA24" i="30" s="1"/>
  <c r="DD24" i="32"/>
  <c r="DE24" s="1"/>
  <c r="DF24"/>
  <c r="DF10"/>
  <c r="DD10"/>
  <c r="DE10" s="1"/>
  <c r="DD15"/>
  <c r="DE15" s="1"/>
  <c r="DF15"/>
  <c r="DD21"/>
  <c r="DE21" s="1"/>
  <c r="DF21"/>
  <c r="DD26"/>
  <c r="DE26" s="1"/>
  <c r="DF26"/>
  <c r="DD27"/>
  <c r="DE27" s="1"/>
  <c r="DF27"/>
  <c r="I28" i="19"/>
  <c r="L65" i="16"/>
  <c r="CN11" i="32"/>
  <c r="CO11" s="1"/>
  <c r="CP11"/>
  <c r="CN12"/>
  <c r="CO12" s="1"/>
  <c r="CP12"/>
  <c r="CN21"/>
  <c r="CO21" s="1"/>
  <c r="CP21"/>
  <c r="CN18"/>
  <c r="CO18" s="1"/>
  <c r="CP18"/>
  <c r="CP24"/>
  <c r="CN24"/>
  <c r="CO24" s="1"/>
  <c r="BZ24"/>
  <c r="BX24"/>
  <c r="BY24" s="1"/>
  <c r="L14" i="12"/>
  <c r="M14"/>
  <c r="L26"/>
  <c r="M26"/>
  <c r="CY13" i="30"/>
  <c r="CZ13" s="1"/>
  <c r="DA13" i="12"/>
  <c r="DB13" s="1"/>
  <c r="CY21" i="30"/>
  <c r="CZ21" s="1"/>
  <c r="DA21" i="12"/>
  <c r="DB21" s="1"/>
  <c r="L25"/>
  <c r="M25"/>
  <c r="CJ13" i="30"/>
  <c r="CK13" s="1"/>
  <c r="CL13" i="12"/>
  <c r="CM13" s="1"/>
  <c r="B4" i="32"/>
  <c r="L10"/>
  <c r="B4" i="30"/>
  <c r="L10"/>
  <c r="CJ20"/>
  <c r="CK20" s="1"/>
  <c r="CL20" i="12"/>
  <c r="CM20" s="1"/>
  <c r="CJ21" i="30"/>
  <c r="CK21" s="1"/>
  <c r="CL21" i="12"/>
  <c r="CM21" s="1"/>
  <c r="T13" i="29"/>
  <c r="BD12" i="30"/>
  <c r="BH12" s="1"/>
  <c r="U8" i="26"/>
  <c r="V16" i="29"/>
  <c r="BS14" i="30"/>
  <c r="BW14" s="1"/>
  <c r="W13" i="26"/>
  <c r="CJ14" i="30"/>
  <c r="CK14" s="1"/>
  <c r="CL14" i="12"/>
  <c r="CM14" s="1"/>
  <c r="V8" i="22"/>
  <c r="AP14" i="32"/>
  <c r="AQ14" i="12"/>
  <c r="AU14" s="1"/>
  <c r="W7" i="5"/>
  <c r="U13" i="22"/>
  <c r="BF13" i="12"/>
  <c r="BJ13" s="1"/>
  <c r="BF13" i="32"/>
  <c r="V8" i="5"/>
  <c r="F9" i="16"/>
  <c r="AI13" i="22"/>
  <c r="BF27" i="32"/>
  <c r="R1" i="16"/>
  <c r="S3" s="1"/>
  <c r="F23"/>
  <c r="F52"/>
  <c r="BF27" i="12"/>
  <c r="BJ27" s="1"/>
  <c r="AJ8" i="5"/>
  <c r="BZ27" i="32"/>
  <c r="BX27"/>
  <c r="BY27" s="1"/>
  <c r="I18" i="19"/>
  <c r="L55" i="16"/>
  <c r="W13" i="22"/>
  <c r="BF15" i="12"/>
  <c r="BJ15" s="1"/>
  <c r="BF15" i="32"/>
  <c r="X8" i="5"/>
  <c r="BF10" i="32"/>
  <c r="BF10" i="12"/>
  <c r="BJ10" s="1"/>
  <c r="S8" i="5"/>
  <c r="BX19" i="32"/>
  <c r="BY19" s="1"/>
  <c r="BZ19"/>
  <c r="BX26"/>
  <c r="BY26" s="1"/>
  <c r="BZ26"/>
  <c r="BH12"/>
  <c r="BI12" s="1"/>
  <c r="BJ12"/>
  <c r="R13" i="29"/>
  <c r="R13" i="22"/>
  <c r="BD10" i="30"/>
  <c r="BH10" s="1"/>
  <c r="S8" i="26"/>
  <c r="DB23" i="30"/>
  <c r="DB12"/>
  <c r="DB20"/>
  <c r="DD17" i="12"/>
  <c r="DD22"/>
  <c r="DD28"/>
  <c r="DD12"/>
  <c r="DD18"/>
  <c r="DW14" i="32"/>
  <c r="CO19" i="12"/>
  <c r="CO26"/>
  <c r="CO20"/>
  <c r="BZ25"/>
  <c r="BZ11"/>
  <c r="BZ21"/>
  <c r="DB14" i="30"/>
  <c r="CM17"/>
  <c r="CM24"/>
  <c r="DW16" i="32"/>
  <c r="CM16" i="30"/>
  <c r="CM19"/>
  <c r="CM27"/>
  <c r="DB28"/>
  <c r="DD19" i="12"/>
  <c r="DD25"/>
  <c r="DD14"/>
  <c r="DD20"/>
  <c r="DW10" i="32"/>
  <c r="DW28"/>
  <c r="DW18"/>
  <c r="CO23" i="12"/>
  <c r="CO17"/>
  <c r="CO22"/>
  <c r="CO14"/>
  <c r="CO28"/>
  <c r="BZ24"/>
  <c r="DB18" i="30"/>
  <c r="DB26"/>
  <c r="CM28"/>
  <c r="DB17"/>
  <c r="DB25"/>
  <c r="DB22"/>
  <c r="CM15"/>
  <c r="T16" i="29"/>
  <c r="BZ10" i="12"/>
  <c r="BZ20"/>
  <c r="BE19" i="30" l="1"/>
  <c r="AB8" i="25"/>
  <c r="BE11" i="30"/>
  <c r="T8" i="25"/>
  <c r="DY13" i="30"/>
  <c r="DT13"/>
  <c r="AS7" i="27" s="1"/>
  <c r="DV13" i="30"/>
  <c r="DX13"/>
  <c r="DW13"/>
  <c r="DY21"/>
  <c r="DT21"/>
  <c r="AS15" i="27" s="1"/>
  <c r="DV21" i="30"/>
  <c r="DX21"/>
  <c r="DW21"/>
  <c r="DY10"/>
  <c r="DT10"/>
  <c r="DV10"/>
  <c r="DX10"/>
  <c r="DW10"/>
  <c r="DY18"/>
  <c r="DT18"/>
  <c r="AS12" i="27" s="1"/>
  <c r="DV18" i="30"/>
  <c r="DX18"/>
  <c r="DW18"/>
  <c r="DY26"/>
  <c r="DT26"/>
  <c r="AS20" i="27" s="1"/>
  <c r="DV26" i="30"/>
  <c r="DX26"/>
  <c r="DW26"/>
  <c r="DX15"/>
  <c r="DW15"/>
  <c r="DY15"/>
  <c r="DT15"/>
  <c r="AS9" i="27" s="1"/>
  <c r="DV15" i="30"/>
  <c r="DX23"/>
  <c r="DW23"/>
  <c r="DY23"/>
  <c r="DT23"/>
  <c r="AS17" i="27" s="1"/>
  <c r="DV23" i="30"/>
  <c r="DX12"/>
  <c r="DW12"/>
  <c r="DY12"/>
  <c r="DS12" s="1"/>
  <c r="DS13" s="1"/>
  <c r="DT12"/>
  <c r="AS6" i="27" s="1"/>
  <c r="DV12" i="30"/>
  <c r="DX20"/>
  <c r="DW20"/>
  <c r="DY20"/>
  <c r="DT20"/>
  <c r="AS14" i="27" s="1"/>
  <c r="DV20" i="30"/>
  <c r="DX28"/>
  <c r="DW28"/>
  <c r="DY28"/>
  <c r="DT28"/>
  <c r="AS22" i="27" s="1"/>
  <c r="DV28" i="30"/>
  <c r="DV17"/>
  <c r="DX17"/>
  <c r="DW17"/>
  <c r="DY17"/>
  <c r="DT17"/>
  <c r="AS11" i="27" s="1"/>
  <c r="DV25" i="30"/>
  <c r="DX25"/>
  <c r="DW25"/>
  <c r="DY25"/>
  <c r="DT25"/>
  <c r="AS19" i="27" s="1"/>
  <c r="DV14" i="30"/>
  <c r="DX14"/>
  <c r="DW14"/>
  <c r="DY14"/>
  <c r="DT14"/>
  <c r="AS8" i="27" s="1"/>
  <c r="DV22" i="30"/>
  <c r="DX22"/>
  <c r="DW22"/>
  <c r="DY22"/>
  <c r="DT22"/>
  <c r="AS16" i="27" s="1"/>
  <c r="DY11" i="30"/>
  <c r="DS11" s="1"/>
  <c r="DT11"/>
  <c r="DV11"/>
  <c r="DX11"/>
  <c r="DW11"/>
  <c r="DT19"/>
  <c r="AS13" i="27" s="1"/>
  <c r="DV19" i="30"/>
  <c r="DX19"/>
  <c r="DW19"/>
  <c r="DY19"/>
  <c r="DT27"/>
  <c r="AS21" i="27" s="1"/>
  <c r="DV27" i="30"/>
  <c r="DX27"/>
  <c r="DW27"/>
  <c r="DY27"/>
  <c r="DT16"/>
  <c r="AS10" i="27" s="1"/>
  <c r="DV16" i="30"/>
  <c r="DX16"/>
  <c r="DW16"/>
  <c r="DY16"/>
  <c r="DT24"/>
  <c r="AS18" i="27" s="1"/>
  <c r="DV24" i="30"/>
  <c r="DX24"/>
  <c r="DW24"/>
  <c r="DY24"/>
  <c r="DS14"/>
  <c r="DU13" s="1"/>
  <c r="DU12"/>
  <c r="CQ18" i="32"/>
  <c r="DG27"/>
  <c r="CA22" i="12"/>
  <c r="CA10"/>
  <c r="BF10" i="30"/>
  <c r="BG10" s="1"/>
  <c r="BH10" i="12"/>
  <c r="BI10" s="1"/>
  <c r="F8" i="16"/>
  <c r="F47"/>
  <c r="AI8" i="22"/>
  <c r="AP27" i="32"/>
  <c r="L1" i="16"/>
  <c r="F18"/>
  <c r="AQ27" i="12"/>
  <c r="AU27" s="1"/>
  <c r="AJ7" i="5"/>
  <c r="AQ13" i="12"/>
  <c r="AU13" s="1"/>
  <c r="AP13" i="32"/>
  <c r="U8" i="22"/>
  <c r="V7" i="5"/>
  <c r="V13" i="29"/>
  <c r="BD14" i="30"/>
  <c r="BH14" s="1"/>
  <c r="W8" i="26"/>
  <c r="BU14" i="30"/>
  <c r="BV14" s="1"/>
  <c r="BW14" i="12"/>
  <c r="BX14" s="1"/>
  <c r="L12" i="16"/>
  <c r="K12"/>
  <c r="AC13" i="29"/>
  <c r="BD21" i="30"/>
  <c r="BH21" s="1"/>
  <c r="AD8" i="26"/>
  <c r="BU21" i="30"/>
  <c r="BV21" s="1"/>
  <c r="BW21" i="12"/>
  <c r="BX21" s="1"/>
  <c r="AI13" i="29"/>
  <c r="BD27" i="30"/>
  <c r="BH27" s="1"/>
  <c r="AJ8" i="26"/>
  <c r="BU27" i="30"/>
  <c r="BV27" s="1"/>
  <c r="J10" i="16"/>
  <c r="BW27" i="12"/>
  <c r="BX27" s="1"/>
  <c r="N26" i="16"/>
  <c r="O26" s="1"/>
  <c r="BZ18" i="32"/>
  <c r="BX18"/>
  <c r="BY18" s="1"/>
  <c r="BE17" i="30"/>
  <c r="Z8" i="25"/>
  <c r="AP21" i="32"/>
  <c r="AQ21" i="12"/>
  <c r="AU21" s="1"/>
  <c r="AC8" i="22"/>
  <c r="AD7" i="5"/>
  <c r="AQ24" i="12"/>
  <c r="AU24" s="1"/>
  <c r="I18" i="16"/>
  <c r="AF8" i="22"/>
  <c r="I47" i="16"/>
  <c r="O10" i="19" s="1"/>
  <c r="L4" i="16"/>
  <c r="M4" s="1"/>
  <c r="AP24" i="32"/>
  <c r="AG7" i="5"/>
  <c r="BJ24" i="32"/>
  <c r="BH24"/>
  <c r="BI24" s="1"/>
  <c r="DV11" i="12"/>
  <c r="DY11"/>
  <c r="AJ5" i="15" s="1"/>
  <c r="EA11" i="12"/>
  <c r="DX11"/>
  <c r="AI5" i="15" s="1"/>
  <c r="DZ11" i="12"/>
  <c r="DX25"/>
  <c r="AI19" i="15" s="1"/>
  <c r="DV25" i="12"/>
  <c r="DY25"/>
  <c r="AJ19" i="15" s="1"/>
  <c r="DZ25" i="12"/>
  <c r="EA25"/>
  <c r="DY24"/>
  <c r="AJ18" i="15" s="1"/>
  <c r="DZ24" i="12"/>
  <c r="EA24"/>
  <c r="DV24"/>
  <c r="DX24"/>
  <c r="AI18" i="15" s="1"/>
  <c r="DZ20" i="12"/>
  <c r="DV20"/>
  <c r="EA20"/>
  <c r="DY20"/>
  <c r="AJ14" i="15" s="1"/>
  <c r="DX20" i="12"/>
  <c r="AI14" i="15" s="1"/>
  <c r="DY23" i="12"/>
  <c r="AJ17" i="15" s="1"/>
  <c r="DV23" i="12"/>
  <c r="DX23"/>
  <c r="AI17" i="15" s="1"/>
  <c r="EA23" i="12"/>
  <c r="DZ23"/>
  <c r="DV17"/>
  <c r="DX17"/>
  <c r="AI11" i="15" s="1"/>
  <c r="DZ17" i="12"/>
  <c r="DY17"/>
  <c r="AJ11" i="15" s="1"/>
  <c r="EA17" i="12"/>
  <c r="DX28"/>
  <c r="AI22" i="15" s="1"/>
  <c r="DY28" i="12"/>
  <c r="AJ22" i="15" s="1"/>
  <c r="EA28" i="12"/>
  <c r="DV28"/>
  <c r="DZ28"/>
  <c r="DX10"/>
  <c r="AI4" i="15" s="1"/>
  <c r="EA10" i="12"/>
  <c r="DZ10"/>
  <c r="DY10"/>
  <c r="AJ4" i="15" s="1"/>
  <c r="DV10" i="12"/>
  <c r="DX26"/>
  <c r="AI20" i="15" s="1"/>
  <c r="DZ26" i="12"/>
  <c r="DY26"/>
  <c r="AJ20" i="15" s="1"/>
  <c r="EA26" i="12"/>
  <c r="DV26"/>
  <c r="AH16" i="29"/>
  <c r="BS26" i="30"/>
  <c r="BW26" s="1"/>
  <c r="AI13" i="26"/>
  <c r="CJ26" i="30"/>
  <c r="CK26" s="1"/>
  <c r="CL26" i="12"/>
  <c r="CM26" s="1"/>
  <c r="BE27" i="30"/>
  <c r="AJ8" i="25"/>
  <c r="X13" i="29"/>
  <c r="BD16" i="30"/>
  <c r="BH16" s="1"/>
  <c r="Y8" i="26"/>
  <c r="BU16" i="30"/>
  <c r="BV16" s="1"/>
  <c r="BW16" i="12"/>
  <c r="BX16" s="1"/>
  <c r="CJ28" i="30"/>
  <c r="CK28" s="1"/>
  <c r="CL28" i="12"/>
  <c r="CM28" s="1"/>
  <c r="DC27" i="30"/>
  <c r="DC25"/>
  <c r="DC23"/>
  <c r="DC21"/>
  <c r="DC19"/>
  <c r="DC17"/>
  <c r="DC15"/>
  <c r="DC13"/>
  <c r="DC11"/>
  <c r="DC28"/>
  <c r="DC26"/>
  <c r="DC24"/>
  <c r="DC22"/>
  <c r="DC20"/>
  <c r="DC18"/>
  <c r="DC16"/>
  <c r="DC14"/>
  <c r="DC12"/>
  <c r="DC10"/>
  <c r="DE23" i="12"/>
  <c r="DE26"/>
  <c r="DE28"/>
  <c r="DE20"/>
  <c r="DE16"/>
  <c r="DE19"/>
  <c r="DE22"/>
  <c r="DE25"/>
  <c r="DE15"/>
  <c r="DE18"/>
  <c r="DE10"/>
  <c r="DE13"/>
  <c r="DE12"/>
  <c r="DE21"/>
  <c r="DE17"/>
  <c r="DE11"/>
  <c r="DE27"/>
  <c r="DE14"/>
  <c r="DE24"/>
  <c r="AT12" i="32"/>
  <c r="AR12"/>
  <c r="AS12" s="1"/>
  <c r="AQ20" i="12"/>
  <c r="AU20" s="1"/>
  <c r="AB8" i="22"/>
  <c r="AP20" i="32"/>
  <c r="AC7" i="5"/>
  <c r="BJ20" i="32"/>
  <c r="BH20"/>
  <c r="BI20" s="1"/>
  <c r="AQ26" i="12"/>
  <c r="AU26" s="1"/>
  <c r="AP26" i="32"/>
  <c r="AH8" i="22"/>
  <c r="AI7" i="5"/>
  <c r="AQ19" i="12"/>
  <c r="AU19" s="1"/>
  <c r="AP19" i="32"/>
  <c r="AA8" i="22"/>
  <c r="AB7" i="5"/>
  <c r="BH19" i="32"/>
  <c r="BI19" s="1"/>
  <c r="BJ19"/>
  <c r="Y8" i="29"/>
  <c r="Z7" i="26"/>
  <c r="AO17" i="30"/>
  <c r="AS17" s="1"/>
  <c r="W13" i="29"/>
  <c r="BD15" i="30"/>
  <c r="BH15" s="1"/>
  <c r="X8" i="26"/>
  <c r="BU15" i="30"/>
  <c r="BV15" s="1"/>
  <c r="BW15" i="12"/>
  <c r="BX15" s="1"/>
  <c r="BD28" i="30"/>
  <c r="BH28" s="1"/>
  <c r="AK8" i="26"/>
  <c r="BW28" i="12"/>
  <c r="BX28" s="1"/>
  <c r="BU28" i="30"/>
  <c r="BV28" s="1"/>
  <c r="G10" i="17"/>
  <c r="G10" i="23"/>
  <c r="AL1" i="16"/>
  <c r="AL3"/>
  <c r="AL2"/>
  <c r="AL4"/>
  <c r="BT28" i="30"/>
  <c r="AK13" i="25"/>
  <c r="AA13" i="29"/>
  <c r="BD19" i="30"/>
  <c r="BH19" s="1"/>
  <c r="AB8" i="26"/>
  <c r="BU19" i="30"/>
  <c r="BV19" s="1"/>
  <c r="BW19" i="12"/>
  <c r="BX19" s="1"/>
  <c r="BX17" i="32"/>
  <c r="BY17" s="1"/>
  <c r="BZ17"/>
  <c r="BZ28"/>
  <c r="BX28"/>
  <c r="BY28" s="1"/>
  <c r="AP11"/>
  <c r="AQ11" i="12"/>
  <c r="AU11" s="1"/>
  <c r="S8" i="22"/>
  <c r="T7" i="5"/>
  <c r="AP25" i="32"/>
  <c r="AQ25" i="12"/>
  <c r="AU25" s="1"/>
  <c r="AG8" i="22"/>
  <c r="AH7" i="5"/>
  <c r="AD8" i="22"/>
  <c r="AP22" i="32"/>
  <c r="AQ22" i="12"/>
  <c r="AU22" s="1"/>
  <c r="AE7" i="5"/>
  <c r="Z16" i="29"/>
  <c r="BS18" i="30"/>
  <c r="BW18" s="1"/>
  <c r="AA13" i="26"/>
  <c r="CJ18" i="30"/>
  <c r="CK18" s="1"/>
  <c r="CL18" i="12"/>
  <c r="CM18" s="1"/>
  <c r="AF13" i="29"/>
  <c r="BD24" i="30"/>
  <c r="BH24" s="1"/>
  <c r="AG8" i="26"/>
  <c r="BU24" i="30"/>
  <c r="BV24" s="1"/>
  <c r="BW24" i="12"/>
  <c r="BX24" s="1"/>
  <c r="CQ21" i="32"/>
  <c r="CQ12"/>
  <c r="CQ11"/>
  <c r="DG26"/>
  <c r="DG21"/>
  <c r="DG15"/>
  <c r="DG24"/>
  <c r="BZ18" i="12"/>
  <c r="CQ16" i="32"/>
  <c r="CQ13"/>
  <c r="DG13"/>
  <c r="BZ26" i="12"/>
  <c r="BZ15"/>
  <c r="BZ13"/>
  <c r="CM14" i="30"/>
  <c r="CM21"/>
  <c r="CM10"/>
  <c r="BZ22" i="12"/>
  <c r="BZ12"/>
  <c r="CM23" i="30"/>
  <c r="CM12"/>
  <c r="Y13" i="29"/>
  <c r="CQ14" i="32"/>
  <c r="CQ23"/>
  <c r="DG19"/>
  <c r="CM25" i="30"/>
  <c r="BZ17" i="12"/>
  <c r="CQ19" i="32"/>
  <c r="DG12"/>
  <c r="DG16"/>
  <c r="W8" i="22"/>
  <c r="AP15" i="32"/>
  <c r="AQ15" i="12"/>
  <c r="AU15" s="1"/>
  <c r="X7" i="5"/>
  <c r="I15" i="19"/>
  <c r="L52" i="16"/>
  <c r="S2"/>
  <c r="S1"/>
  <c r="V7" i="22"/>
  <c r="AB14" i="12"/>
  <c r="AF14" s="1"/>
  <c r="Z14" i="32"/>
  <c r="AR14"/>
  <c r="AS14" s="1"/>
  <c r="AT14"/>
  <c r="BU12" i="30"/>
  <c r="BV12" s="1"/>
  <c r="BW12" i="12"/>
  <c r="BX12" s="1"/>
  <c r="DX27" i="32"/>
  <c r="DX23"/>
  <c r="DX19"/>
  <c r="DX15"/>
  <c r="DX11"/>
  <c r="DX28"/>
  <c r="DX24"/>
  <c r="DX20"/>
  <c r="DX16"/>
  <c r="DX12"/>
  <c r="DX25"/>
  <c r="DX21"/>
  <c r="DX17"/>
  <c r="DX13"/>
  <c r="DX10"/>
  <c r="DX26"/>
  <c r="DX22"/>
  <c r="DX18"/>
  <c r="DX14"/>
  <c r="R8" i="29"/>
  <c r="S7" i="26"/>
  <c r="R8" i="22"/>
  <c r="AO10" i="30"/>
  <c r="AS10" s="1"/>
  <c r="AP10" i="32"/>
  <c r="AQ10" i="12"/>
  <c r="AU10" s="1"/>
  <c r="S7" i="5"/>
  <c r="BJ10" i="32"/>
  <c r="BH10"/>
  <c r="BI10" s="1"/>
  <c r="BJ15"/>
  <c r="BH15"/>
  <c r="BI15" s="1"/>
  <c r="BJ27"/>
  <c r="BH27"/>
  <c r="BI27" s="1"/>
  <c r="E7" i="23"/>
  <c r="E7" i="17"/>
  <c r="D9" i="16"/>
  <c r="G9" s="1"/>
  <c r="C9"/>
  <c r="BH13" i="32"/>
  <c r="BI13" s="1"/>
  <c r="BJ13"/>
  <c r="U7" i="26"/>
  <c r="AO12" i="30"/>
  <c r="AS12" s="1"/>
  <c r="BF12"/>
  <c r="BG12" s="1"/>
  <c r="BH12" i="12"/>
  <c r="BI12" s="1"/>
  <c r="M22" i="30"/>
  <c r="M12"/>
  <c r="M28"/>
  <c r="M11"/>
  <c r="M21"/>
  <c r="M23"/>
  <c r="M20"/>
  <c r="M19"/>
  <c r="M15"/>
  <c r="M27"/>
  <c r="M10"/>
  <c r="M17"/>
  <c r="M13"/>
  <c r="M25"/>
  <c r="M16"/>
  <c r="M26"/>
  <c r="M24"/>
  <c r="M14"/>
  <c r="M18"/>
  <c r="M13" i="32"/>
  <c r="M12"/>
  <c r="M21"/>
  <c r="M17"/>
  <c r="M28"/>
  <c r="M27"/>
  <c r="M16"/>
  <c r="M19"/>
  <c r="M15"/>
  <c r="M23"/>
  <c r="M25"/>
  <c r="M11"/>
  <c r="M24"/>
  <c r="M22"/>
  <c r="M20"/>
  <c r="M26"/>
  <c r="M10"/>
  <c r="M14"/>
  <c r="M18"/>
  <c r="AD16" i="29"/>
  <c r="BS22" i="30"/>
  <c r="BW22" s="1"/>
  <c r="AE13" i="26"/>
  <c r="CJ22" i="30"/>
  <c r="CK22" s="1"/>
  <c r="CL22" i="12"/>
  <c r="CM22" s="1"/>
  <c r="AE13" i="22"/>
  <c r="BF23" i="12"/>
  <c r="BJ23" s="1"/>
  <c r="BF23" i="32"/>
  <c r="AF8" i="5"/>
  <c r="BX23" i="32"/>
  <c r="BY23" s="1"/>
  <c r="BZ23"/>
  <c r="CA23" s="1"/>
  <c r="Z13" i="22"/>
  <c r="BF18" i="32"/>
  <c r="BF18" i="12"/>
  <c r="BJ18" s="1"/>
  <c r="AA8" i="5"/>
  <c r="BE23" i="30"/>
  <c r="AF8" i="25"/>
  <c r="AB13" i="29"/>
  <c r="BD20" i="30"/>
  <c r="BH20" s="1"/>
  <c r="AC8" i="26"/>
  <c r="BU20" i="30"/>
  <c r="BV20" s="1"/>
  <c r="BW20" i="12"/>
  <c r="BX20" s="1"/>
  <c r="BJ21" i="32"/>
  <c r="BH21"/>
  <c r="BI21" s="1"/>
  <c r="X8" i="22"/>
  <c r="AQ16" i="12"/>
  <c r="AU16" s="1"/>
  <c r="AP16" i="32"/>
  <c r="Y7" i="5"/>
  <c r="BH16" i="32"/>
  <c r="BI16" s="1"/>
  <c r="BJ16"/>
  <c r="DV27" i="12"/>
  <c r="DZ27"/>
  <c r="DX27"/>
  <c r="AI21" i="15" s="1"/>
  <c r="DY27" i="12"/>
  <c r="AJ21" i="15" s="1"/>
  <c r="EA27" i="12"/>
  <c r="DZ21"/>
  <c r="DY21"/>
  <c r="AJ15" i="15" s="1"/>
  <c r="DX21" i="12"/>
  <c r="AI15" i="15" s="1"/>
  <c r="DV21" i="12"/>
  <c r="EA21"/>
  <c r="DY15"/>
  <c r="AJ9" i="15" s="1"/>
  <c r="DX15" i="12"/>
  <c r="AI9" i="15" s="1"/>
  <c r="DV15" i="12"/>
  <c r="EA15"/>
  <c r="DZ15"/>
  <c r="EA14"/>
  <c r="DX14"/>
  <c r="AI8" i="15" s="1"/>
  <c r="DV14" i="12"/>
  <c r="DZ14"/>
  <c r="DY14"/>
  <c r="AJ8" i="15" s="1"/>
  <c r="EA19" i="12"/>
  <c r="DV19"/>
  <c r="DZ19"/>
  <c r="DY19"/>
  <c r="AJ13" i="15" s="1"/>
  <c r="DX19" i="12"/>
  <c r="AI13" i="15" s="1"/>
  <c r="DY13" i="12"/>
  <c r="AJ7" i="15" s="1"/>
  <c r="DZ13" i="12"/>
  <c r="DX13"/>
  <c r="AI7" i="15" s="1"/>
  <c r="DV13" i="12"/>
  <c r="EA13"/>
  <c r="DZ18"/>
  <c r="DY18"/>
  <c r="AJ12" i="15" s="1"/>
  <c r="DV18" i="12"/>
  <c r="DX18"/>
  <c r="AI12" i="15" s="1"/>
  <c r="EA18" i="12"/>
  <c r="EA12"/>
  <c r="DV12"/>
  <c r="DX12"/>
  <c r="AI6" i="15" s="1"/>
  <c r="DY12" i="12"/>
  <c r="AJ6" i="15" s="1"/>
  <c r="DZ12" i="12"/>
  <c r="DY16"/>
  <c r="AJ10" i="15" s="1"/>
  <c r="DV16" i="12"/>
  <c r="EA16"/>
  <c r="DU16" s="1"/>
  <c r="DX16"/>
  <c r="AI10" i="15" s="1"/>
  <c r="DZ16" i="12"/>
  <c r="DZ22"/>
  <c r="DX22"/>
  <c r="AI16" i="15" s="1"/>
  <c r="EA22" i="12"/>
  <c r="DY22"/>
  <c r="AJ16" i="15" s="1"/>
  <c r="DV22" i="12"/>
  <c r="AE13" i="29"/>
  <c r="BD23" i="30"/>
  <c r="BH23" s="1"/>
  <c r="AF8" i="26"/>
  <c r="BU23" i="30"/>
  <c r="BV23" s="1"/>
  <c r="BW23" i="12"/>
  <c r="BX23" s="1"/>
  <c r="BE20" i="30"/>
  <c r="AC8" i="25"/>
  <c r="CP22" i="12"/>
  <c r="CP20"/>
  <c r="CP18"/>
  <c r="CP11"/>
  <c r="CP13"/>
  <c r="CP26"/>
  <c r="CP24"/>
  <c r="CP28"/>
  <c r="CP21"/>
  <c r="CP19"/>
  <c r="CP12"/>
  <c r="CP27"/>
  <c r="CP14"/>
  <c r="CP15"/>
  <c r="CP23"/>
  <c r="CP17"/>
  <c r="CP10"/>
  <c r="CP25"/>
  <c r="CP16"/>
  <c r="H46" i="16"/>
  <c r="M9" i="19" s="1"/>
  <c r="H17" i="16"/>
  <c r="T7" i="22"/>
  <c r="F3" i="16"/>
  <c r="AB12" i="12"/>
  <c r="AF12" s="1"/>
  <c r="Z12" i="32"/>
  <c r="BJ26"/>
  <c r="BH26"/>
  <c r="BI26" s="1"/>
  <c r="Z3" i="16"/>
  <c r="Z2"/>
  <c r="Z1"/>
  <c r="Z4"/>
  <c r="S8" i="29"/>
  <c r="T7" i="26"/>
  <c r="AO11" i="30"/>
  <c r="AS11" s="1"/>
  <c r="BF11"/>
  <c r="BG11" s="1"/>
  <c r="BH11" i="12"/>
  <c r="BI11" s="1"/>
  <c r="N19"/>
  <c r="N17"/>
  <c r="N24"/>
  <c r="N13"/>
  <c r="N15"/>
  <c r="N23"/>
  <c r="N27"/>
  <c r="N20"/>
  <c r="N22"/>
  <c r="N28"/>
  <c r="N25"/>
  <c r="N10"/>
  <c r="N16"/>
  <c r="N26"/>
  <c r="N12"/>
  <c r="N11"/>
  <c r="N21"/>
  <c r="N18"/>
  <c r="N14"/>
  <c r="L11" i="16"/>
  <c r="K11"/>
  <c r="AG16" i="29"/>
  <c r="BS25" i="30"/>
  <c r="BW25" s="1"/>
  <c r="BX25" s="1"/>
  <c r="AH13" i="26"/>
  <c r="CJ25" i="30"/>
  <c r="CK25" s="1"/>
  <c r="CL25" i="12"/>
  <c r="CM25" s="1"/>
  <c r="BF17" i="32"/>
  <c r="Y13" i="22"/>
  <c r="BF17" i="12"/>
  <c r="BJ17" s="1"/>
  <c r="Z8" i="5"/>
  <c r="BF28" i="32"/>
  <c r="BF28" i="12"/>
  <c r="BJ28" s="1"/>
  <c r="AJ13" i="22"/>
  <c r="AK8" i="5"/>
  <c r="BE16" i="30"/>
  <c r="Y8" i="25"/>
  <c r="BE12" i="30"/>
  <c r="U8" i="25"/>
  <c r="D28" i="20"/>
  <c r="D29" s="1"/>
  <c r="I28"/>
  <c r="I29" s="1"/>
  <c r="J28"/>
  <c r="J29" s="1"/>
  <c r="L28"/>
  <c r="L29" s="1"/>
  <c r="M28"/>
  <c r="M29" s="1"/>
  <c r="N28"/>
  <c r="N29" s="1"/>
  <c r="O28"/>
  <c r="O29" s="1"/>
  <c r="P28"/>
  <c r="P29" s="1"/>
  <c r="Q28"/>
  <c r="Q29" s="1"/>
  <c r="R28"/>
  <c r="R29" s="1"/>
  <c r="T28"/>
  <c r="T29" s="1"/>
  <c r="U28"/>
  <c r="U29" s="1"/>
  <c r="K28"/>
  <c r="K29" s="1"/>
  <c r="G28"/>
  <c r="G29" s="1"/>
  <c r="C28"/>
  <c r="C29" s="1"/>
  <c r="F28"/>
  <c r="F29" s="1"/>
  <c r="S28"/>
  <c r="S29" s="1"/>
  <c r="H28"/>
  <c r="H29" s="1"/>
  <c r="E28"/>
  <c r="E29" s="1"/>
  <c r="AF3" i="16"/>
  <c r="AF2"/>
  <c r="AF1"/>
  <c r="AF4"/>
  <c r="BH11" i="32"/>
  <c r="BI11" s="1"/>
  <c r="BJ11"/>
  <c r="BJ25"/>
  <c r="BH25"/>
  <c r="BI25" s="1"/>
  <c r="BH22"/>
  <c r="BI22" s="1"/>
  <c r="BJ22"/>
  <c r="U8" i="29"/>
  <c r="V7" i="26"/>
  <c r="AO13" i="30"/>
  <c r="AS13" s="1"/>
  <c r="BF13"/>
  <c r="BG13" s="1"/>
  <c r="BH13" i="12"/>
  <c r="BI13" s="1"/>
  <c r="AI7" i="25"/>
  <c r="AA26" i="30" s="1"/>
  <c r="AP26"/>
  <c r="BE25"/>
  <c r="AH8" i="25"/>
  <c r="CA26" i="32"/>
  <c r="CA19"/>
  <c r="CA27"/>
  <c r="BK27" i="12"/>
  <c r="BX14" i="30"/>
  <c r="CA24" i="32"/>
  <c r="CQ24"/>
  <c r="DG10"/>
  <c r="BX21" i="30"/>
  <c r="BX27"/>
  <c r="CA12" i="32"/>
  <c r="CQ25"/>
  <c r="CQ10"/>
  <c r="CQ15"/>
  <c r="G11" i="16"/>
  <c r="DG23" i="32"/>
  <c r="DG11"/>
  <c r="S4" i="16"/>
  <c r="CM26" i="30"/>
  <c r="BX16"/>
  <c r="BX10"/>
  <c r="BK12" i="12"/>
  <c r="BZ19"/>
  <c r="BZ27"/>
  <c r="BK14"/>
  <c r="BX12" i="30"/>
  <c r="CM20"/>
  <c r="CM13"/>
  <c r="BX13"/>
  <c r="BZ14" i="12"/>
  <c r="BZ16"/>
  <c r="CM11" i="30"/>
  <c r="M3" i="16"/>
  <c r="CA20" i="32"/>
  <c r="BK20" i="12"/>
  <c r="BK26"/>
  <c r="BK19"/>
  <c r="CA15" i="32"/>
  <c r="G10" i="16"/>
  <c r="CA13" i="32"/>
  <c r="BX15" i="30"/>
  <c r="BX28"/>
  <c r="CQ28" i="32"/>
  <c r="CQ22"/>
  <c r="CQ17"/>
  <c r="DG20"/>
  <c r="DG14"/>
  <c r="DG25"/>
  <c r="BX19" i="30"/>
  <c r="BZ28" i="12"/>
  <c r="CA25" i="32"/>
  <c r="CQ20"/>
  <c r="CQ26"/>
  <c r="CQ27"/>
  <c r="DG18"/>
  <c r="DG28"/>
  <c r="DG22"/>
  <c r="DG17"/>
  <c r="BK25" i="12"/>
  <c r="BK22"/>
  <c r="CM18" i="30"/>
  <c r="BX24"/>
  <c r="BK17" i="12" l="1"/>
  <c r="O14"/>
  <c r="DU11" i="30"/>
  <c r="AS5" i="27"/>
  <c r="AS4"/>
  <c r="DU10" i="30"/>
  <c r="AP11"/>
  <c r="T7" i="25"/>
  <c r="AA11" i="30" s="1"/>
  <c r="AP19"/>
  <c r="AB7" i="25"/>
  <c r="AA19" i="30" s="1"/>
  <c r="DS15"/>
  <c r="DU14"/>
  <c r="BX23"/>
  <c r="CA21" i="32"/>
  <c r="DU17" i="12"/>
  <c r="DU23"/>
  <c r="N18" i="32"/>
  <c r="N14" i="30"/>
  <c r="CA15" i="12"/>
  <c r="DU11"/>
  <c r="DU12" s="1"/>
  <c r="DU13" s="1"/>
  <c r="DW12" s="1"/>
  <c r="AH6" i="15" s="1"/>
  <c r="CH15" i="12"/>
  <c r="CF15"/>
  <c r="U9" i="15" s="1"/>
  <c r="CG15" i="12"/>
  <c r="CC15"/>
  <c r="CE15"/>
  <c r="T9" i="15" s="1"/>
  <c r="DU24" i="12"/>
  <c r="DU25" s="1"/>
  <c r="G8" i="17"/>
  <c r="G8" i="23"/>
  <c r="DH25" i="32"/>
  <c r="DH21"/>
  <c r="DH17"/>
  <c r="DH13"/>
  <c r="DH10"/>
  <c r="DH26"/>
  <c r="DH22"/>
  <c r="DH18"/>
  <c r="DH14"/>
  <c r="DH27"/>
  <c r="DH23"/>
  <c r="DH19"/>
  <c r="DH15"/>
  <c r="DH11"/>
  <c r="DH28"/>
  <c r="DH24"/>
  <c r="DH20"/>
  <c r="DH16"/>
  <c r="DH12"/>
  <c r="AP25" i="30"/>
  <c r="AH7" i="25"/>
  <c r="AA25" i="30" s="1"/>
  <c r="AS13" i="12"/>
  <c r="AT13" s="1"/>
  <c r="AQ13" i="30"/>
  <c r="AR13" s="1"/>
  <c r="AH1" i="16"/>
  <c r="AG1"/>
  <c r="AH3"/>
  <c r="AG3"/>
  <c r="AP12" i="30"/>
  <c r="U7" i="25"/>
  <c r="AA12" i="30" s="1"/>
  <c r="AP16"/>
  <c r="Y7" i="25"/>
  <c r="AA16" i="30" s="1"/>
  <c r="AP28" i="32"/>
  <c r="AQ28" i="12"/>
  <c r="AU28" s="1"/>
  <c r="AJ8" i="22"/>
  <c r="AK7" i="5"/>
  <c r="AP17" i="32"/>
  <c r="Y8" i="22"/>
  <c r="AQ17" i="12"/>
  <c r="AU17" s="1"/>
  <c r="AV22" s="1"/>
  <c r="Z7" i="5"/>
  <c r="AG13" i="29"/>
  <c r="BD25" i="30"/>
  <c r="BH25" s="1"/>
  <c r="AH8" i="26"/>
  <c r="BU25" i="30"/>
  <c r="BV25" s="1"/>
  <c r="BW25" i="12"/>
  <c r="BX25" s="1"/>
  <c r="B9" i="17"/>
  <c r="B9" i="23"/>
  <c r="AS11" i="12"/>
  <c r="AT11" s="1"/>
  <c r="AQ11" i="30"/>
  <c r="AR11" s="1"/>
  <c r="AB1" i="16"/>
  <c r="AA1"/>
  <c r="AA3"/>
  <c r="AB3"/>
  <c r="CW25" i="12"/>
  <c r="CR25"/>
  <c r="CU25"/>
  <c r="Z19" i="15" s="1"/>
  <c r="CT25" i="12"/>
  <c r="Y19" i="15" s="1"/>
  <c r="CV25" i="12"/>
  <c r="CW17"/>
  <c r="CR17"/>
  <c r="CU17"/>
  <c r="Z11" i="15" s="1"/>
  <c r="CT17" i="12"/>
  <c r="Y11" i="15" s="1"/>
  <c r="CV17" i="12"/>
  <c r="CW15"/>
  <c r="CV15"/>
  <c r="CR15"/>
  <c r="CT15"/>
  <c r="Y9" i="15" s="1"/>
  <c r="CU15" i="12"/>
  <c r="Z9" i="15" s="1"/>
  <c r="CW27" i="12"/>
  <c r="CR27"/>
  <c r="CU27"/>
  <c r="Z21" i="15" s="1"/>
  <c r="CV27" i="12"/>
  <c r="CT27"/>
  <c r="Y21" i="15" s="1"/>
  <c r="CR19" i="12"/>
  <c r="CU19"/>
  <c r="Z13" i="15" s="1"/>
  <c r="CT19" i="12"/>
  <c r="Y13" i="15" s="1"/>
  <c r="CW19" i="12"/>
  <c r="CV19"/>
  <c r="CW28"/>
  <c r="CQ28" s="1"/>
  <c r="CU28"/>
  <c r="Z22" i="15" s="1"/>
  <c r="CR28" i="12"/>
  <c r="CT28"/>
  <c r="Y22" i="15" s="1"/>
  <c r="CV28" i="12"/>
  <c r="CW26"/>
  <c r="CR26"/>
  <c r="CQ26"/>
  <c r="CT26"/>
  <c r="Y20" i="15" s="1"/>
  <c r="CU26" i="12"/>
  <c r="Z20" i="15" s="1"/>
  <c r="CV26" i="12"/>
  <c r="CW11"/>
  <c r="CT11"/>
  <c r="Y5" i="15" s="1"/>
  <c r="CU11" i="12"/>
  <c r="Z5" i="15" s="1"/>
  <c r="CV11" i="12"/>
  <c r="CR11"/>
  <c r="CW20"/>
  <c r="CQ20" s="1"/>
  <c r="CU20"/>
  <c r="Z14" i="15" s="1"/>
  <c r="CR20" i="12"/>
  <c r="CT20"/>
  <c r="Y14" i="15" s="1"/>
  <c r="CV20" i="12"/>
  <c r="AP20" i="30"/>
  <c r="AC7" i="25"/>
  <c r="AA20" i="30" s="1"/>
  <c r="AE8" i="29"/>
  <c r="AO23" i="30"/>
  <c r="AS23" s="1"/>
  <c r="AF7" i="26"/>
  <c r="BF23" i="30"/>
  <c r="BG23" s="1"/>
  <c r="BH23" i="12"/>
  <c r="BI23" s="1"/>
  <c r="AG6" i="15"/>
  <c r="AG12"/>
  <c r="AG7"/>
  <c r="AG13"/>
  <c r="AG9"/>
  <c r="AG21"/>
  <c r="AT16" i="32"/>
  <c r="AR16"/>
  <c r="AS16" s="1"/>
  <c r="AP23" i="30"/>
  <c r="AF7" i="25"/>
  <c r="AA23" i="30" s="1"/>
  <c r="Z8" i="22"/>
  <c r="AQ18" i="12"/>
  <c r="AU18" s="1"/>
  <c r="AP18" i="32"/>
  <c r="AA7" i="5"/>
  <c r="BJ18" i="32"/>
  <c r="BH18"/>
  <c r="BI18" s="1"/>
  <c r="AE8" i="22"/>
  <c r="AP23" i="32"/>
  <c r="AQ23" i="12"/>
  <c r="AU23" s="1"/>
  <c r="AF7" i="5"/>
  <c r="AD13" i="29"/>
  <c r="BD22" i="30"/>
  <c r="BH22" s="1"/>
  <c r="AE8" i="26"/>
  <c r="BU22" i="30"/>
  <c r="BV22" s="1"/>
  <c r="BW22" i="12"/>
  <c r="BX22" s="1"/>
  <c r="Z10" i="32"/>
  <c r="AB10" i="12"/>
  <c r="AF10" s="1"/>
  <c r="AT10" i="32"/>
  <c r="AR10"/>
  <c r="AS10" s="1"/>
  <c r="AQ10" i="30"/>
  <c r="AR10" s="1"/>
  <c r="AS10" i="12"/>
  <c r="AT10" s="1"/>
  <c r="EE18" i="32"/>
  <c r="EF18"/>
  <c r="DY19" s="1"/>
  <c r="ED18"/>
  <c r="DZ18"/>
  <c r="EC18"/>
  <c r="EB18"/>
  <c r="EE26"/>
  <c r="EF26"/>
  <c r="ED26"/>
  <c r="DZ26"/>
  <c r="EC26"/>
  <c r="EB26"/>
  <c r="EF13"/>
  <c r="EB13"/>
  <c r="EE13"/>
  <c r="ED13"/>
  <c r="DZ13"/>
  <c r="EC13"/>
  <c r="ED21"/>
  <c r="DZ21"/>
  <c r="EC21"/>
  <c r="EF21"/>
  <c r="EB21"/>
  <c r="EE21"/>
  <c r="EC12"/>
  <c r="ED12"/>
  <c r="DZ12"/>
  <c r="EE12"/>
  <c r="EF12"/>
  <c r="EB12"/>
  <c r="EC20"/>
  <c r="ED20"/>
  <c r="DZ20"/>
  <c r="EE20"/>
  <c r="EF20"/>
  <c r="EB20"/>
  <c r="EC28"/>
  <c r="ED28"/>
  <c r="DZ28"/>
  <c r="EE28"/>
  <c r="EF28"/>
  <c r="EB28"/>
  <c r="ED15"/>
  <c r="DZ15"/>
  <c r="EC15"/>
  <c r="EF15"/>
  <c r="EB15"/>
  <c r="EE15"/>
  <c r="EF23"/>
  <c r="EB23"/>
  <c r="EE23"/>
  <c r="ED23"/>
  <c r="DZ23"/>
  <c r="EC23"/>
  <c r="AB14"/>
  <c r="AC14" s="1"/>
  <c r="AD14"/>
  <c r="CN27" i="30"/>
  <c r="CN25"/>
  <c r="CN23"/>
  <c r="CN21"/>
  <c r="CN19"/>
  <c r="CN17"/>
  <c r="CN15"/>
  <c r="CN13"/>
  <c r="CN11"/>
  <c r="CN28"/>
  <c r="CN26"/>
  <c r="CN24"/>
  <c r="CN22"/>
  <c r="CN20"/>
  <c r="CN18"/>
  <c r="CN16"/>
  <c r="CN14"/>
  <c r="CN12"/>
  <c r="CN10"/>
  <c r="Z13" i="29"/>
  <c r="BD18" i="30"/>
  <c r="BH18" s="1"/>
  <c r="AA8" i="26"/>
  <c r="BU18" i="30"/>
  <c r="BV18" s="1"/>
  <c r="BW18" i="12"/>
  <c r="BX18" s="1"/>
  <c r="AT25" i="32"/>
  <c r="AR25"/>
  <c r="AS25" s="1"/>
  <c r="AR11"/>
  <c r="AS11" s="1"/>
  <c r="AT11"/>
  <c r="BE28" i="30"/>
  <c r="AK8" i="25"/>
  <c r="AJ8" i="29" s="1"/>
  <c r="AN4" i="16"/>
  <c r="AM4"/>
  <c r="AN3"/>
  <c r="AM3"/>
  <c r="AO28" i="30"/>
  <c r="AS28" s="1"/>
  <c r="AK7" i="26"/>
  <c r="AQ17" i="30"/>
  <c r="AR17" s="1"/>
  <c r="AS17" i="12"/>
  <c r="AT17" s="1"/>
  <c r="AR20" i="32"/>
  <c r="AS20" s="1"/>
  <c r="AT20"/>
  <c r="DJ14" i="12"/>
  <c r="AE8" i="15" s="1"/>
  <c r="DG14" i="12"/>
  <c r="DL14"/>
  <c r="DI14"/>
  <c r="AD8" i="15" s="1"/>
  <c r="DK14" i="12"/>
  <c r="DJ11"/>
  <c r="AE5" i="15" s="1"/>
  <c r="DG11" i="12"/>
  <c r="DL11"/>
  <c r="DI11"/>
  <c r="AD5" i="15" s="1"/>
  <c r="DK11" i="12"/>
  <c r="DK21"/>
  <c r="DG21"/>
  <c r="DI21"/>
  <c r="AD15" i="15" s="1"/>
  <c r="DJ21" i="12"/>
  <c r="AE15" i="15" s="1"/>
  <c r="DL21" i="12"/>
  <c r="DL13"/>
  <c r="DI13"/>
  <c r="AD7" i="15" s="1"/>
  <c r="DJ13" i="12"/>
  <c r="AE7" i="15" s="1"/>
  <c r="DG13" i="12"/>
  <c r="DK13"/>
  <c r="DL18"/>
  <c r="DJ18"/>
  <c r="AE12" i="15" s="1"/>
  <c r="DG18" i="12"/>
  <c r="DI18"/>
  <c r="AD12" i="15" s="1"/>
  <c r="DK18" i="12"/>
  <c r="DG25"/>
  <c r="DI25"/>
  <c r="AD19" i="15" s="1"/>
  <c r="DL25" i="12"/>
  <c r="DJ25"/>
  <c r="AE19" i="15" s="1"/>
  <c r="DK25" i="12"/>
  <c r="DI19"/>
  <c r="AD13" i="15" s="1"/>
  <c r="DL19" i="12"/>
  <c r="DJ19"/>
  <c r="AE13" i="15" s="1"/>
  <c r="DK19" i="12"/>
  <c r="DG19"/>
  <c r="DK20"/>
  <c r="DJ20"/>
  <c r="AE14" i="15" s="1"/>
  <c r="DL20" i="12"/>
  <c r="DF20" s="1"/>
  <c r="DI20"/>
  <c r="AD14" i="15" s="1"/>
  <c r="DG20" i="12"/>
  <c r="DI26"/>
  <c r="AD20" i="15" s="1"/>
  <c r="DJ26" i="12"/>
  <c r="AE20" i="15" s="1"/>
  <c r="DG26" i="12"/>
  <c r="DK26"/>
  <c r="DL26"/>
  <c r="DJ10" i="30"/>
  <c r="AQ4" i="27" s="1"/>
  <c r="DH10" i="30"/>
  <c r="AO4" i="27" s="1"/>
  <c r="DI10" i="30"/>
  <c r="AP4" i="27" s="1"/>
  <c r="DG10" i="30"/>
  <c r="AN4" i="27" s="1"/>
  <c r="DE10" i="30"/>
  <c r="DJ14"/>
  <c r="AQ8" i="27" s="1"/>
  <c r="DH14" i="30"/>
  <c r="AO8" i="27" s="1"/>
  <c r="DI14" i="30"/>
  <c r="AP8" i="27" s="1"/>
  <c r="DG14" i="30"/>
  <c r="AN8" i="27" s="1"/>
  <c r="DE14" i="30"/>
  <c r="DJ18"/>
  <c r="AQ12" i="27" s="1"/>
  <c r="DH18" i="30"/>
  <c r="AO12" i="27" s="1"/>
  <c r="DI18" i="30"/>
  <c r="AP12" i="27" s="1"/>
  <c r="DG18" i="30"/>
  <c r="AN12" i="27" s="1"/>
  <c r="DE18" i="30"/>
  <c r="DJ22"/>
  <c r="AQ16" i="27" s="1"/>
  <c r="DH22" i="30"/>
  <c r="AO16" i="27" s="1"/>
  <c r="DI22" i="30"/>
  <c r="AP16" i="27" s="1"/>
  <c r="DG22" i="30"/>
  <c r="AN16" i="27" s="1"/>
  <c r="DE22" i="30"/>
  <c r="DJ26"/>
  <c r="AQ20" i="27" s="1"/>
  <c r="DH26" i="30"/>
  <c r="AO20" i="27" s="1"/>
  <c r="DI26" i="30"/>
  <c r="AP20" i="27" s="1"/>
  <c r="DG26" i="30"/>
  <c r="AN20" i="27" s="1"/>
  <c r="DE26" i="30"/>
  <c r="DJ11"/>
  <c r="AQ5" i="27" s="1"/>
  <c r="DH11" i="30"/>
  <c r="AO5" i="27" s="1"/>
  <c r="DI11" i="30"/>
  <c r="AP5" i="27" s="1"/>
  <c r="DG11" i="30"/>
  <c r="AN5" i="27" s="1"/>
  <c r="DE11" i="30"/>
  <c r="DI15"/>
  <c r="AP9" i="27" s="1"/>
  <c r="DG15" i="30"/>
  <c r="AN9" i="27" s="1"/>
  <c r="DE15" i="30"/>
  <c r="DJ15"/>
  <c r="AQ9" i="27" s="1"/>
  <c r="DH15" i="30"/>
  <c r="AO9" i="27" s="1"/>
  <c r="DD15" i="30"/>
  <c r="DI19"/>
  <c r="AP13" i="27" s="1"/>
  <c r="DG19" i="30"/>
  <c r="AN13" i="27" s="1"/>
  <c r="DE19" i="30"/>
  <c r="DJ19"/>
  <c r="AQ13" i="27" s="1"/>
  <c r="DH19" i="30"/>
  <c r="AO13" i="27" s="1"/>
  <c r="DI23" i="30"/>
  <c r="AP17" i="27" s="1"/>
  <c r="DG23" i="30"/>
  <c r="AN17" i="27" s="1"/>
  <c r="DE23" i="30"/>
  <c r="DJ23"/>
  <c r="AQ17" i="27" s="1"/>
  <c r="DH23" i="30"/>
  <c r="AO17" i="27" s="1"/>
  <c r="DI27" i="30"/>
  <c r="AP21" i="27" s="1"/>
  <c r="DG27" i="30"/>
  <c r="AN21" i="27" s="1"/>
  <c r="DE27" i="30"/>
  <c r="DJ27"/>
  <c r="AQ21" i="27" s="1"/>
  <c r="DH27" i="30"/>
  <c r="AO21" i="27" s="1"/>
  <c r="DD27" i="30"/>
  <c r="AP27"/>
  <c r="AJ7" i="25"/>
  <c r="AA27" i="30" s="1"/>
  <c r="AH13" i="29"/>
  <c r="BD26" i="30"/>
  <c r="BH26" s="1"/>
  <c r="BI26" s="1"/>
  <c r="AI8" i="26"/>
  <c r="BW26" i="12"/>
  <c r="BX26" s="1"/>
  <c r="BU26" i="30"/>
  <c r="BV26" s="1"/>
  <c r="AG22" i="15"/>
  <c r="AG14"/>
  <c r="AG19"/>
  <c r="I46" i="16"/>
  <c r="O9" i="19" s="1"/>
  <c r="I17" i="16"/>
  <c r="AF7" i="22"/>
  <c r="F4" i="16"/>
  <c r="AB24" i="12"/>
  <c r="AF24" s="1"/>
  <c r="Z24" i="32"/>
  <c r="AT21"/>
  <c r="AR21"/>
  <c r="AS21" s="1"/>
  <c r="AC8" i="29"/>
  <c r="AO21" i="30"/>
  <c r="AS21" s="1"/>
  <c r="AD7" i="26"/>
  <c r="BF21" i="30"/>
  <c r="BG21" s="1"/>
  <c r="BH21" i="12"/>
  <c r="BI21" s="1"/>
  <c r="B10" i="17"/>
  <c r="B10" i="23"/>
  <c r="Z13" i="32"/>
  <c r="U7" i="22"/>
  <c r="AB13" i="12"/>
  <c r="AF13" s="1"/>
  <c r="AR13" i="32"/>
  <c r="AS13" s="1"/>
  <c r="AT13"/>
  <c r="AI7" i="22"/>
  <c r="F1" i="16"/>
  <c r="G3" s="1"/>
  <c r="Z27" i="32"/>
  <c r="F7" i="16"/>
  <c r="F46"/>
  <c r="F17"/>
  <c r="AB27" i="12"/>
  <c r="AF27" s="1"/>
  <c r="AR27" i="32"/>
  <c r="AS27" s="1"/>
  <c r="AT27"/>
  <c r="L47" i="16"/>
  <c r="I10" i="19"/>
  <c r="CC10" i="12"/>
  <c r="CE10"/>
  <c r="T4" i="15" s="1"/>
  <c r="CG10" i="12"/>
  <c r="CH10"/>
  <c r="CF10"/>
  <c r="U4" i="15" s="1"/>
  <c r="CC22" i="12"/>
  <c r="CE22"/>
  <c r="T16" i="15" s="1"/>
  <c r="CG22" i="12"/>
  <c r="CH22"/>
  <c r="CF22"/>
  <c r="U16" i="15" s="1"/>
  <c r="BK15" i="12"/>
  <c r="BK28"/>
  <c r="O18"/>
  <c r="O11"/>
  <c r="O26"/>
  <c r="O10"/>
  <c r="O28"/>
  <c r="O20"/>
  <c r="O23"/>
  <c r="O13"/>
  <c r="O17"/>
  <c r="DU18"/>
  <c r="DU19" s="1"/>
  <c r="BI20" i="30"/>
  <c r="BK23" i="12"/>
  <c r="N14" i="32"/>
  <c r="N26"/>
  <c r="N22"/>
  <c r="N11"/>
  <c r="N23"/>
  <c r="N19"/>
  <c r="N27"/>
  <c r="N17"/>
  <c r="N12"/>
  <c r="N18" i="30"/>
  <c r="N24"/>
  <c r="N16"/>
  <c r="N13"/>
  <c r="N10"/>
  <c r="N15"/>
  <c r="N20"/>
  <c r="N21"/>
  <c r="N28"/>
  <c r="N22"/>
  <c r="T8" i="29"/>
  <c r="AV15" i="12"/>
  <c r="BK11"/>
  <c r="CA11" i="32"/>
  <c r="BK24" i="12"/>
  <c r="CA14" i="32"/>
  <c r="BK10" i="12"/>
  <c r="BI24" i="30"/>
  <c r="CA28" i="32"/>
  <c r="AJ13" i="29"/>
  <c r="AV19" i="12"/>
  <c r="AV20"/>
  <c r="AV24"/>
  <c r="CA18" i="32"/>
  <c r="BI14" i="30"/>
  <c r="CA11" i="12"/>
  <c r="CA27"/>
  <c r="CA23"/>
  <c r="CA19"/>
  <c r="CA14"/>
  <c r="CA18"/>
  <c r="CA17"/>
  <c r="CA16"/>
  <c r="BY22" i="30"/>
  <c r="G9" i="23"/>
  <c r="G9" i="17"/>
  <c r="CR12" i="32"/>
  <c r="CR10"/>
  <c r="CR25"/>
  <c r="CR24"/>
  <c r="CR26"/>
  <c r="CR18"/>
  <c r="CR27"/>
  <c r="CR28"/>
  <c r="CR20"/>
  <c r="CR21"/>
  <c r="CR11"/>
  <c r="CR13"/>
  <c r="CR23"/>
  <c r="CR14"/>
  <c r="CR15"/>
  <c r="CR16"/>
  <c r="CR17"/>
  <c r="CR19"/>
  <c r="CR22"/>
  <c r="U7" i="29"/>
  <c r="Z13" i="30"/>
  <c r="AD13" s="1"/>
  <c r="AG4" i="16"/>
  <c r="AH4"/>
  <c r="AG2"/>
  <c r="AH2"/>
  <c r="D49" i="20"/>
  <c r="C49"/>
  <c r="BJ28" i="32"/>
  <c r="BH28"/>
  <c r="BI28" s="1"/>
  <c r="BH17"/>
  <c r="BI17" s="1"/>
  <c r="BJ17"/>
  <c r="BK11" s="1"/>
  <c r="F9" i="17"/>
  <c r="F9" i="23"/>
  <c r="Z11" i="30"/>
  <c r="AD11" s="1"/>
  <c r="AA4" i="16"/>
  <c r="AB4"/>
  <c r="AA2"/>
  <c r="AB2"/>
  <c r="AB12" i="32"/>
  <c r="AC12" s="1"/>
  <c r="AD12"/>
  <c r="CW16" i="12"/>
  <c r="CQ16"/>
  <c r="CR16"/>
  <c r="CT16"/>
  <c r="Y10" i="15" s="1"/>
  <c r="CU16" i="12"/>
  <c r="Z10" i="15" s="1"/>
  <c r="CV16" i="12"/>
  <c r="CW10"/>
  <c r="CR10"/>
  <c r="CT10"/>
  <c r="Y4" i="15" s="1"/>
  <c r="CU10" i="12"/>
  <c r="Z4" i="15" s="1"/>
  <c r="CV10" i="12"/>
  <c r="CW23"/>
  <c r="CR23"/>
  <c r="CT23"/>
  <c r="Y17" i="15" s="1"/>
  <c r="CU23" i="12"/>
  <c r="Z17" i="15" s="1"/>
  <c r="CV23" i="12"/>
  <c r="CR14"/>
  <c r="CU14"/>
  <c r="Z8" i="15" s="1"/>
  <c r="CT14" i="12"/>
  <c r="Y8" i="15" s="1"/>
  <c r="CW14" i="12"/>
  <c r="CQ15" s="1"/>
  <c r="CV14"/>
  <c r="CR12"/>
  <c r="CT12"/>
  <c r="Y6" i="15" s="1"/>
  <c r="CU12" i="12"/>
  <c r="Z6" i="15" s="1"/>
  <c r="CV12" i="12"/>
  <c r="CW12"/>
  <c r="CQ12" s="1"/>
  <c r="CW21"/>
  <c r="CR21"/>
  <c r="CT21"/>
  <c r="Y15" i="15" s="1"/>
  <c r="CU21" i="12"/>
  <c r="Z15" i="15" s="1"/>
  <c r="CV21" i="12"/>
  <c r="CT24"/>
  <c r="Y18" i="15" s="1"/>
  <c r="CU24" i="12"/>
  <c r="Z18" i="15" s="1"/>
  <c r="CV24" i="12"/>
  <c r="CW24"/>
  <c r="CQ24"/>
  <c r="CR24"/>
  <c r="CQ13"/>
  <c r="CR13"/>
  <c r="CU13"/>
  <c r="Z7" i="15" s="1"/>
  <c r="CW13" i="12"/>
  <c r="CV13"/>
  <c r="CT13"/>
  <c r="Y7" i="15" s="1"/>
  <c r="CR18" i="12"/>
  <c r="CW18"/>
  <c r="CQ18"/>
  <c r="CU18"/>
  <c r="Z12" i="15" s="1"/>
  <c r="CT18" i="12"/>
  <c r="Y12" i="15" s="1"/>
  <c r="CV18" i="12"/>
  <c r="CW22"/>
  <c r="CQ23" s="1"/>
  <c r="CU22"/>
  <c r="Z16" i="15" s="1"/>
  <c r="CV22" i="12"/>
  <c r="CR22"/>
  <c r="CQ22"/>
  <c r="CT22"/>
  <c r="Y16" i="15" s="1"/>
  <c r="AG16"/>
  <c r="AG10"/>
  <c r="AG8"/>
  <c r="AG15"/>
  <c r="X7" i="22"/>
  <c r="AB16" i="12"/>
  <c r="AF16" s="1"/>
  <c r="Z16" i="32"/>
  <c r="AC7" i="26"/>
  <c r="AB8" i="29"/>
  <c r="AO20" i="30"/>
  <c r="AS20" s="1"/>
  <c r="BF20"/>
  <c r="BG20" s="1"/>
  <c r="BH20" i="12"/>
  <c r="BI20" s="1"/>
  <c r="BH23" i="32"/>
  <c r="BI23" s="1"/>
  <c r="BJ23"/>
  <c r="T7" i="29"/>
  <c r="Z12" i="30"/>
  <c r="AD12" s="1"/>
  <c r="G7" i="17"/>
  <c r="G7" i="23"/>
  <c r="R7" i="29"/>
  <c r="Z10" i="30"/>
  <c r="AD10" s="1"/>
  <c r="R7" i="22"/>
  <c r="EC14" i="32"/>
  <c r="EB14"/>
  <c r="EE14"/>
  <c r="EF14"/>
  <c r="DY15" s="1"/>
  <c r="ED14"/>
  <c r="DZ14"/>
  <c r="EC22"/>
  <c r="EB22"/>
  <c r="EE22"/>
  <c r="EF22"/>
  <c r="DY22" s="1"/>
  <c r="ED22"/>
  <c r="DZ22"/>
  <c r="EC10"/>
  <c r="EB10"/>
  <c r="EE10"/>
  <c r="EF10"/>
  <c r="ED10"/>
  <c r="DZ10"/>
  <c r="ED17"/>
  <c r="DZ17"/>
  <c r="EC17"/>
  <c r="EF17"/>
  <c r="EB17"/>
  <c r="EE17"/>
  <c r="EF25"/>
  <c r="EB25"/>
  <c r="EE25"/>
  <c r="ED25"/>
  <c r="DZ25"/>
  <c r="EC25"/>
  <c r="EC16"/>
  <c r="ED16"/>
  <c r="DZ16"/>
  <c r="EE16"/>
  <c r="EF16"/>
  <c r="DY16" s="1"/>
  <c r="EB16"/>
  <c r="EC24"/>
  <c r="ED24"/>
  <c r="DZ24"/>
  <c r="EE24"/>
  <c r="EF24"/>
  <c r="DY24" s="1"/>
  <c r="EB24"/>
  <c r="ED11"/>
  <c r="DZ11"/>
  <c r="EC11"/>
  <c r="EF11"/>
  <c r="DY11" s="1"/>
  <c r="EB11"/>
  <c r="EE11"/>
  <c r="EB19"/>
  <c r="EE19"/>
  <c r="EF19"/>
  <c r="ED19"/>
  <c r="DZ19"/>
  <c r="EC19"/>
  <c r="EF27"/>
  <c r="DY28" s="1"/>
  <c r="ED27"/>
  <c r="DZ27"/>
  <c r="EC27"/>
  <c r="EB27"/>
  <c r="EE27"/>
  <c r="DY27"/>
  <c r="T4" i="16"/>
  <c r="T1"/>
  <c r="T3"/>
  <c r="T2"/>
  <c r="W7" i="22"/>
  <c r="Z15" i="32"/>
  <c r="AB15" i="12"/>
  <c r="AF15" s="1"/>
  <c r="AT15" i="32"/>
  <c r="AR15"/>
  <c r="AS15" s="1"/>
  <c r="BF17" i="30"/>
  <c r="BG17" s="1"/>
  <c r="BH17" i="12"/>
  <c r="BI17" s="1"/>
  <c r="AG7" i="26"/>
  <c r="AF8" i="29"/>
  <c r="AO24" i="30"/>
  <c r="AS24" s="1"/>
  <c r="BF24"/>
  <c r="BG24" s="1"/>
  <c r="BH24" i="12"/>
  <c r="BI24" s="1"/>
  <c r="BX18" i="30"/>
  <c r="BX17"/>
  <c r="BX11"/>
  <c r="AD7" i="22"/>
  <c r="Z22" i="32"/>
  <c r="AB22" i="12"/>
  <c r="AF22" s="1"/>
  <c r="AT22" i="32"/>
  <c r="AR22"/>
  <c r="AS22" s="1"/>
  <c r="AB25" i="12"/>
  <c r="AF25" s="1"/>
  <c r="Z25" i="32"/>
  <c r="AG7" i="22"/>
  <c r="AB11" i="12"/>
  <c r="AF11" s="1"/>
  <c r="S7" i="22"/>
  <c r="Z11" i="32"/>
  <c r="AA8" i="29"/>
  <c r="AB7" i="26"/>
  <c r="AO19" i="30"/>
  <c r="AS19" s="1"/>
  <c r="BF19"/>
  <c r="BG19" s="1"/>
  <c r="BH19" i="12"/>
  <c r="BI19" s="1"/>
  <c r="AM2" i="16"/>
  <c r="AN2"/>
  <c r="AN1"/>
  <c r="AM1"/>
  <c r="W8" i="29"/>
  <c r="X7" i="26"/>
  <c r="AO15" i="30"/>
  <c r="AS15" s="1"/>
  <c r="BF15"/>
  <c r="BG15" s="1"/>
  <c r="BH15" i="12"/>
  <c r="BI15" s="1"/>
  <c r="Z17" i="30"/>
  <c r="AD17" s="1"/>
  <c r="AA7" i="22"/>
  <c r="AB19" i="12"/>
  <c r="AF19" s="1"/>
  <c r="Z19" i="32"/>
  <c r="AR19"/>
  <c r="AS19" s="1"/>
  <c r="AT19"/>
  <c r="AB26" i="12"/>
  <c r="AF26" s="1"/>
  <c r="AH7" i="22"/>
  <c r="Z26" i="32"/>
  <c r="AR26"/>
  <c r="AS26" s="1"/>
  <c r="AT26"/>
  <c r="AB7" i="22"/>
  <c r="AB20" i="12"/>
  <c r="AF20" s="1"/>
  <c r="Z20" i="32"/>
  <c r="DL24" i="12"/>
  <c r="DG24"/>
  <c r="DJ24"/>
  <c r="AE18" i="15" s="1"/>
  <c r="DI24" i="12"/>
  <c r="AD18" i="15" s="1"/>
  <c r="DK24" i="12"/>
  <c r="DG27"/>
  <c r="DI27"/>
  <c r="AD21" i="15" s="1"/>
  <c r="DK27" i="12"/>
  <c r="DJ27"/>
  <c r="AE21" i="15" s="1"/>
  <c r="DL27" i="12"/>
  <c r="DF27"/>
  <c r="DG17"/>
  <c r="DI17"/>
  <c r="AD11" i="15" s="1"/>
  <c r="DJ17" i="12"/>
  <c r="AE11" i="15" s="1"/>
  <c r="DL17" i="12"/>
  <c r="DK17"/>
  <c r="DI12"/>
  <c r="AD6" i="15" s="1"/>
  <c r="DJ12" i="12"/>
  <c r="AE6" i="15" s="1"/>
  <c r="DG12" i="12"/>
  <c r="DL12"/>
  <c r="DK12"/>
  <c r="DK10"/>
  <c r="DI10"/>
  <c r="AD4" i="15" s="1"/>
  <c r="DJ10" i="12"/>
  <c r="AE4" i="15" s="1"/>
  <c r="DG10" i="12"/>
  <c r="DL10"/>
  <c r="DG15"/>
  <c r="DK15"/>
  <c r="DJ15"/>
  <c r="AE9" i="15" s="1"/>
  <c r="DI15" i="12"/>
  <c r="AD9" i="15" s="1"/>
  <c r="DL15" i="12"/>
  <c r="DF15" s="1"/>
  <c r="DK22"/>
  <c r="DL22"/>
  <c r="DJ22"/>
  <c r="AE16" i="15" s="1"/>
  <c r="DI22" i="12"/>
  <c r="AD16" i="15" s="1"/>
  <c r="DG22" i="12"/>
  <c r="DF22"/>
  <c r="DK16"/>
  <c r="DJ16"/>
  <c r="AE10" i="15" s="1"/>
  <c r="DL16" i="12"/>
  <c r="DG16"/>
  <c r="DI16"/>
  <c r="AD10" i="15" s="1"/>
  <c r="DJ28" i="12"/>
  <c r="AE22" i="15" s="1"/>
  <c r="DI28" i="12"/>
  <c r="AD22" i="15" s="1"/>
  <c r="DL28" i="12"/>
  <c r="DF28" s="1"/>
  <c r="DG28"/>
  <c r="DK28"/>
  <c r="DI23"/>
  <c r="AD17" i="15" s="1"/>
  <c r="DL23" i="12"/>
  <c r="DF24" s="1"/>
  <c r="DJ23"/>
  <c r="AE17" i="15" s="1"/>
  <c r="DG23" i="12"/>
  <c r="DK23"/>
  <c r="DF23"/>
  <c r="DI12" i="30"/>
  <c r="AP6" i="27" s="1"/>
  <c r="DG12" i="30"/>
  <c r="AN6" i="27" s="1"/>
  <c r="DE12" i="30"/>
  <c r="DJ12"/>
  <c r="AQ6" i="27" s="1"/>
  <c r="DH12" i="30"/>
  <c r="AO6" i="27" s="1"/>
  <c r="DD12" i="30"/>
  <c r="DI16"/>
  <c r="AP10" i="27" s="1"/>
  <c r="DG16" i="30"/>
  <c r="AN10" i="27" s="1"/>
  <c r="DE16" i="30"/>
  <c r="DJ16"/>
  <c r="AQ10" i="27" s="1"/>
  <c r="DH16" i="30"/>
  <c r="AO10" i="27" s="1"/>
  <c r="DI20" i="30"/>
  <c r="AP14" i="27" s="1"/>
  <c r="DG20" i="30"/>
  <c r="AN14" i="27" s="1"/>
  <c r="DE20" i="30"/>
  <c r="DJ20"/>
  <c r="AQ14" i="27" s="1"/>
  <c r="DH20" i="30"/>
  <c r="AO14" i="27" s="1"/>
  <c r="DD20" i="30"/>
  <c r="DI24"/>
  <c r="AP18" i="27" s="1"/>
  <c r="DG24" i="30"/>
  <c r="AN18" i="27" s="1"/>
  <c r="DE24" i="30"/>
  <c r="DJ24"/>
  <c r="AQ18" i="27" s="1"/>
  <c r="DH24" i="30"/>
  <c r="AO18" i="27" s="1"/>
  <c r="DD24" i="30"/>
  <c r="DI28"/>
  <c r="AP22" i="27" s="1"/>
  <c r="DG28" i="30"/>
  <c r="AN22" i="27" s="1"/>
  <c r="DE28" i="30"/>
  <c r="DJ28"/>
  <c r="AQ22" i="27" s="1"/>
  <c r="DH28" i="30"/>
  <c r="AO22" i="27" s="1"/>
  <c r="DD28" i="30"/>
  <c r="DJ13"/>
  <c r="AQ7" i="27" s="1"/>
  <c r="DH13" i="30"/>
  <c r="AO7" i="27" s="1"/>
  <c r="DI13" i="30"/>
  <c r="AP7" i="27" s="1"/>
  <c r="DG13" i="30"/>
  <c r="AN7" i="27" s="1"/>
  <c r="DE13" i="30"/>
  <c r="DJ17"/>
  <c r="AQ11" i="27" s="1"/>
  <c r="DH17" i="30"/>
  <c r="AO11" i="27" s="1"/>
  <c r="DI17" i="30"/>
  <c r="AP11" i="27" s="1"/>
  <c r="DG17" i="30"/>
  <c r="AN11" i="27" s="1"/>
  <c r="DE17" i="30"/>
  <c r="DJ21"/>
  <c r="AQ15" i="27" s="1"/>
  <c r="DH21" i="30"/>
  <c r="AO15" i="27" s="1"/>
  <c r="DI21" i="30"/>
  <c r="AP15" i="27" s="1"/>
  <c r="DG21" i="30"/>
  <c r="AN15" i="27" s="1"/>
  <c r="DE21" i="30"/>
  <c r="DJ25"/>
  <c r="AQ19" i="27" s="1"/>
  <c r="DH25" i="30"/>
  <c r="AO19" i="27" s="1"/>
  <c r="DI25" i="30"/>
  <c r="AP19" i="27" s="1"/>
  <c r="DG25" i="30"/>
  <c r="AN19" i="27" s="1"/>
  <c r="DE25" i="30"/>
  <c r="Y7" i="26"/>
  <c r="X8" i="29"/>
  <c r="AO16" i="30"/>
  <c r="AS16" s="1"/>
  <c r="BF16"/>
  <c r="BG16" s="1"/>
  <c r="BH16" i="12"/>
  <c r="BI16" s="1"/>
  <c r="AG20" i="15"/>
  <c r="AG4"/>
  <c r="DW10" i="12"/>
  <c r="AH4" i="15" s="1"/>
  <c r="AG11"/>
  <c r="DW17" i="12"/>
  <c r="AH11" i="15" s="1"/>
  <c r="AG17"/>
  <c r="AG18"/>
  <c r="AG5"/>
  <c r="AR24" i="32"/>
  <c r="AS24" s="1"/>
  <c r="AT24"/>
  <c r="AC7" i="22"/>
  <c r="AB21" i="12"/>
  <c r="AF21" s="1"/>
  <c r="Z21" i="32"/>
  <c r="AP17" i="30"/>
  <c r="Z7" i="25"/>
  <c r="AA17" i="30" s="1"/>
  <c r="K10" i="16"/>
  <c r="L10"/>
  <c r="AI8" i="29"/>
  <c r="AO27" i="30"/>
  <c r="AS27" s="1"/>
  <c r="AJ7" i="26"/>
  <c r="BF27" i="30"/>
  <c r="BG27" s="1"/>
  <c r="BH27" i="12"/>
  <c r="BI27" s="1"/>
  <c r="N23" i="16"/>
  <c r="O23" s="1"/>
  <c r="J9"/>
  <c r="F10" i="23"/>
  <c r="F10" i="17"/>
  <c r="W7" i="26"/>
  <c r="V8" i="29"/>
  <c r="AO14" i="30"/>
  <c r="AS14" s="1"/>
  <c r="BF14"/>
  <c r="BG14" s="1"/>
  <c r="BH14" i="12"/>
  <c r="BI14" s="1"/>
  <c r="M2" i="16"/>
  <c r="M1"/>
  <c r="E6" i="17"/>
  <c r="E6" i="23"/>
  <c r="D8" i="16"/>
  <c r="G8" s="1"/>
  <c r="C8"/>
  <c r="BK22" i="32"/>
  <c r="O21" i="12"/>
  <c r="O12"/>
  <c r="O16"/>
  <c r="O25"/>
  <c r="O22"/>
  <c r="O27"/>
  <c r="O15"/>
  <c r="O24"/>
  <c r="O19"/>
  <c r="BI23" i="30"/>
  <c r="BK16" i="32"/>
  <c r="BK18" i="12"/>
  <c r="BX22" i="30"/>
  <c r="N10" i="32"/>
  <c r="N20"/>
  <c r="N24"/>
  <c r="N25"/>
  <c r="N15"/>
  <c r="N16"/>
  <c r="N28"/>
  <c r="N21"/>
  <c r="N13"/>
  <c r="N26" i="30"/>
  <c r="N25"/>
  <c r="N17"/>
  <c r="N27"/>
  <c r="N19"/>
  <c r="N23"/>
  <c r="N11"/>
  <c r="N12"/>
  <c r="BK15" i="32"/>
  <c r="AV10" i="12"/>
  <c r="CA10" i="32"/>
  <c r="BK16" i="12"/>
  <c r="BK21"/>
  <c r="CA16" i="32"/>
  <c r="CA22"/>
  <c r="BX20" i="30"/>
  <c r="BK13" i="12"/>
  <c r="AV25"/>
  <c r="CA17" i="32"/>
  <c r="BK19"/>
  <c r="BX26" i="30"/>
  <c r="BK24" i="32"/>
  <c r="BI21" i="30"/>
  <c r="AV27" i="12"/>
  <c r="CA12"/>
  <c r="CA21"/>
  <c r="CA24"/>
  <c r="CA13"/>
  <c r="CA25"/>
  <c r="CA28"/>
  <c r="CA20"/>
  <c r="CA26"/>
  <c r="DY17" i="32" l="1"/>
  <c r="AV13" i="12"/>
  <c r="AV21"/>
  <c r="BI28" i="30"/>
  <c r="AV11" i="12"/>
  <c r="BK10" i="32"/>
  <c r="BK27"/>
  <c r="AV16" i="12"/>
  <c r="DW11"/>
  <c r="AH5" i="15" s="1"/>
  <c r="DF13" i="12"/>
  <c r="Y7" i="29"/>
  <c r="DY18" i="32"/>
  <c r="CQ21" i="12"/>
  <c r="CQ17"/>
  <c r="S7" i="29"/>
  <c r="BI16" i="30"/>
  <c r="AV26" i="12"/>
  <c r="DD19" i="30"/>
  <c r="CQ27" i="12"/>
  <c r="DD16" i="30"/>
  <c r="DS16"/>
  <c r="DF17" i="12"/>
  <c r="BY26" i="30"/>
  <c r="DF18" i="12"/>
  <c r="DF14"/>
  <c r="DY23" i="32"/>
  <c r="EA23" s="1"/>
  <c r="DY20"/>
  <c r="DY12"/>
  <c r="EA12" s="1"/>
  <c r="DY13"/>
  <c r="AV18" i="12"/>
  <c r="CQ25"/>
  <c r="DY25" i="32"/>
  <c r="BK21"/>
  <c r="DF11" i="12"/>
  <c r="DF12" s="1"/>
  <c r="DH13" s="1"/>
  <c r="AC7" i="15" s="1"/>
  <c r="DY21" i="32"/>
  <c r="DY26"/>
  <c r="EA26" s="1"/>
  <c r="CQ11" i="12"/>
  <c r="CQ19"/>
  <c r="CS20" s="1"/>
  <c r="X14" i="15" s="1"/>
  <c r="CE26" i="30"/>
  <c r="AB20" i="27" s="1"/>
  <c r="CC26" i="30"/>
  <c r="Z20" i="27" s="1"/>
  <c r="CF26" i="30"/>
  <c r="AC20" i="27" s="1"/>
  <c r="CD26" i="30"/>
  <c r="AA20" i="27" s="1"/>
  <c r="CA26" i="30"/>
  <c r="DU20" i="12"/>
  <c r="DW19" s="1"/>
  <c r="AH13" i="15" s="1"/>
  <c r="DF21" i="12"/>
  <c r="DH21" s="1"/>
  <c r="AC15" i="15" s="1"/>
  <c r="AQ28" i="30"/>
  <c r="AR28" s="1"/>
  <c r="AS28" i="12"/>
  <c r="AT28" s="1"/>
  <c r="DW24"/>
  <c r="AH18" i="15" s="1"/>
  <c r="DU26" i="12"/>
  <c r="DF25"/>
  <c r="DF26" s="1"/>
  <c r="CH25"/>
  <c r="CC25"/>
  <c r="CE25"/>
  <c r="T19" i="15" s="1"/>
  <c r="CG25" i="12"/>
  <c r="CF25"/>
  <c r="U19" i="15" s="1"/>
  <c r="CC24" i="12"/>
  <c r="CH24"/>
  <c r="CB25" s="1"/>
  <c r="CG24"/>
  <c r="CF24"/>
  <c r="U18" i="15" s="1"/>
  <c r="CE24" i="12"/>
  <c r="T18" i="15" s="1"/>
  <c r="CB21" i="32"/>
  <c r="CB23"/>
  <c r="CB24"/>
  <c r="CB14"/>
  <c r="CB16"/>
  <c r="CB12"/>
  <c r="CB28"/>
  <c r="CB26"/>
  <c r="CB25"/>
  <c r="CB17"/>
  <c r="CB19"/>
  <c r="CB22"/>
  <c r="CB20"/>
  <c r="CB15"/>
  <c r="CB13"/>
  <c r="CB27"/>
  <c r="CB18"/>
  <c r="CB11"/>
  <c r="CB10"/>
  <c r="BL16"/>
  <c r="BL10"/>
  <c r="O12"/>
  <c r="O13"/>
  <c r="O18"/>
  <c r="O19"/>
  <c r="O20"/>
  <c r="O16"/>
  <c r="O10"/>
  <c r="O28"/>
  <c r="O27"/>
  <c r="O15"/>
  <c r="O21"/>
  <c r="O23"/>
  <c r="O24"/>
  <c r="O22"/>
  <c r="O25"/>
  <c r="O14"/>
  <c r="O26"/>
  <c r="O11"/>
  <c r="O17"/>
  <c r="G6" i="23"/>
  <c r="G6" i="17"/>
  <c r="AQ14" i="30"/>
  <c r="AR14" s="1"/>
  <c r="AS14" i="12"/>
  <c r="AT14" s="1"/>
  <c r="L9" i="16"/>
  <c r="K9"/>
  <c r="CC26" i="12"/>
  <c r="CF26"/>
  <c r="U20" i="15" s="1"/>
  <c r="CE26" i="12"/>
  <c r="T20" i="15" s="1"/>
  <c r="CG26" i="12"/>
  <c r="CH26"/>
  <c r="CH28"/>
  <c r="CF28"/>
  <c r="U22" i="15" s="1"/>
  <c r="CC28" i="12"/>
  <c r="CE28"/>
  <c r="T22" i="15" s="1"/>
  <c r="CG28" i="12"/>
  <c r="CH13"/>
  <c r="CB14" s="1"/>
  <c r="CC13"/>
  <c r="CE13"/>
  <c r="T7" i="15" s="1"/>
  <c r="CF13" i="12"/>
  <c r="U7" i="15" s="1"/>
  <c r="CG13" i="12"/>
  <c r="CC21"/>
  <c r="CH21"/>
  <c r="CB22" s="1"/>
  <c r="CF21"/>
  <c r="U15" i="15" s="1"/>
  <c r="CE21" i="12"/>
  <c r="T15" i="15" s="1"/>
  <c r="CG21" i="12"/>
  <c r="AW23"/>
  <c r="AW12"/>
  <c r="N3" i="16"/>
  <c r="N4"/>
  <c r="N1"/>
  <c r="N2"/>
  <c r="V7" i="29"/>
  <c r="Z14" i="30"/>
  <c r="AD14" s="1"/>
  <c r="B8" i="23"/>
  <c r="B8" i="17"/>
  <c r="AD21" i="32"/>
  <c r="AB21"/>
  <c r="AC21" s="1"/>
  <c r="AQ16" i="30"/>
  <c r="AR16" s="1"/>
  <c r="AS16" i="12"/>
  <c r="AT16" s="1"/>
  <c r="DH23"/>
  <c r="AC17" i="15" s="1"/>
  <c r="AB17"/>
  <c r="AB22"/>
  <c r="DH28" i="12"/>
  <c r="AC22" i="15" s="1"/>
  <c r="AB10"/>
  <c r="AB6"/>
  <c r="DH12" i="12"/>
  <c r="AC6" i="15" s="1"/>
  <c r="AB11"/>
  <c r="AB21"/>
  <c r="AB26" i="32"/>
  <c r="AC26" s="1"/>
  <c r="AD26"/>
  <c r="AQ15" i="30"/>
  <c r="AR15" s="1"/>
  <c r="AS15" i="12"/>
  <c r="AT15" s="1"/>
  <c r="AA7" i="29"/>
  <c r="Z19" i="30"/>
  <c r="AD19" s="1"/>
  <c r="AB11" i="32"/>
  <c r="AC11" s="1"/>
  <c r="AD11"/>
  <c r="AB25"/>
  <c r="AC25" s="1"/>
  <c r="AD25"/>
  <c r="AF7" i="29"/>
  <c r="Z24" i="30"/>
  <c r="AD24" s="1"/>
  <c r="AB15" i="32"/>
  <c r="AC15" s="1"/>
  <c r="AD15"/>
  <c r="V2" i="16"/>
  <c r="U2"/>
  <c r="V1"/>
  <c r="U1"/>
  <c r="AY21" i="33"/>
  <c r="EA27" i="32"/>
  <c r="AY10" i="33"/>
  <c r="EA16" i="32"/>
  <c r="AY8" i="33"/>
  <c r="AB7" i="29"/>
  <c r="Z20" i="30"/>
  <c r="AD20" s="1"/>
  <c r="CS22" i="12"/>
  <c r="X16" i="15" s="1"/>
  <c r="W16"/>
  <c r="W7"/>
  <c r="W18"/>
  <c r="CS24" i="12"/>
  <c r="X18" i="15" s="1"/>
  <c r="W17"/>
  <c r="CS23" i="12"/>
  <c r="X17" i="15" s="1"/>
  <c r="W10"/>
  <c r="CS16" i="12"/>
  <c r="X10" i="15" s="1"/>
  <c r="AB11" i="30"/>
  <c r="AC11" s="1"/>
  <c r="AD11" i="12"/>
  <c r="AE11" s="1"/>
  <c r="D50" i="20"/>
  <c r="D51" s="1"/>
  <c r="AB13" i="30"/>
  <c r="AC13" s="1"/>
  <c r="AD13" i="12"/>
  <c r="AE13" s="1"/>
  <c r="CZ19" i="32"/>
  <c r="AO13" i="33" s="1"/>
  <c r="CV19" i="32"/>
  <c r="AK13" i="33" s="1"/>
  <c r="CT19" i="32"/>
  <c r="CW19"/>
  <c r="AL13" i="33" s="1"/>
  <c r="CX19" i="32"/>
  <c r="AM13" i="33" s="1"/>
  <c r="CY19" i="32"/>
  <c r="AN13" i="33" s="1"/>
  <c r="CZ16" i="32"/>
  <c r="AO10" i="33" s="1"/>
  <c r="CX16" i="32"/>
  <c r="AM10" i="33" s="1"/>
  <c r="CY16" i="32"/>
  <c r="AN10" i="33" s="1"/>
  <c r="CW16" i="32"/>
  <c r="AL10" i="33" s="1"/>
  <c r="CT16" i="32"/>
  <c r="CV16"/>
  <c r="AK10" i="33" s="1"/>
  <c r="CT14" i="32"/>
  <c r="CY14"/>
  <c r="AN8" i="33" s="1"/>
  <c r="CV14" i="32"/>
  <c r="AK8" i="33" s="1"/>
  <c r="CZ14" i="32"/>
  <c r="AO8" i="33" s="1"/>
  <c r="CW14" i="32"/>
  <c r="AL8" i="33" s="1"/>
  <c r="CX14" i="32"/>
  <c r="AM8" i="33" s="1"/>
  <c r="CZ13" i="32"/>
  <c r="AO7" i="33" s="1"/>
  <c r="CX13" i="32"/>
  <c r="AM7" i="33" s="1"/>
  <c r="CT13" i="32"/>
  <c r="CV13"/>
  <c r="AK7" i="33" s="1"/>
  <c r="CY13" i="32"/>
  <c r="AN7" i="33" s="1"/>
  <c r="CW13" i="32"/>
  <c r="AL7" i="33" s="1"/>
  <c r="CT21" i="32"/>
  <c r="CW21"/>
  <c r="AL15" i="33" s="1"/>
  <c r="CZ21" i="32"/>
  <c r="AO15" i="33" s="1"/>
  <c r="CV21" i="32"/>
  <c r="AK15" i="33" s="1"/>
  <c r="CY21" i="32"/>
  <c r="AN15" i="33" s="1"/>
  <c r="CX21" i="32"/>
  <c r="AM15" i="33" s="1"/>
  <c r="CX28" i="32"/>
  <c r="AM22" i="33" s="1"/>
  <c r="CV28" i="32"/>
  <c r="AK22" i="33" s="1"/>
  <c r="CW28" i="32"/>
  <c r="AL22" i="33" s="1"/>
  <c r="CZ28" i="32"/>
  <c r="AO22" i="33" s="1"/>
  <c r="CT28" i="32"/>
  <c r="CY28"/>
  <c r="AN22" i="33" s="1"/>
  <c r="CZ18" i="32"/>
  <c r="AO12" i="33" s="1"/>
  <c r="CW18" i="32"/>
  <c r="AL12" i="33" s="1"/>
  <c r="CY18" i="32"/>
  <c r="AN12" i="33" s="1"/>
  <c r="CT18" i="32"/>
  <c r="CX18"/>
  <c r="AM12" i="33" s="1"/>
  <c r="CV18" i="32"/>
  <c r="AK12" i="33" s="1"/>
  <c r="CT24" i="32"/>
  <c r="CW24"/>
  <c r="AL18" i="33" s="1"/>
  <c r="CY24" i="32"/>
  <c r="AN18" i="33" s="1"/>
  <c r="CX24" i="32"/>
  <c r="AM18" i="33" s="1"/>
  <c r="CV24" i="32"/>
  <c r="AK18" i="33" s="1"/>
  <c r="CZ24" i="32"/>
  <c r="AO18" i="33" s="1"/>
  <c r="CT10" i="32"/>
  <c r="CW10"/>
  <c r="AL4" i="33" s="1"/>
  <c r="CZ10" i="32"/>
  <c r="AO4" i="33" s="1"/>
  <c r="CY10" i="32"/>
  <c r="AN4" i="33" s="1"/>
  <c r="CX10" i="32"/>
  <c r="AM4" i="33" s="1"/>
  <c r="CV10" i="32"/>
  <c r="AK4" i="33" s="1"/>
  <c r="CC17" i="12"/>
  <c r="CH17"/>
  <c r="CG17"/>
  <c r="CE17"/>
  <c r="T11" i="15" s="1"/>
  <c r="CF17" i="12"/>
  <c r="U11" i="15" s="1"/>
  <c r="CH14" i="12"/>
  <c r="CB15" s="1"/>
  <c r="CC14"/>
  <c r="CE14"/>
  <c r="T8" i="15" s="1"/>
  <c r="CF14" i="12"/>
  <c r="U8" i="15" s="1"/>
  <c r="CG14" i="12"/>
  <c r="CH23"/>
  <c r="CB23" s="1"/>
  <c r="CF23"/>
  <c r="U17" i="15" s="1"/>
  <c r="CE23" i="12"/>
  <c r="T17" i="15" s="1"/>
  <c r="CC23" i="12"/>
  <c r="CG23"/>
  <c r="CC11"/>
  <c r="CH11"/>
  <c r="CB11" s="1"/>
  <c r="CD10" s="1"/>
  <c r="S4" i="15" s="1"/>
  <c r="CF11" i="12"/>
  <c r="U5" i="15" s="1"/>
  <c r="CG11" i="12"/>
  <c r="CE11"/>
  <c r="T5" i="15" s="1"/>
  <c r="BL24" i="12"/>
  <c r="BL23"/>
  <c r="BL22"/>
  <c r="BL21"/>
  <c r="BL20"/>
  <c r="BL18"/>
  <c r="BL12"/>
  <c r="BL14"/>
  <c r="BL25"/>
  <c r="BL19"/>
  <c r="BL26"/>
  <c r="BL27"/>
  <c r="BL16"/>
  <c r="BL10"/>
  <c r="BL13"/>
  <c r="BL28"/>
  <c r="BL17"/>
  <c r="BL15"/>
  <c r="BL11"/>
  <c r="AQ12" i="30"/>
  <c r="AR12" s="1"/>
  <c r="AS12" i="12"/>
  <c r="AT12" s="1"/>
  <c r="O19" i="30"/>
  <c r="O12"/>
  <c r="O21"/>
  <c r="O14"/>
  <c r="O13"/>
  <c r="O22"/>
  <c r="O15"/>
  <c r="O24"/>
  <c r="O17"/>
  <c r="O26"/>
  <c r="O25"/>
  <c r="O10"/>
  <c r="O27"/>
  <c r="O20"/>
  <c r="O18"/>
  <c r="O16"/>
  <c r="O28"/>
  <c r="O11"/>
  <c r="O23"/>
  <c r="P16" i="12"/>
  <c r="P12"/>
  <c r="P27"/>
  <c r="P25"/>
  <c r="P21"/>
  <c r="P19"/>
  <c r="P23"/>
  <c r="P17"/>
  <c r="P15"/>
  <c r="P18"/>
  <c r="P24"/>
  <c r="P28"/>
  <c r="P10"/>
  <c r="P20"/>
  <c r="P13"/>
  <c r="P11"/>
  <c r="P26"/>
  <c r="P14"/>
  <c r="P22"/>
  <c r="R16" i="15"/>
  <c r="R4"/>
  <c r="E5" i="17"/>
  <c r="E5" i="23"/>
  <c r="D7" i="16"/>
  <c r="C7"/>
  <c r="G2"/>
  <c r="G1"/>
  <c r="AD13" i="32"/>
  <c r="AB13"/>
  <c r="AC13" s="1"/>
  <c r="AD24"/>
  <c r="AB24"/>
  <c r="AC24" s="1"/>
  <c r="AI7" i="26"/>
  <c r="AH8" i="29"/>
  <c r="AO26" i="30"/>
  <c r="AS26" s="1"/>
  <c r="BH26" i="12"/>
  <c r="BI26" s="1"/>
  <c r="BF26" i="30"/>
  <c r="BG26" s="1"/>
  <c r="AL21" i="27"/>
  <c r="AL17"/>
  <c r="AL13"/>
  <c r="AL9"/>
  <c r="AL20"/>
  <c r="AL16"/>
  <c r="AL12"/>
  <c r="AL8"/>
  <c r="AB7" i="15"/>
  <c r="AB15"/>
  <c r="DH11" i="12"/>
  <c r="AC5" i="15" s="1"/>
  <c r="AB5"/>
  <c r="DH14" i="12"/>
  <c r="AC8" i="15" s="1"/>
  <c r="AB8"/>
  <c r="Z28" i="30"/>
  <c r="AD28" s="1"/>
  <c r="BI18"/>
  <c r="BI13"/>
  <c r="BI10"/>
  <c r="BI12"/>
  <c r="BI11"/>
  <c r="BI17"/>
  <c r="CT10"/>
  <c r="AI4" i="27" s="1"/>
  <c r="CR10" i="30"/>
  <c r="AG4" i="27" s="1"/>
  <c r="CP10" i="30"/>
  <c r="CU10"/>
  <c r="AJ4" i="27" s="1"/>
  <c r="CS10" i="30"/>
  <c r="AH4" i="27" s="1"/>
  <c r="CT14" i="30"/>
  <c r="AI8" i="27" s="1"/>
  <c r="CR14" i="30"/>
  <c r="AG8" i="27" s="1"/>
  <c r="CP14" i="30"/>
  <c r="CU14"/>
  <c r="AJ8" i="27" s="1"/>
  <c r="CS14" i="30"/>
  <c r="AH8" i="27" s="1"/>
  <c r="CT18" i="30"/>
  <c r="AI12" i="27" s="1"/>
  <c r="CR18" i="30"/>
  <c r="AG12" i="27" s="1"/>
  <c r="CP18" i="30"/>
  <c r="CU18"/>
  <c r="AJ12" i="27" s="1"/>
  <c r="CS18" i="30"/>
  <c r="AH12" i="27" s="1"/>
  <c r="CU22" i="30"/>
  <c r="AJ16" i="27" s="1"/>
  <c r="CS22" i="30"/>
  <c r="AH16" i="27" s="1"/>
  <c r="CT22" i="30"/>
  <c r="AI16" i="27" s="1"/>
  <c r="CR22" i="30"/>
  <c r="AG16" i="27" s="1"/>
  <c r="CP22" i="30"/>
  <c r="CU26"/>
  <c r="AJ20" i="27" s="1"/>
  <c r="CS26" i="30"/>
  <c r="AH20" i="27" s="1"/>
  <c r="CT26" i="30"/>
  <c r="AI20" i="27" s="1"/>
  <c r="CR26" i="30"/>
  <c r="AG20" i="27" s="1"/>
  <c r="CP26" i="30"/>
  <c r="CU11"/>
  <c r="AJ5" i="27" s="1"/>
  <c r="CS11" i="30"/>
  <c r="AH5" i="27" s="1"/>
  <c r="CT11" i="30"/>
  <c r="AI5" i="27" s="1"/>
  <c r="CR11" i="30"/>
  <c r="AG5" i="27" s="1"/>
  <c r="CP11" i="30"/>
  <c r="CU15"/>
  <c r="AJ9" i="27" s="1"/>
  <c r="CS15" i="30"/>
  <c r="AH9" i="27" s="1"/>
  <c r="CT15" i="30"/>
  <c r="AI9" i="27" s="1"/>
  <c r="CR15" i="30"/>
  <c r="AG9" i="27" s="1"/>
  <c r="CP15" i="30"/>
  <c r="CU19"/>
  <c r="AJ13" i="27" s="1"/>
  <c r="CS19" i="30"/>
  <c r="AH13" i="27" s="1"/>
  <c r="CT19" i="30"/>
  <c r="AI13" i="27" s="1"/>
  <c r="CR19" i="30"/>
  <c r="AG13" i="27" s="1"/>
  <c r="CP19" i="30"/>
  <c r="CU23"/>
  <c r="AJ17" i="27" s="1"/>
  <c r="CS23" i="30"/>
  <c r="AH17" i="27" s="1"/>
  <c r="CT23" i="30"/>
  <c r="AI17" i="27" s="1"/>
  <c r="CR23" i="30"/>
  <c r="AG17" i="27" s="1"/>
  <c r="CP23" i="30"/>
  <c r="CU27"/>
  <c r="AJ21" i="27" s="1"/>
  <c r="CS27" i="30"/>
  <c r="AH21" i="27" s="1"/>
  <c r="CT27" i="30"/>
  <c r="AI21" i="27" s="1"/>
  <c r="CR27" i="30"/>
  <c r="AG21" i="27" s="1"/>
  <c r="CP27" i="30"/>
  <c r="AY17" i="33"/>
  <c r="AY14"/>
  <c r="EA20" i="32"/>
  <c r="AY7" i="33"/>
  <c r="AY12"/>
  <c r="EA18" i="32"/>
  <c r="AE7" i="26"/>
  <c r="AD8" i="29"/>
  <c r="AO22" i="30"/>
  <c r="AS22" s="1"/>
  <c r="BF22"/>
  <c r="BG22" s="1"/>
  <c r="BH22" i="12"/>
  <c r="BI22" s="1"/>
  <c r="AR18" i="32"/>
  <c r="AS18" s="1"/>
  <c r="AT18"/>
  <c r="W14" i="15"/>
  <c r="CS11" i="12"/>
  <c r="X5" i="15" s="1"/>
  <c r="W5"/>
  <c r="CS26" i="12"/>
  <c r="X20" i="15" s="1"/>
  <c r="W20"/>
  <c r="CS28" i="12"/>
  <c r="X22" i="15" s="1"/>
  <c r="W22"/>
  <c r="W21"/>
  <c r="CS27" i="12"/>
  <c r="X21" i="15" s="1"/>
  <c r="W9"/>
  <c r="W11"/>
  <c r="CS17" i="12"/>
  <c r="X11" i="15" s="1"/>
  <c r="AG8" i="29"/>
  <c r="AO25" i="30"/>
  <c r="AS25" s="1"/>
  <c r="AH7" i="26"/>
  <c r="BF25" i="30"/>
  <c r="BG25" s="1"/>
  <c r="BH25" i="12"/>
  <c r="BI25" s="1"/>
  <c r="AV17"/>
  <c r="AV12"/>
  <c r="AV14"/>
  <c r="AR17" i="32"/>
  <c r="AS17" s="1"/>
  <c r="AT17"/>
  <c r="AT28"/>
  <c r="AR28"/>
  <c r="AS28" s="1"/>
  <c r="DO16"/>
  <c r="AV10" i="33" s="1"/>
  <c r="DN16" i="32"/>
  <c r="AU10" i="33" s="1"/>
  <c r="DJ16" i="32"/>
  <c r="DP16"/>
  <c r="AW10" i="33" s="1"/>
  <c r="DM16" i="32"/>
  <c r="AT10" i="33" s="1"/>
  <c r="DL16" i="32"/>
  <c r="AS10" i="33" s="1"/>
  <c r="DP24" i="32"/>
  <c r="AW18" i="33" s="1"/>
  <c r="DM24" i="32"/>
  <c r="AT18" i="33" s="1"/>
  <c r="DL24" i="32"/>
  <c r="AS18" i="33" s="1"/>
  <c r="DO24" i="32"/>
  <c r="AV18" i="33" s="1"/>
  <c r="DN24" i="32"/>
  <c r="AU18" i="33" s="1"/>
  <c r="DJ24" i="32"/>
  <c r="DP11"/>
  <c r="AW5" i="33" s="1"/>
  <c r="DN11" i="32"/>
  <c r="AU5" i="33" s="1"/>
  <c r="DJ11" i="32"/>
  <c r="DM11"/>
  <c r="AT5" i="33" s="1"/>
  <c r="DL11" i="32"/>
  <c r="AS5" i="33" s="1"/>
  <c r="DO11" i="32"/>
  <c r="AV5" i="33" s="1"/>
  <c r="DP19" i="32"/>
  <c r="AW13" i="33" s="1"/>
  <c r="DL19" i="32"/>
  <c r="AS13" i="33" s="1"/>
  <c r="DO19" i="32"/>
  <c r="AV13" i="33" s="1"/>
  <c r="DN19" i="32"/>
  <c r="AU13" i="33" s="1"/>
  <c r="DJ19" i="32"/>
  <c r="DM19"/>
  <c r="AT13" i="33" s="1"/>
  <c r="DN27" i="32"/>
  <c r="AU21" i="33" s="1"/>
  <c r="DJ27" i="32"/>
  <c r="DM27"/>
  <c r="AT21" i="33" s="1"/>
  <c r="DP27" i="32"/>
  <c r="AW21" i="33" s="1"/>
  <c r="DL27" i="32"/>
  <c r="AS21" i="33" s="1"/>
  <c r="DO27" i="32"/>
  <c r="AV21" i="33" s="1"/>
  <c r="DO18" i="32"/>
  <c r="AV12" i="33" s="1"/>
  <c r="DP18" i="32"/>
  <c r="AW12" i="33" s="1"/>
  <c r="DL18" i="32"/>
  <c r="AS12" i="33" s="1"/>
  <c r="DM18" i="32"/>
  <c r="AT12" i="33" s="1"/>
  <c r="DN18" i="32"/>
  <c r="AU12" i="33" s="1"/>
  <c r="DJ18" i="32"/>
  <c r="DO26"/>
  <c r="AV20" i="33" s="1"/>
  <c r="DP26" i="32"/>
  <c r="AW20" i="33" s="1"/>
  <c r="DL26" i="32"/>
  <c r="AS20" i="33" s="1"/>
  <c r="DM26" i="32"/>
  <c r="AT20" i="33" s="1"/>
  <c r="DN26" i="32"/>
  <c r="AU20" i="33" s="1"/>
  <c r="DJ26" i="32"/>
  <c r="DP13"/>
  <c r="AW7" i="33" s="1"/>
  <c r="DL13" i="32"/>
  <c r="AS7" i="33" s="1"/>
  <c r="DO13" i="32"/>
  <c r="AV7" i="33" s="1"/>
  <c r="DN13" i="32"/>
  <c r="AU7" i="33" s="1"/>
  <c r="DJ13" i="32"/>
  <c r="DM13"/>
  <c r="AT7" i="33" s="1"/>
  <c r="DN21" i="32"/>
  <c r="AU15" i="33" s="1"/>
  <c r="DJ21" i="32"/>
  <c r="DM21"/>
  <c r="AT15" i="33" s="1"/>
  <c r="DP21" i="32"/>
  <c r="AW15" i="33" s="1"/>
  <c r="DL21" i="32"/>
  <c r="AS15" i="33" s="1"/>
  <c r="DO21" i="32"/>
  <c r="AV15" i="33" s="1"/>
  <c r="DD25" i="30"/>
  <c r="DD21"/>
  <c r="DD17"/>
  <c r="DD13"/>
  <c r="DF16" i="12"/>
  <c r="DH16" s="1"/>
  <c r="AC10" i="15" s="1"/>
  <c r="DY14" i="32"/>
  <c r="EA14" s="1"/>
  <c r="BK23"/>
  <c r="CQ14" i="12"/>
  <c r="CS13" s="1"/>
  <c r="X7" i="15" s="1"/>
  <c r="BK28" i="32"/>
  <c r="BY11" i="30"/>
  <c r="BY15"/>
  <c r="BY19"/>
  <c r="BY23"/>
  <c r="BY27"/>
  <c r="BY12"/>
  <c r="BY16"/>
  <c r="BY20"/>
  <c r="BY24"/>
  <c r="BY28"/>
  <c r="BI27"/>
  <c r="BK20" i="32"/>
  <c r="BI15" i="30"/>
  <c r="BI19"/>
  <c r="G4" i="16"/>
  <c r="DD11" i="30"/>
  <c r="DF12" s="1"/>
  <c r="AM6" i="27" s="1"/>
  <c r="DF19" i="12"/>
  <c r="AV23"/>
  <c r="BK18" i="32"/>
  <c r="DW18" i="12"/>
  <c r="AH12" i="15" s="1"/>
  <c r="DU14" i="12"/>
  <c r="CC20"/>
  <c r="CE20"/>
  <c r="T14" i="15" s="1"/>
  <c r="CG20" i="12"/>
  <c r="CH20"/>
  <c r="CF20"/>
  <c r="U14" i="15" s="1"/>
  <c r="CH12" i="12"/>
  <c r="CB12"/>
  <c r="CC12"/>
  <c r="CF12"/>
  <c r="U6" i="15" s="1"/>
  <c r="CE12" i="12"/>
  <c r="T6" i="15" s="1"/>
  <c r="CG12" i="12"/>
  <c r="AI7" i="29"/>
  <c r="Z27" i="30"/>
  <c r="AD27" s="1"/>
  <c r="AQ27"/>
  <c r="AR27" s="1"/>
  <c r="N18" i="16"/>
  <c r="O18" s="1"/>
  <c r="AS27" i="12"/>
  <c r="AT27" s="1"/>
  <c r="J8" i="16"/>
  <c r="F8" i="23"/>
  <c r="F8" i="17"/>
  <c r="X7" i="29"/>
  <c r="Z16" i="30"/>
  <c r="AD16" s="1"/>
  <c r="AL19" i="27"/>
  <c r="AL15"/>
  <c r="AL11"/>
  <c r="AL7"/>
  <c r="DF28" i="30"/>
  <c r="AM22" i="27" s="1"/>
  <c r="AL22"/>
  <c r="AL18"/>
  <c r="DF20" i="30"/>
  <c r="AM14" i="27" s="1"/>
  <c r="AL14"/>
  <c r="DF16" i="30"/>
  <c r="AM10" i="27" s="1"/>
  <c r="AL10"/>
  <c r="AL6"/>
  <c r="AB16" i="15"/>
  <c r="DH22" i="12"/>
  <c r="AC16" i="15" s="1"/>
  <c r="AB9"/>
  <c r="DH15" i="12"/>
  <c r="AC9" i="15" s="1"/>
  <c r="AB4"/>
  <c r="DH10" i="12"/>
  <c r="AC4" i="15" s="1"/>
  <c r="AB18"/>
  <c r="DH24" i="12"/>
  <c r="AC18" i="15" s="1"/>
  <c r="AB20" i="32"/>
  <c r="AC20" s="1"/>
  <c r="AD20"/>
  <c r="AB19"/>
  <c r="AC19" s="1"/>
  <c r="AD19"/>
  <c r="AB17" i="30"/>
  <c r="AC17" s="1"/>
  <c r="AD17" i="12"/>
  <c r="AE17" s="1"/>
  <c r="W7" i="29"/>
  <c r="Z15" i="30"/>
  <c r="AD15" s="1"/>
  <c r="AQ19"/>
  <c r="AR19" s="1"/>
  <c r="AS19" i="12"/>
  <c r="AT19" s="1"/>
  <c r="AB22" i="32"/>
  <c r="AC22" s="1"/>
  <c r="AD22"/>
  <c r="AQ24" i="30"/>
  <c r="AR24" s="1"/>
  <c r="AS24" i="12"/>
  <c r="AT24" s="1"/>
  <c r="V3" i="16"/>
  <c r="U3"/>
  <c r="U4"/>
  <c r="V4"/>
  <c r="AY13" i="33"/>
  <c r="EA19" i="32"/>
  <c r="AY5" i="33"/>
  <c r="EA11" i="32"/>
  <c r="AY18" i="33"/>
  <c r="EA24" i="32"/>
  <c r="AY19" i="33"/>
  <c r="EA25" i="32"/>
  <c r="EA17"/>
  <c r="AY11" i="33"/>
  <c r="EA10" i="32"/>
  <c r="AY4" i="33"/>
  <c r="AY16"/>
  <c r="EA22" i="32"/>
  <c r="AB10" i="30"/>
  <c r="AC10" s="1"/>
  <c r="AD10" i="12"/>
  <c r="AE10" s="1"/>
  <c r="AB12" i="30"/>
  <c r="AC12" s="1"/>
  <c r="AD12" i="12"/>
  <c r="AE12" s="1"/>
  <c r="AQ20" i="30"/>
  <c r="AR20" s="1"/>
  <c r="AS20" i="12"/>
  <c r="AT20" s="1"/>
  <c r="AB16" i="32"/>
  <c r="AC16" s="1"/>
  <c r="AD16"/>
  <c r="W12" i="15"/>
  <c r="CS21" i="12"/>
  <c r="X15" i="15" s="1"/>
  <c r="W15"/>
  <c r="CS12" i="12"/>
  <c r="X6" i="15" s="1"/>
  <c r="W6"/>
  <c r="CS14" i="12"/>
  <c r="X8" i="15" s="1"/>
  <c r="W8"/>
  <c r="W4"/>
  <c r="CS10" i="12"/>
  <c r="X4" i="15" s="1"/>
  <c r="BK17" i="32"/>
  <c r="BK12"/>
  <c r="C50" i="20"/>
  <c r="C51" s="1"/>
  <c r="CT22" i="32"/>
  <c r="CW22"/>
  <c r="AL16" i="33" s="1"/>
  <c r="CZ22" i="32"/>
  <c r="AO16" i="33" s="1"/>
  <c r="CV22" i="32"/>
  <c r="AK16" i="33" s="1"/>
  <c r="CX22" i="32"/>
  <c r="AM16" i="33" s="1"/>
  <c r="CY22" i="32"/>
  <c r="AN16" i="33" s="1"/>
  <c r="CZ17" i="32"/>
  <c r="AO11" i="33" s="1"/>
  <c r="CT17" i="32"/>
  <c r="CY17"/>
  <c r="AN11" i="33" s="1"/>
  <c r="CV17" i="32"/>
  <c r="AK11" i="33" s="1"/>
  <c r="CW17" i="32"/>
  <c r="AL11" i="33" s="1"/>
  <c r="CX17" i="32"/>
  <c r="AM11" i="33" s="1"/>
  <c r="CZ15" i="32"/>
  <c r="AO9" i="33" s="1"/>
  <c r="CT15" i="32"/>
  <c r="CV15"/>
  <c r="AK9" i="33" s="1"/>
  <c r="CY15" i="32"/>
  <c r="AN9" i="33" s="1"/>
  <c r="CW15" i="32"/>
  <c r="AL9" i="33" s="1"/>
  <c r="CX15" i="32"/>
  <c r="AM9" i="33" s="1"/>
  <c r="CZ23" i="32"/>
  <c r="AO17" i="33" s="1"/>
  <c r="CT23" i="32"/>
  <c r="CV23"/>
  <c r="AK17" i="33" s="1"/>
  <c r="CX23" i="32"/>
  <c r="AM17" i="33" s="1"/>
  <c r="CW23" i="32"/>
  <c r="AL17" i="33" s="1"/>
  <c r="CY23" i="32"/>
  <c r="AN17" i="33" s="1"/>
  <c r="CZ11" i="32"/>
  <c r="AO5" i="33" s="1"/>
  <c r="CW11" i="32"/>
  <c r="AL5" i="33" s="1"/>
  <c r="CV11" i="32"/>
  <c r="AK5" i="33" s="1"/>
  <c r="CX11" i="32"/>
  <c r="AM5" i="33" s="1"/>
  <c r="CY11" i="32"/>
  <c r="AN5" i="33" s="1"/>
  <c r="CT11" i="32"/>
  <c r="CW20"/>
  <c r="AL14" i="33" s="1"/>
  <c r="CX20" i="32"/>
  <c r="AM14" i="33" s="1"/>
  <c r="CY20" i="32"/>
  <c r="AN14" i="33" s="1"/>
  <c r="CZ20" i="32"/>
  <c r="AO14" i="33" s="1"/>
  <c r="CT20" i="32"/>
  <c r="CV20"/>
  <c r="AK14" i="33" s="1"/>
  <c r="CX27" i="32"/>
  <c r="AM21" i="33" s="1"/>
  <c r="CZ27" i="32"/>
  <c r="AO21" i="33" s="1"/>
  <c r="CT27" i="32"/>
  <c r="CY27"/>
  <c r="AN21" i="33" s="1"/>
  <c r="CV27" i="32"/>
  <c r="AK21" i="33" s="1"/>
  <c r="CW27" i="32"/>
  <c r="AL21" i="33" s="1"/>
  <c r="CV26" i="32"/>
  <c r="AK20" i="33" s="1"/>
  <c r="CY26" i="32"/>
  <c r="AN20" i="33" s="1"/>
  <c r="CX26" i="32"/>
  <c r="AM20" i="33" s="1"/>
  <c r="CZ26" i="32"/>
  <c r="AO20" i="33" s="1"/>
  <c r="CT26" i="32"/>
  <c r="CW26"/>
  <c r="AL20" i="33" s="1"/>
  <c r="CZ25" i="32"/>
  <c r="AO19" i="33" s="1"/>
  <c r="CS25" i="32"/>
  <c r="CY25"/>
  <c r="AN19" i="33" s="1"/>
  <c r="CT25" i="32"/>
  <c r="CX25"/>
  <c r="AM19" i="33" s="1"/>
  <c r="CW25" i="32"/>
  <c r="AL19" i="33" s="1"/>
  <c r="CV25" i="32"/>
  <c r="AK19" i="33" s="1"/>
  <c r="CZ12" i="32"/>
  <c r="AO6" i="33" s="1"/>
  <c r="CY12" i="32"/>
  <c r="AN6" i="33" s="1"/>
  <c r="CT12" i="32"/>
  <c r="CV12"/>
  <c r="AK6" i="33" s="1"/>
  <c r="CW12" i="32"/>
  <c r="AL6" i="33" s="1"/>
  <c r="CX12" i="32"/>
  <c r="AM6" i="33" s="1"/>
  <c r="CA22" i="30"/>
  <c r="CE22"/>
  <c r="AB16" i="27" s="1"/>
  <c r="CC22" i="30"/>
  <c r="Z16" i="27" s="1"/>
  <c r="CF22" i="30"/>
  <c r="AC16" i="27" s="1"/>
  <c r="CD22" i="30"/>
  <c r="AA16" i="27" s="1"/>
  <c r="CH16" i="12"/>
  <c r="CB16" s="1"/>
  <c r="CF16"/>
  <c r="U10" i="15" s="1"/>
  <c r="CC16" i="12"/>
  <c r="CE16"/>
  <c r="T10" i="15" s="1"/>
  <c r="CG16" i="12"/>
  <c r="CC18"/>
  <c r="CF18"/>
  <c r="U12" i="15" s="1"/>
  <c r="CE18" i="12"/>
  <c r="T12" i="15" s="1"/>
  <c r="CH18" i="12"/>
  <c r="CB18" s="1"/>
  <c r="CG18"/>
  <c r="CH19"/>
  <c r="CB19"/>
  <c r="CC19"/>
  <c r="CF19"/>
  <c r="U13" i="15" s="1"/>
  <c r="CE19" i="12"/>
  <c r="T13" i="15" s="1"/>
  <c r="CG19" i="12"/>
  <c r="CC27"/>
  <c r="CB27"/>
  <c r="CH27"/>
  <c r="CB28" s="1"/>
  <c r="CF27"/>
  <c r="U21" i="15" s="1"/>
  <c r="CE27" i="12"/>
  <c r="T21" i="15" s="1"/>
  <c r="CG27" i="12"/>
  <c r="BH28"/>
  <c r="BI28" s="1"/>
  <c r="BF28" i="30"/>
  <c r="BG28" s="1"/>
  <c r="L46" i="16"/>
  <c r="I9" i="19"/>
  <c r="AB27" i="32"/>
  <c r="AC27" s="1"/>
  <c r="AD27"/>
  <c r="AC7" i="29"/>
  <c r="Z21" i="30"/>
  <c r="AD21" s="1"/>
  <c r="AQ21"/>
  <c r="AR21" s="1"/>
  <c r="AS21" i="12"/>
  <c r="AT21" s="1"/>
  <c r="AL5" i="27"/>
  <c r="AL4"/>
  <c r="AB20" i="15"/>
  <c r="AB14"/>
  <c r="AB13"/>
  <c r="AB19"/>
  <c r="AB12"/>
  <c r="DH18" i="12"/>
  <c r="AC12" i="15" s="1"/>
  <c r="AP28" i="30"/>
  <c r="AK7" i="25"/>
  <c r="AA28" i="30" s="1"/>
  <c r="AA7" i="26"/>
  <c r="Z8" i="29"/>
  <c r="AO18" i="30"/>
  <c r="AS18" s="1"/>
  <c r="BF18"/>
  <c r="BG18" s="1"/>
  <c r="BH18" i="12"/>
  <c r="BI18" s="1"/>
  <c r="CU12" i="30"/>
  <c r="AJ6" i="27" s="1"/>
  <c r="CS12" i="30"/>
  <c r="AH6" i="27" s="1"/>
  <c r="CT12" i="30"/>
  <c r="AI6" i="27" s="1"/>
  <c r="CR12" i="30"/>
  <c r="AG6" i="27" s="1"/>
  <c r="CP12" i="30"/>
  <c r="CU16"/>
  <c r="AJ10" i="27" s="1"/>
  <c r="CS16" i="30"/>
  <c r="AH10" i="27" s="1"/>
  <c r="CT16" i="30"/>
  <c r="AI10" i="27" s="1"/>
  <c r="CR16" i="30"/>
  <c r="AG10" i="27" s="1"/>
  <c r="CP16" i="30"/>
  <c r="CT20"/>
  <c r="AI14" i="27" s="1"/>
  <c r="CR20" i="30"/>
  <c r="AG14" i="27" s="1"/>
  <c r="CP20" i="30"/>
  <c r="CU20"/>
  <c r="AJ14" i="27" s="1"/>
  <c r="CS20" i="30"/>
  <c r="AH14" i="27" s="1"/>
  <c r="CT24" i="30"/>
  <c r="AI18" i="27" s="1"/>
  <c r="CR24" i="30"/>
  <c r="AG18" i="27" s="1"/>
  <c r="CP24" i="30"/>
  <c r="CU24"/>
  <c r="AJ18" i="27" s="1"/>
  <c r="CS24" i="30"/>
  <c r="AH18" i="27" s="1"/>
  <c r="CO24" i="30"/>
  <c r="CU28"/>
  <c r="AJ22" i="27" s="1"/>
  <c r="CS28" i="30"/>
  <c r="AH22" i="27" s="1"/>
  <c r="CT28" i="30"/>
  <c r="AI22" i="27" s="1"/>
  <c r="CR28" i="30"/>
  <c r="AG22" i="27" s="1"/>
  <c r="CP28" i="30"/>
  <c r="CT13"/>
  <c r="AI7" i="27" s="1"/>
  <c r="CR13" i="30"/>
  <c r="AG7" i="27" s="1"/>
  <c r="CP13" i="30"/>
  <c r="CU13"/>
  <c r="AJ7" i="27" s="1"/>
  <c r="CS13" i="30"/>
  <c r="AH7" i="27" s="1"/>
  <c r="CT17" i="30"/>
  <c r="AI11" i="27" s="1"/>
  <c r="CR17" i="30"/>
  <c r="AG11" i="27" s="1"/>
  <c r="CP17" i="30"/>
  <c r="CU17"/>
  <c r="AJ11" i="27" s="1"/>
  <c r="CS17" i="30"/>
  <c r="AH11" i="27" s="1"/>
  <c r="CT21" i="30"/>
  <c r="AI15" i="27" s="1"/>
  <c r="CR21" i="30"/>
  <c r="AG15" i="27" s="1"/>
  <c r="CP21" i="30"/>
  <c r="CU21"/>
  <c r="AJ15" i="27" s="1"/>
  <c r="CS21" i="30"/>
  <c r="AH15" i="27" s="1"/>
  <c r="CO21" i="30"/>
  <c r="CT25"/>
  <c r="AI19" i="27" s="1"/>
  <c r="CR25" i="30"/>
  <c r="AG19" i="27" s="1"/>
  <c r="CP25" i="30"/>
  <c r="CU25"/>
  <c r="AJ19" i="27" s="1"/>
  <c r="CS25" i="30"/>
  <c r="AH19" i="27" s="1"/>
  <c r="AY9" i="33"/>
  <c r="EA15" i="32"/>
  <c r="EA28"/>
  <c r="AY22" i="33"/>
  <c r="AY6"/>
  <c r="AY15"/>
  <c r="EA21" i="32"/>
  <c r="AY20" i="33"/>
  <c r="AD10" i="32"/>
  <c r="AB10"/>
  <c r="AC10" s="1"/>
  <c r="AE7" i="22"/>
  <c r="Z23" i="32"/>
  <c r="AB23" i="12"/>
  <c r="AF23" s="1"/>
  <c r="AR23" i="32"/>
  <c r="AS23" s="1"/>
  <c r="AT23"/>
  <c r="Z7" i="22"/>
  <c r="AB18" i="12"/>
  <c r="AF18" s="1"/>
  <c r="Z18" i="32"/>
  <c r="AE7" i="29"/>
  <c r="Z23" i="30"/>
  <c r="AD23" s="1"/>
  <c r="AQ23"/>
  <c r="AR23" s="1"/>
  <c r="AS23" i="12"/>
  <c r="AT23" s="1"/>
  <c r="W13" i="15"/>
  <c r="CS19" i="12"/>
  <c r="X13" i="15" s="1"/>
  <c r="CS25" i="12"/>
  <c r="X19" i="15" s="1"/>
  <c r="W19"/>
  <c r="Y7" i="22"/>
  <c r="AB17" i="12"/>
  <c r="AF17" s="1"/>
  <c r="Z17" i="32"/>
  <c r="Z28"/>
  <c r="AB28" i="12"/>
  <c r="AF28" s="1"/>
  <c r="AJ7" i="22"/>
  <c r="DM12" i="32"/>
  <c r="AT6" i="33" s="1"/>
  <c r="DL12" i="32"/>
  <c r="AS6" i="33" s="1"/>
  <c r="DO12" i="32"/>
  <c r="AV6" i="33" s="1"/>
  <c r="DP12" i="32"/>
  <c r="AW6" i="33" s="1"/>
  <c r="DN12" i="32"/>
  <c r="AU6" i="33" s="1"/>
  <c r="DJ12" i="32"/>
  <c r="DM20"/>
  <c r="AT14" i="33" s="1"/>
  <c r="DN20" i="32"/>
  <c r="AU14" i="33" s="1"/>
  <c r="DJ20" i="32"/>
  <c r="DO20"/>
  <c r="AV14" i="33" s="1"/>
  <c r="DP20" i="32"/>
  <c r="AW14" i="33" s="1"/>
  <c r="DL20" i="32"/>
  <c r="AS14" i="33" s="1"/>
  <c r="DO28" i="32"/>
  <c r="AV22" i="33" s="1"/>
  <c r="DP28" i="32"/>
  <c r="AW22" i="33" s="1"/>
  <c r="DL28" i="32"/>
  <c r="AS22" i="33" s="1"/>
  <c r="DI28" i="32"/>
  <c r="DM28"/>
  <c r="AT22" i="33" s="1"/>
  <c r="DN28" i="32"/>
  <c r="AU22" i="33" s="1"/>
  <c r="DJ28" i="32"/>
  <c r="DP15"/>
  <c r="AW9" i="33" s="1"/>
  <c r="DN15" i="32"/>
  <c r="AU9" i="33" s="1"/>
  <c r="DJ15" i="32"/>
  <c r="DM15"/>
  <c r="AT9" i="33" s="1"/>
  <c r="DL15" i="32"/>
  <c r="AS9" i="33" s="1"/>
  <c r="DO15" i="32"/>
  <c r="AV9" i="33" s="1"/>
  <c r="DN23" i="32"/>
  <c r="AU17" i="33" s="1"/>
  <c r="DJ23" i="32"/>
  <c r="DM23"/>
  <c r="AT17" i="33" s="1"/>
  <c r="DP23" i="32"/>
  <c r="AW17" i="33" s="1"/>
  <c r="DL23" i="32"/>
  <c r="AS17" i="33" s="1"/>
  <c r="DO23" i="32"/>
  <c r="AV17" i="33" s="1"/>
  <c r="DO14" i="32"/>
  <c r="AV8" i="33" s="1"/>
  <c r="DP14" i="32"/>
  <c r="AW8" i="33" s="1"/>
  <c r="DL14" i="32"/>
  <c r="AS8" i="33" s="1"/>
  <c r="DI14" i="32"/>
  <c r="DM14"/>
  <c r="AT8" i="33" s="1"/>
  <c r="DN14" i="32"/>
  <c r="AU8" i="33" s="1"/>
  <c r="DJ14" i="32"/>
  <c r="DO22"/>
  <c r="AV16" i="33" s="1"/>
  <c r="DP22" i="32"/>
  <c r="AW16" i="33" s="1"/>
  <c r="DL22" i="32"/>
  <c r="AS16" i="33" s="1"/>
  <c r="DI22" i="32"/>
  <c r="DM22"/>
  <c r="AT16" i="33" s="1"/>
  <c r="DN22" i="32"/>
  <c r="AU16" i="33" s="1"/>
  <c r="DJ22" i="32"/>
  <c r="DO10"/>
  <c r="AV4" i="33" s="1"/>
  <c r="DP10" i="32"/>
  <c r="AW4" i="33" s="1"/>
  <c r="DL10" i="32"/>
  <c r="AS4" i="33" s="1"/>
  <c r="DM10" i="32"/>
  <c r="AT4" i="33" s="1"/>
  <c r="DN10" i="32"/>
  <c r="AU4" i="33" s="1"/>
  <c r="DJ10" i="32"/>
  <c r="DP17"/>
  <c r="AW11" i="33" s="1"/>
  <c r="DN17" i="32"/>
  <c r="AU11" i="33" s="1"/>
  <c r="DJ17" i="32"/>
  <c r="DM17"/>
  <c r="AT11" i="33" s="1"/>
  <c r="DL17" i="32"/>
  <c r="AS11" i="33" s="1"/>
  <c r="DO17" i="32"/>
  <c r="AV11" i="33" s="1"/>
  <c r="DN25" i="32"/>
  <c r="AU19" i="33" s="1"/>
  <c r="DJ25" i="32"/>
  <c r="DM25"/>
  <c r="AT19" i="33" s="1"/>
  <c r="DP25" i="32"/>
  <c r="AW19" i="33" s="1"/>
  <c r="DL25" i="32"/>
  <c r="AS19" i="33" s="1"/>
  <c r="DO25" i="32"/>
  <c r="AV19" i="33" s="1"/>
  <c r="R9" i="15"/>
  <c r="AU24" i="32"/>
  <c r="AU19"/>
  <c r="AG25" i="12"/>
  <c r="BY13" i="30"/>
  <c r="BY17"/>
  <c r="BY21"/>
  <c r="BY25"/>
  <c r="BY10"/>
  <c r="BY14"/>
  <c r="BY18"/>
  <c r="BK13" i="32"/>
  <c r="BK26"/>
  <c r="BK25"/>
  <c r="AG24" i="12"/>
  <c r="DD26" i="30"/>
  <c r="DF27" s="1"/>
  <c r="AM21" i="27" s="1"/>
  <c r="DD22" i="30"/>
  <c r="DD23" s="1"/>
  <c r="DF23" s="1"/>
  <c r="AM17" i="27" s="1"/>
  <c r="DD14" i="30"/>
  <c r="DF15" s="1"/>
  <c r="AM9" i="27" s="1"/>
  <c r="AU11" i="32"/>
  <c r="BI22" i="30"/>
  <c r="DW13" i="12"/>
  <c r="AH7" i="15" s="1"/>
  <c r="BI25" i="30"/>
  <c r="AV28" i="12"/>
  <c r="BK14" i="32"/>
  <c r="AG15" i="12" l="1"/>
  <c r="CO25" i="30"/>
  <c r="CS15" i="32"/>
  <c r="AU10"/>
  <c r="AT16" i="30"/>
  <c r="AW24" i="12"/>
  <c r="DH19"/>
  <c r="AC13" i="15" s="1"/>
  <c r="DS17" i="30"/>
  <c r="BL25" i="32"/>
  <c r="CB26" i="12"/>
  <c r="AT28" i="30"/>
  <c r="DD18"/>
  <c r="DF19" s="1"/>
  <c r="AM13" i="27" s="1"/>
  <c r="AG27" i="12"/>
  <c r="AT17" i="30"/>
  <c r="AT19"/>
  <c r="DI12" i="32"/>
  <c r="AG28" i="12"/>
  <c r="AG21"/>
  <c r="AU23" i="32"/>
  <c r="CO20" i="30"/>
  <c r="DH20" i="12"/>
  <c r="AC14" i="15" s="1"/>
  <c r="DF10" i="30"/>
  <c r="AM4" i="27" s="1"/>
  <c r="DF11" i="30"/>
  <c r="AM5" i="27" s="1"/>
  <c r="CD15" i="12"/>
  <c r="S9" i="15" s="1"/>
  <c r="CS11" i="32"/>
  <c r="CU10" s="1"/>
  <c r="AJ4" i="33" s="1"/>
  <c r="CS18" i="12"/>
  <c r="X12" i="15" s="1"/>
  <c r="CB13" i="12"/>
  <c r="CD12" s="1"/>
  <c r="S6" i="15" s="1"/>
  <c r="CB20" i="12"/>
  <c r="G7" i="16"/>
  <c r="G5" i="17" s="1"/>
  <c r="CB17" i="12"/>
  <c r="DU15" i="30"/>
  <c r="D52" i="20"/>
  <c r="D53"/>
  <c r="DH25" i="12"/>
  <c r="AC19" i="15" s="1"/>
  <c r="DH27" i="12"/>
  <c r="AC21" i="15" s="1"/>
  <c r="DH26" i="12"/>
  <c r="AC20" i="15" s="1"/>
  <c r="BT25" i="32"/>
  <c r="Y19" i="33" s="1"/>
  <c r="BQ25" i="32"/>
  <c r="V19" i="33" s="1"/>
  <c r="BS25" i="32"/>
  <c r="X19" i="33" s="1"/>
  <c r="BP25" i="32"/>
  <c r="U19" i="33" s="1"/>
  <c r="BR25" i="32"/>
  <c r="W19" i="33" s="1"/>
  <c r="BN25" i="32"/>
  <c r="AY24" i="12"/>
  <c r="BA24"/>
  <c r="J18" i="15" s="1"/>
  <c r="BB24" i="12"/>
  <c r="K18" i="15" s="1"/>
  <c r="BD24" i="12"/>
  <c r="BC24"/>
  <c r="CA18" i="30"/>
  <c r="CE18"/>
  <c r="AB12" i="27" s="1"/>
  <c r="CC18" i="30"/>
  <c r="Z12" i="27" s="1"/>
  <c r="CF18" i="30"/>
  <c r="AC12" i="27" s="1"/>
  <c r="CD18" i="30"/>
  <c r="AA12" i="27" s="1"/>
  <c r="CE10" i="30"/>
  <c r="AB4" i="27" s="1"/>
  <c r="CA10" i="30"/>
  <c r="CC10"/>
  <c r="Z4" i="27" s="1"/>
  <c r="CF10" i="30"/>
  <c r="AC4" i="27" s="1"/>
  <c r="CD10" i="30"/>
  <c r="AA4" i="27" s="1"/>
  <c r="CF13" i="30"/>
  <c r="AC7" i="27" s="1"/>
  <c r="CD13" i="30"/>
  <c r="AA7" i="27" s="1"/>
  <c r="CE13" i="30"/>
  <c r="AB7" i="27" s="1"/>
  <c r="CC13" i="30"/>
  <c r="Z7" i="27" s="1"/>
  <c r="CA13" i="30"/>
  <c r="AQ19" i="33"/>
  <c r="AQ16"/>
  <c r="AB17" i="32"/>
  <c r="AC17" s="1"/>
  <c r="AD17"/>
  <c r="CE14" i="30"/>
  <c r="AB8" i="27" s="1"/>
  <c r="CC14" i="30"/>
  <c r="Z8" i="27" s="1"/>
  <c r="CA14" i="30"/>
  <c r="CF14"/>
  <c r="AC8" i="27" s="1"/>
  <c r="CD14" i="30"/>
  <c r="AA8" i="27" s="1"/>
  <c r="BZ14" i="30"/>
  <c r="CF25"/>
  <c r="CE25"/>
  <c r="AB19" i="27" s="1"/>
  <c r="CC25" i="30"/>
  <c r="Z19" i="27" s="1"/>
  <c r="CA25" i="30"/>
  <c r="CD25"/>
  <c r="AA19" i="27" s="1"/>
  <c r="CF17" i="30"/>
  <c r="AC11" i="27" s="1"/>
  <c r="CE17" i="30"/>
  <c r="AB11" i="27" s="1"/>
  <c r="CC17" i="30"/>
  <c r="Z11" i="27" s="1"/>
  <c r="CA17" i="30"/>
  <c r="CD17"/>
  <c r="AA11" i="27" s="1"/>
  <c r="AQ8" i="33"/>
  <c r="AQ9"/>
  <c r="AQ6"/>
  <c r="AD28" i="32"/>
  <c r="AB28"/>
  <c r="AC28" s="1"/>
  <c r="AG17" i="12"/>
  <c r="AG14"/>
  <c r="AB18" i="32"/>
  <c r="AC18" s="1"/>
  <c r="AD18"/>
  <c r="AB23"/>
  <c r="AC23" s="1"/>
  <c r="AD23"/>
  <c r="AE23" s="1"/>
  <c r="AT18" i="30"/>
  <c r="AT10"/>
  <c r="Z7" i="29"/>
  <c r="Z18" i="30"/>
  <c r="AD18" s="1"/>
  <c r="AB21"/>
  <c r="AC21" s="1"/>
  <c r="AD21" i="12"/>
  <c r="AE21" s="1"/>
  <c r="R21" i="15"/>
  <c r="CD27" i="12"/>
  <c r="S21" i="15" s="1"/>
  <c r="R13"/>
  <c r="CD19" i="12"/>
  <c r="S13" i="15" s="1"/>
  <c r="X16" i="27"/>
  <c r="AI20" i="33"/>
  <c r="AI14"/>
  <c r="AI5"/>
  <c r="AI17"/>
  <c r="AI16"/>
  <c r="AB15" i="30"/>
  <c r="AC15" s="1"/>
  <c r="AD15" i="12"/>
  <c r="AE15" s="1"/>
  <c r="AB16" i="30"/>
  <c r="AC16" s="1"/>
  <c r="AD16" i="12"/>
  <c r="AE16" s="1"/>
  <c r="AB27" i="30"/>
  <c r="AC27" s="1"/>
  <c r="AD27" i="12"/>
  <c r="AE27" s="1"/>
  <c r="N17" i="16"/>
  <c r="O17" s="1"/>
  <c r="J7"/>
  <c r="R6" i="15"/>
  <c r="R14"/>
  <c r="CA24" i="30"/>
  <c r="CE24"/>
  <c r="AB18" i="27" s="1"/>
  <c r="CC24" i="30"/>
  <c r="Z18" i="27" s="1"/>
  <c r="CF24" i="30"/>
  <c r="AC18" i="27" s="1"/>
  <c r="CD24" i="30"/>
  <c r="AA18" i="27" s="1"/>
  <c r="CE16" i="30"/>
  <c r="AB10" i="27" s="1"/>
  <c r="CC16" i="30"/>
  <c r="Z10" i="27" s="1"/>
  <c r="CF16" i="30"/>
  <c r="AC10" i="27" s="1"/>
  <c r="CD16" i="30"/>
  <c r="AA10" i="27" s="1"/>
  <c r="CA16" i="30"/>
  <c r="CF27"/>
  <c r="AC21" i="27" s="1"/>
  <c r="CD27" i="30"/>
  <c r="AA21" i="27" s="1"/>
  <c r="BZ27" i="30"/>
  <c r="CE27"/>
  <c r="AB21" i="27" s="1"/>
  <c r="CC27" i="30"/>
  <c r="Z21" i="27" s="1"/>
  <c r="CA27" i="30"/>
  <c r="CC19"/>
  <c r="Z13" i="27" s="1"/>
  <c r="CA19" i="30"/>
  <c r="CD19"/>
  <c r="AA13" i="27" s="1"/>
  <c r="CE19" i="30"/>
  <c r="AB13" i="27" s="1"/>
  <c r="CF19" i="30"/>
  <c r="AC13" i="27" s="1"/>
  <c r="CC11" i="30"/>
  <c r="Z5" i="27" s="1"/>
  <c r="CA11" i="30"/>
  <c r="CD11"/>
  <c r="AA5" i="27" s="1"/>
  <c r="CE11" i="30"/>
  <c r="AB5" i="27" s="1"/>
  <c r="CF11" i="30"/>
  <c r="AC5" i="27" s="1"/>
  <c r="AQ7" i="33"/>
  <c r="AQ12"/>
  <c r="AQ13"/>
  <c r="AQ5"/>
  <c r="AQ10"/>
  <c r="AG7" i="29"/>
  <c r="Z25" i="30"/>
  <c r="AD25" s="1"/>
  <c r="AQ25"/>
  <c r="AR25" s="1"/>
  <c r="AS25" i="12"/>
  <c r="AT25" s="1"/>
  <c r="AQ22" i="30"/>
  <c r="AR22" s="1"/>
  <c r="AS22" i="12"/>
  <c r="AT22" s="1"/>
  <c r="AE20" i="27"/>
  <c r="AE4"/>
  <c r="BJ27" i="30"/>
  <c r="BJ25"/>
  <c r="BJ23"/>
  <c r="BJ21"/>
  <c r="BJ19"/>
  <c r="BJ17"/>
  <c r="BJ15"/>
  <c r="BJ13"/>
  <c r="BJ11"/>
  <c r="BJ28"/>
  <c r="BJ26"/>
  <c r="BJ24"/>
  <c r="BJ22"/>
  <c r="BJ20"/>
  <c r="BJ18"/>
  <c r="BJ16"/>
  <c r="BJ14"/>
  <c r="BJ12"/>
  <c r="BJ10"/>
  <c r="AQ26"/>
  <c r="AR26" s="1"/>
  <c r="AS26" i="12"/>
  <c r="AT26" s="1"/>
  <c r="H4" i="16"/>
  <c r="H1"/>
  <c r="H2"/>
  <c r="H3"/>
  <c r="V22" i="12"/>
  <c r="L18" i="13" s="1"/>
  <c r="J18" s="1"/>
  <c r="W22" i="12"/>
  <c r="X22" s="1"/>
  <c r="M18" i="13" s="1"/>
  <c r="U22" i="12"/>
  <c r="H18" i="13" s="1"/>
  <c r="Z22" i="12"/>
  <c r="N18" i="13" s="1"/>
  <c r="T22" i="12"/>
  <c r="G18" i="13" s="1"/>
  <c r="R22" i="12"/>
  <c r="Y22"/>
  <c r="V26"/>
  <c r="L22" i="13" s="1"/>
  <c r="J22" s="1"/>
  <c r="U26" i="12"/>
  <c r="H22" i="13" s="1"/>
  <c r="R26" i="12"/>
  <c r="Z26"/>
  <c r="N22" i="13" s="1"/>
  <c r="W26" i="12"/>
  <c r="X26" s="1"/>
  <c r="M22" i="13" s="1"/>
  <c r="T26" i="12"/>
  <c r="G22" i="13" s="1"/>
  <c r="Y26" i="12"/>
  <c r="V13"/>
  <c r="L9" i="13" s="1"/>
  <c r="J9" s="1"/>
  <c r="T13" i="12"/>
  <c r="G9" i="13" s="1"/>
  <c r="R13" i="12"/>
  <c r="U13"/>
  <c r="H9" i="13" s="1"/>
  <c r="Z13" i="12"/>
  <c r="N9" i="13" s="1"/>
  <c r="W13" i="12"/>
  <c r="X13" s="1"/>
  <c r="M9" i="13" s="1"/>
  <c r="Y13" i="12"/>
  <c r="V10"/>
  <c r="L6" i="13" s="1"/>
  <c r="J6" s="1"/>
  <c r="U10" i="12"/>
  <c r="H6" i="13" s="1"/>
  <c r="T10" i="12"/>
  <c r="G6" i="13" s="1"/>
  <c r="W10" i="12"/>
  <c r="X10" s="1"/>
  <c r="M6" i="13" s="1"/>
  <c r="Y10" i="12"/>
  <c r="R10"/>
  <c r="Z10"/>
  <c r="N6" i="13" s="1"/>
  <c r="V24" i="12"/>
  <c r="L20" i="13" s="1"/>
  <c r="J20" s="1"/>
  <c r="Y24" i="12"/>
  <c r="R24"/>
  <c r="U24"/>
  <c r="H20" i="13" s="1"/>
  <c r="T24" i="12"/>
  <c r="G20" i="13" s="1"/>
  <c r="Z24" i="12"/>
  <c r="N20" i="13" s="1"/>
  <c r="W24" i="12"/>
  <c r="X24" s="1"/>
  <c r="M20" i="13" s="1"/>
  <c r="V15" i="12"/>
  <c r="L11" i="13" s="1"/>
  <c r="J11" s="1"/>
  <c r="U15" i="12"/>
  <c r="H11" i="13" s="1"/>
  <c r="T15" i="12"/>
  <c r="G11" i="13" s="1"/>
  <c r="R15" i="12"/>
  <c r="W15"/>
  <c r="X15" s="1"/>
  <c r="M11" i="13" s="1"/>
  <c r="Z15" i="12"/>
  <c r="N11" i="13" s="1"/>
  <c r="Y15" i="12"/>
  <c r="V23"/>
  <c r="L19" i="13" s="1"/>
  <c r="J19" s="1"/>
  <c r="U23" i="12"/>
  <c r="H19" i="13" s="1"/>
  <c r="Z23" i="12"/>
  <c r="N19" i="13" s="1"/>
  <c r="W23" i="12"/>
  <c r="X23" s="1"/>
  <c r="M19" i="13" s="1"/>
  <c r="T23" i="12"/>
  <c r="G19" i="13" s="1"/>
  <c r="Y23" i="12"/>
  <c r="R23"/>
  <c r="V21"/>
  <c r="L17" i="13" s="1"/>
  <c r="J17" s="1"/>
  <c r="T21" i="12"/>
  <c r="G17" i="13" s="1"/>
  <c r="W21" i="12"/>
  <c r="X21" s="1"/>
  <c r="M17" i="13" s="1"/>
  <c r="Y21" i="12"/>
  <c r="Z21"/>
  <c r="N17" i="13" s="1"/>
  <c r="R21" i="12"/>
  <c r="U21"/>
  <c r="H17" i="13" s="1"/>
  <c r="V27" i="12"/>
  <c r="L23" i="13" s="1"/>
  <c r="J23" s="1"/>
  <c r="R27" i="12"/>
  <c r="W27"/>
  <c r="X27" s="1"/>
  <c r="M23" i="13" s="1"/>
  <c r="U27" i="12"/>
  <c r="H23" i="13" s="1"/>
  <c r="T27" i="12"/>
  <c r="G23" i="13" s="1"/>
  <c r="Z27" i="12"/>
  <c r="N23" i="13" s="1"/>
  <c r="Y27" i="12"/>
  <c r="Q27" s="1"/>
  <c r="V16"/>
  <c r="L12" i="13" s="1"/>
  <c r="J12" s="1"/>
  <c r="Z16" i="12"/>
  <c r="N12" i="13" s="1"/>
  <c r="W16" i="12"/>
  <c r="X16" s="1"/>
  <c r="M12" i="13" s="1"/>
  <c r="U16" i="12"/>
  <c r="H12" i="13" s="1"/>
  <c r="R16" i="12"/>
  <c r="T16"/>
  <c r="G12" i="13" s="1"/>
  <c r="Y16" i="12"/>
  <c r="Q11" i="30"/>
  <c r="U11"/>
  <c r="V11"/>
  <c r="W11" s="1"/>
  <c r="S11"/>
  <c r="T11"/>
  <c r="S16"/>
  <c r="V16"/>
  <c r="W16" s="1"/>
  <c r="Q16"/>
  <c r="U16"/>
  <c r="T16"/>
  <c r="V20"/>
  <c r="W20" s="1"/>
  <c r="S20"/>
  <c r="T20"/>
  <c r="U20"/>
  <c r="Q20"/>
  <c r="S10"/>
  <c r="V10"/>
  <c r="W10" s="1"/>
  <c r="T10"/>
  <c r="Q10"/>
  <c r="U10"/>
  <c r="P11" s="1"/>
  <c r="U26"/>
  <c r="Q26"/>
  <c r="S26"/>
  <c r="V26"/>
  <c r="W26" s="1"/>
  <c r="T26"/>
  <c r="V24"/>
  <c r="W24" s="1"/>
  <c r="S24"/>
  <c r="T24"/>
  <c r="U24"/>
  <c r="Q24"/>
  <c r="S22"/>
  <c r="Q22"/>
  <c r="V22"/>
  <c r="W22" s="1"/>
  <c r="T22"/>
  <c r="U22"/>
  <c r="V14"/>
  <c r="W14" s="1"/>
  <c r="Q14"/>
  <c r="S14"/>
  <c r="U14"/>
  <c r="T14"/>
  <c r="T12"/>
  <c r="Q12"/>
  <c r="V12"/>
  <c r="W12" s="1"/>
  <c r="S12"/>
  <c r="U12"/>
  <c r="BS11" i="12"/>
  <c r="BN11"/>
  <c r="BP11"/>
  <c r="O5" i="15" s="1"/>
  <c r="BQ11" i="12"/>
  <c r="P5" i="15" s="1"/>
  <c r="BR11" i="12"/>
  <c r="BS17"/>
  <c r="BN17"/>
  <c r="BQ17"/>
  <c r="P11" i="15" s="1"/>
  <c r="BP17" i="12"/>
  <c r="O11" i="15" s="1"/>
  <c r="BR17" i="12"/>
  <c r="BS13"/>
  <c r="BN13"/>
  <c r="BR13"/>
  <c r="BQ13"/>
  <c r="P7" i="15" s="1"/>
  <c r="BP13" i="12"/>
  <c r="O7" i="15" s="1"/>
  <c r="BS16" i="12"/>
  <c r="BN16"/>
  <c r="BQ16"/>
  <c r="P10" i="15" s="1"/>
  <c r="BR16" i="12"/>
  <c r="BP16"/>
  <c r="O10" i="15" s="1"/>
  <c r="BS26" i="12"/>
  <c r="BN26"/>
  <c r="BR26"/>
  <c r="BP26"/>
  <c r="O20" i="15" s="1"/>
  <c r="BQ26" i="12"/>
  <c r="P20" i="15" s="1"/>
  <c r="BN25" i="12"/>
  <c r="BS25"/>
  <c r="BM26" s="1"/>
  <c r="BQ25"/>
  <c r="P19" i="15" s="1"/>
  <c r="BP25" i="12"/>
  <c r="O19" i="15" s="1"/>
  <c r="BR25" i="12"/>
  <c r="BS12"/>
  <c r="BM13" s="1"/>
  <c r="BN12"/>
  <c r="BR12"/>
  <c r="BP12"/>
  <c r="O6" i="15" s="1"/>
  <c r="BQ12" i="12"/>
  <c r="P6" i="15" s="1"/>
  <c r="BS20" i="12"/>
  <c r="BP20"/>
  <c r="O14" i="15" s="1"/>
  <c r="BR20" i="12"/>
  <c r="BN20"/>
  <c r="BQ20"/>
  <c r="P14" i="15" s="1"/>
  <c r="BN22" i="12"/>
  <c r="BS22"/>
  <c r="BP22"/>
  <c r="O16" i="15" s="1"/>
  <c r="BQ22" i="12"/>
  <c r="P16" i="15" s="1"/>
  <c r="BR22" i="12"/>
  <c r="BN24"/>
  <c r="BS24"/>
  <c r="BP24"/>
  <c r="O18" i="15" s="1"/>
  <c r="BQ24" i="12"/>
  <c r="P18" i="15" s="1"/>
  <c r="BR24" i="12"/>
  <c r="CD11"/>
  <c r="S5" i="15" s="1"/>
  <c r="R5"/>
  <c r="R17"/>
  <c r="AI4" i="33"/>
  <c r="AI22"/>
  <c r="AI7"/>
  <c r="AI8"/>
  <c r="AI10"/>
  <c r="AD20" i="12"/>
  <c r="AE20" s="1"/>
  <c r="AB20" i="30"/>
  <c r="AC20" s="1"/>
  <c r="AD24" i="12"/>
  <c r="AE24" s="1"/>
  <c r="AB24" i="30"/>
  <c r="AC24" s="1"/>
  <c r="AB19"/>
  <c r="AC19" s="1"/>
  <c r="AD19" i="12"/>
  <c r="AE19" s="1"/>
  <c r="AB14" i="30"/>
  <c r="AC14" s="1"/>
  <c r="AD14" i="12"/>
  <c r="AE14" s="1"/>
  <c r="P1" i="16"/>
  <c r="O1"/>
  <c r="O3"/>
  <c r="P3"/>
  <c r="BD12" i="12"/>
  <c r="AY12"/>
  <c r="BA12"/>
  <c r="J6" i="15" s="1"/>
  <c r="BB12" i="12"/>
  <c r="K6" i="15" s="1"/>
  <c r="BC12" i="12"/>
  <c r="AY23"/>
  <c r="BD23"/>
  <c r="BB23"/>
  <c r="K17" i="15" s="1"/>
  <c r="BA23" i="12"/>
  <c r="J17" i="15" s="1"/>
  <c r="BC23" i="12"/>
  <c r="R7" i="15"/>
  <c r="CD28" i="12"/>
  <c r="S22" i="15" s="1"/>
  <c r="R22"/>
  <c r="R20"/>
  <c r="CD26" i="12"/>
  <c r="S20" i="15" s="1"/>
  <c r="F7" i="23"/>
  <c r="F7" i="17"/>
  <c r="V17" i="32"/>
  <c r="W17" s="1"/>
  <c r="Q17"/>
  <c r="S17"/>
  <c r="U17"/>
  <c r="T17"/>
  <c r="T26"/>
  <c r="U26"/>
  <c r="V26"/>
  <c r="W26" s="1"/>
  <c r="S26"/>
  <c r="Q26"/>
  <c r="T25"/>
  <c r="S25"/>
  <c r="V25"/>
  <c r="W25" s="1"/>
  <c r="U25"/>
  <c r="Q25"/>
  <c r="U24"/>
  <c r="T24"/>
  <c r="Q24"/>
  <c r="V24"/>
  <c r="W24" s="1"/>
  <c r="S24"/>
  <c r="Q21"/>
  <c r="S21"/>
  <c r="U21"/>
  <c r="V21"/>
  <c r="W21" s="1"/>
  <c r="T21"/>
  <c r="T27"/>
  <c r="U27"/>
  <c r="V27"/>
  <c r="W27" s="1"/>
  <c r="Q27"/>
  <c r="S27"/>
  <c r="P27"/>
  <c r="S10"/>
  <c r="V10"/>
  <c r="W10" s="1"/>
  <c r="Q10"/>
  <c r="U10"/>
  <c r="T10"/>
  <c r="V20"/>
  <c r="W20" s="1"/>
  <c r="U20"/>
  <c r="S20"/>
  <c r="Q20"/>
  <c r="T20"/>
  <c r="V18"/>
  <c r="W18" s="1"/>
  <c r="U18"/>
  <c r="T18"/>
  <c r="S18"/>
  <c r="Q18"/>
  <c r="U12"/>
  <c r="S12"/>
  <c r="V12"/>
  <c r="W12" s="1"/>
  <c r="T12"/>
  <c r="Q12"/>
  <c r="BT16"/>
  <c r="Y10" i="33" s="1"/>
  <c r="BN16" i="32"/>
  <c r="BR16"/>
  <c r="W10" i="33" s="1"/>
  <c r="BS16" i="32"/>
  <c r="X10" i="33" s="1"/>
  <c r="BP16" i="32"/>
  <c r="U10" i="33" s="1"/>
  <c r="BQ16" i="32"/>
  <c r="V10" i="33" s="1"/>
  <c r="CD10" i="32"/>
  <c r="CG10"/>
  <c r="AD4" i="33" s="1"/>
  <c r="CI10" i="32"/>
  <c r="AF4" i="33" s="1"/>
  <c r="CH10" i="32"/>
  <c r="AE4" i="33" s="1"/>
  <c r="CJ10" i="32"/>
  <c r="AG4" i="33" s="1"/>
  <c r="CF10" i="32"/>
  <c r="AC4" i="33" s="1"/>
  <c r="CD18" i="32"/>
  <c r="CF18"/>
  <c r="AC12" i="33" s="1"/>
  <c r="CH18" i="32"/>
  <c r="AE12" i="33" s="1"/>
  <c r="CJ18" i="32"/>
  <c r="AG12" i="33" s="1"/>
  <c r="CI18" i="32"/>
  <c r="AF12" i="33" s="1"/>
  <c r="CG18" i="32"/>
  <c r="AD12" i="33" s="1"/>
  <c r="CJ13" i="32"/>
  <c r="AG7" i="33" s="1"/>
  <c r="CD13" i="32"/>
  <c r="CG13"/>
  <c r="AD7" i="33" s="1"/>
  <c r="CH13" i="32"/>
  <c r="AE7" i="33" s="1"/>
  <c r="CF13" i="32"/>
  <c r="AC7" i="33" s="1"/>
  <c r="CI13" i="32"/>
  <c r="AF7" i="33" s="1"/>
  <c r="CJ20" i="32"/>
  <c r="AG14" i="33" s="1"/>
  <c r="CD20" i="32"/>
  <c r="CF20"/>
  <c r="AC14" i="33" s="1"/>
  <c r="CH20" i="32"/>
  <c r="AE14" i="33" s="1"/>
  <c r="CI20" i="32"/>
  <c r="AF14" i="33" s="1"/>
  <c r="CG20" i="32"/>
  <c r="AD14" i="33" s="1"/>
  <c r="CG19" i="32"/>
  <c r="AD13" i="33" s="1"/>
  <c r="CI19" i="32"/>
  <c r="AF13" i="33" s="1"/>
  <c r="CF19" i="32"/>
  <c r="AC13" i="33" s="1"/>
  <c r="CH19" i="32"/>
  <c r="AE13" i="33" s="1"/>
  <c r="CJ19" i="32"/>
  <c r="AG13" i="33" s="1"/>
  <c r="CD19" i="32"/>
  <c r="CJ25"/>
  <c r="AG19" i="33" s="1"/>
  <c r="CD25" i="32"/>
  <c r="CG25"/>
  <c r="AD19" i="33" s="1"/>
  <c r="CF25" i="32"/>
  <c r="AC19" i="33" s="1"/>
  <c r="CI25" i="32"/>
  <c r="AF19" i="33" s="1"/>
  <c r="CH25" i="32"/>
  <c r="AE19" i="33" s="1"/>
  <c r="CJ28" i="32"/>
  <c r="AG22" i="33" s="1"/>
  <c r="CH28" i="32"/>
  <c r="AE22" i="33" s="1"/>
  <c r="CG28" i="32"/>
  <c r="AD22" i="33" s="1"/>
  <c r="CD28" i="32"/>
  <c r="CF28"/>
  <c r="AC22" i="33" s="1"/>
  <c r="CI28" i="32"/>
  <c r="AF22" i="33" s="1"/>
  <c r="CG16" i="32"/>
  <c r="AD10" i="33" s="1"/>
  <c r="CI16" i="32"/>
  <c r="AF10" i="33" s="1"/>
  <c r="CJ16" i="32"/>
  <c r="AG10" i="33" s="1"/>
  <c r="CD16" i="32"/>
  <c r="CH16"/>
  <c r="AE10" i="33" s="1"/>
  <c r="CF16" i="32"/>
  <c r="AC10" i="33" s="1"/>
  <c r="CG24" i="32"/>
  <c r="AD18" i="33" s="1"/>
  <c r="CI24" i="32"/>
  <c r="AF18" i="33" s="1"/>
  <c r="CJ24" i="32"/>
  <c r="AG18" i="33" s="1"/>
  <c r="CD24" i="32"/>
  <c r="CF24"/>
  <c r="AC18" i="33" s="1"/>
  <c r="CH24" i="32"/>
  <c r="AE18" i="33" s="1"/>
  <c r="CG21" i="32"/>
  <c r="AD15" i="33" s="1"/>
  <c r="CH21" i="32"/>
  <c r="AE15" i="33" s="1"/>
  <c r="CI21" i="32"/>
  <c r="AF15" i="33" s="1"/>
  <c r="CF21" i="32"/>
  <c r="AC15" i="33" s="1"/>
  <c r="CJ21" i="32"/>
  <c r="AG15" i="33" s="1"/>
  <c r="CD21" i="32"/>
  <c r="R18" i="15"/>
  <c r="DU21" i="12"/>
  <c r="DW20" s="1"/>
  <c r="AH14" i="15" s="1"/>
  <c r="X20" i="27"/>
  <c r="DI25" i="32"/>
  <c r="AU21"/>
  <c r="AU27"/>
  <c r="AU22"/>
  <c r="DI15"/>
  <c r="CO17" i="30"/>
  <c r="CO13"/>
  <c r="CO28"/>
  <c r="CO16"/>
  <c r="CO12"/>
  <c r="CS12" i="32"/>
  <c r="CS27"/>
  <c r="CS23"/>
  <c r="CS17"/>
  <c r="AT23" i="30"/>
  <c r="AU16" i="32"/>
  <c r="AU25"/>
  <c r="AG13" i="12"/>
  <c r="AT13" i="30"/>
  <c r="AG12" i="12"/>
  <c r="AT20" i="30"/>
  <c r="AT24"/>
  <c r="AG11" i="12"/>
  <c r="AG26"/>
  <c r="AG20"/>
  <c r="AT27" i="30"/>
  <c r="DI21" i="32"/>
  <c r="DI13"/>
  <c r="DK14" s="1"/>
  <c r="AR8" i="33" s="1"/>
  <c r="DI26" i="32"/>
  <c r="DI27"/>
  <c r="DK26" s="1"/>
  <c r="AR20" i="33" s="1"/>
  <c r="DI19" i="32"/>
  <c r="DI11"/>
  <c r="DK11" s="1"/>
  <c r="AR5" i="33" s="1"/>
  <c r="DI24" i="32"/>
  <c r="DI16"/>
  <c r="DI17" s="1"/>
  <c r="AU28"/>
  <c r="CS15" i="12"/>
  <c r="X9" i="15" s="1"/>
  <c r="EA13" i="32"/>
  <c r="CO27" i="30"/>
  <c r="CQ28" s="1"/>
  <c r="AF22" i="27" s="1"/>
  <c r="CO23" i="30"/>
  <c r="CO19"/>
  <c r="CQ20" s="1"/>
  <c r="AF14" i="27" s="1"/>
  <c r="CO15" i="30"/>
  <c r="CO11"/>
  <c r="CQ10" s="1"/>
  <c r="AF4" i="27" s="1"/>
  <c r="CO22" i="30"/>
  <c r="CO18"/>
  <c r="CQ18" s="1"/>
  <c r="AF12" i="27" s="1"/>
  <c r="CO14" i="30"/>
  <c r="AJ7" i="29"/>
  <c r="CS18" i="32"/>
  <c r="CS21"/>
  <c r="CS19"/>
  <c r="AE21"/>
  <c r="AW17" i="12"/>
  <c r="AW27"/>
  <c r="AW25"/>
  <c r="AW15"/>
  <c r="AW21"/>
  <c r="AW18"/>
  <c r="AW16"/>
  <c r="CB21"/>
  <c r="CD22" s="1"/>
  <c r="S16" i="15" s="1"/>
  <c r="BL11" i="32"/>
  <c r="BL26"/>
  <c r="BL20"/>
  <c r="BL22"/>
  <c r="BL24"/>
  <c r="BL14"/>
  <c r="BL18"/>
  <c r="BL27"/>
  <c r="CB24" i="12"/>
  <c r="CD23" s="1"/>
  <c r="S17" i="15" s="1"/>
  <c r="AT12" i="30"/>
  <c r="AV23" i="32"/>
  <c r="AV12"/>
  <c r="CF21" i="30"/>
  <c r="CD21"/>
  <c r="AA15" i="27" s="1"/>
  <c r="CE21" i="30"/>
  <c r="AB15" i="27" s="1"/>
  <c r="CC21" i="30"/>
  <c r="Z15" i="27" s="1"/>
  <c r="CA21" i="30"/>
  <c r="AQ11" i="33"/>
  <c r="AQ4"/>
  <c r="AQ17"/>
  <c r="DK28" i="32"/>
  <c r="AR22" i="33" s="1"/>
  <c r="AQ22"/>
  <c r="AQ14"/>
  <c r="AB23" i="30"/>
  <c r="AC23" s="1"/>
  <c r="AD23" i="12"/>
  <c r="AE23" s="1"/>
  <c r="AE19" i="27"/>
  <c r="CQ21" i="30"/>
  <c r="AF15" i="27" s="1"/>
  <c r="AE15"/>
  <c r="AE11"/>
  <c r="AE7"/>
  <c r="AE22"/>
  <c r="AE18"/>
  <c r="CQ24" i="30"/>
  <c r="AF18" i="27" s="1"/>
  <c r="AE14"/>
  <c r="AE10"/>
  <c r="AE6"/>
  <c r="AQ18" i="30"/>
  <c r="AR18" s="1"/>
  <c r="AS18" i="12"/>
  <c r="AT18" s="1"/>
  <c r="CD18"/>
  <c r="S12" i="15" s="1"/>
  <c r="R12"/>
  <c r="CD16" i="12"/>
  <c r="S10" i="15" s="1"/>
  <c r="R10"/>
  <c r="AI6" i="33"/>
  <c r="AI19"/>
  <c r="AI21"/>
  <c r="AI9"/>
  <c r="AI11"/>
  <c r="O40" i="20"/>
  <c r="P40"/>
  <c r="L40"/>
  <c r="F40"/>
  <c r="Q40"/>
  <c r="I40"/>
  <c r="E40"/>
  <c r="M40"/>
  <c r="H40"/>
  <c r="C53"/>
  <c r="T40"/>
  <c r="S40"/>
  <c r="K40"/>
  <c r="C40"/>
  <c r="J40"/>
  <c r="U40"/>
  <c r="G40"/>
  <c r="N40"/>
  <c r="R40"/>
  <c r="D40"/>
  <c r="C52"/>
  <c r="K8" i="16"/>
  <c r="L8"/>
  <c r="DU15" i="12"/>
  <c r="DW14"/>
  <c r="AH8" i="15" s="1"/>
  <c r="CE28" i="30"/>
  <c r="AB22" i="27" s="1"/>
  <c r="CC28" i="30"/>
  <c r="Z22" i="27" s="1"/>
  <c r="CA28" i="30"/>
  <c r="CF28"/>
  <c r="AC22" i="27" s="1"/>
  <c r="CD28" i="30"/>
  <c r="AA22" i="27" s="1"/>
  <c r="BZ28" i="30"/>
  <c r="CF20"/>
  <c r="AC14" i="27" s="1"/>
  <c r="CD20" i="30"/>
  <c r="AA14" i="27" s="1"/>
  <c r="CE20" i="30"/>
  <c r="AB14" i="27" s="1"/>
  <c r="CC20" i="30"/>
  <c r="Z14" i="27" s="1"/>
  <c r="CA20" i="30"/>
  <c r="BZ20"/>
  <c r="CE12"/>
  <c r="AB6" i="27" s="1"/>
  <c r="CC12" i="30"/>
  <c r="Z6" i="27" s="1"/>
  <c r="CA12" i="30"/>
  <c r="CF12"/>
  <c r="AC6" i="27" s="1"/>
  <c r="CD12" i="30"/>
  <c r="AA6" i="27" s="1"/>
  <c r="BZ12" i="30"/>
  <c r="CE23"/>
  <c r="AB17" i="27" s="1"/>
  <c r="CF23" i="30"/>
  <c r="AC17" i="27" s="1"/>
  <c r="CC23" i="30"/>
  <c r="Z17" i="27" s="1"/>
  <c r="CA23" i="30"/>
  <c r="CD23"/>
  <c r="AA17" i="27" s="1"/>
  <c r="BZ23" i="30"/>
  <c r="CE15"/>
  <c r="AB9" i="27" s="1"/>
  <c r="CF15" i="30"/>
  <c r="AC9" i="27" s="1"/>
  <c r="CC15" i="30"/>
  <c r="Z9" i="27" s="1"/>
  <c r="CA15" i="30"/>
  <c r="CD15"/>
  <c r="AA9" i="27" s="1"/>
  <c r="BZ15" i="30"/>
  <c r="AQ15" i="33"/>
  <c r="AQ20"/>
  <c r="AQ21"/>
  <c r="AQ18"/>
  <c r="AD7" i="29"/>
  <c r="Z22" i="30"/>
  <c r="AD22" s="1"/>
  <c r="AE21" i="27"/>
  <c r="AE17"/>
  <c r="CQ23" i="30"/>
  <c r="AF17" i="27" s="1"/>
  <c r="AE13"/>
  <c r="CQ19" i="30"/>
  <c r="AF13" i="27" s="1"/>
  <c r="AE9"/>
  <c r="CQ15" i="30"/>
  <c r="AF9" i="27" s="1"/>
  <c r="AE5"/>
  <c r="CQ11" i="30"/>
  <c r="AF5" i="27" s="1"/>
  <c r="CQ22" i="30"/>
  <c r="AF16" i="27" s="1"/>
  <c r="AE16"/>
  <c r="AE12"/>
  <c r="AE8"/>
  <c r="AH7" i="29"/>
  <c r="Z26" i="30"/>
  <c r="AD26" s="1"/>
  <c r="G5" i="23"/>
  <c r="V14" i="12"/>
  <c r="L10" i="13" s="1"/>
  <c r="J10" s="1"/>
  <c r="Z14" i="12"/>
  <c r="N10" i="13" s="1"/>
  <c r="T14" i="12"/>
  <c r="G10" i="13" s="1"/>
  <c r="Y14" i="12"/>
  <c r="W14"/>
  <c r="X14" s="1"/>
  <c r="M10" i="13" s="1"/>
  <c r="Q14" i="12"/>
  <c r="U14"/>
  <c r="H10" i="13" s="1"/>
  <c r="R14" i="12"/>
  <c r="V11"/>
  <c r="L7" i="13" s="1"/>
  <c r="J7" s="1"/>
  <c r="Y11" i="12"/>
  <c r="Z11"/>
  <c r="N7" i="13" s="1"/>
  <c r="T11" i="12"/>
  <c r="G7" i="13" s="1"/>
  <c r="W11" i="12"/>
  <c r="X11" s="1"/>
  <c r="M7" i="13" s="1"/>
  <c r="U11" i="12"/>
  <c r="H7" i="13" s="1"/>
  <c r="R11" i="12"/>
  <c r="Q11"/>
  <c r="V20"/>
  <c r="L16" i="13" s="1"/>
  <c r="J16" s="1"/>
  <c r="Z20" i="12"/>
  <c r="N16" i="13" s="1"/>
  <c r="Y20" i="12"/>
  <c r="R20"/>
  <c r="T20"/>
  <c r="G16" i="13" s="1"/>
  <c r="U20" i="12"/>
  <c r="H16" i="13" s="1"/>
  <c r="W20" i="12"/>
  <c r="X20" s="1"/>
  <c r="M16" i="13" s="1"/>
  <c r="V28" i="12"/>
  <c r="L24" i="13" s="1"/>
  <c r="J24" s="1"/>
  <c r="W28" i="12"/>
  <c r="X28" s="1"/>
  <c r="M24" i="13" s="1"/>
  <c r="U28" i="12"/>
  <c r="H24" i="13" s="1"/>
  <c r="Z28" i="12"/>
  <c r="N24" i="13" s="1"/>
  <c r="T28" i="12"/>
  <c r="G24" i="13" s="1"/>
  <c r="Y28" i="12"/>
  <c r="R28"/>
  <c r="V18"/>
  <c r="L14" i="13" s="1"/>
  <c r="J14" s="1"/>
  <c r="T18" i="12"/>
  <c r="G14" i="13" s="1"/>
  <c r="Z18" i="12"/>
  <c r="N14" i="13" s="1"/>
  <c r="W18" i="12"/>
  <c r="X18" s="1"/>
  <c r="M14" i="13" s="1"/>
  <c r="U18" i="12"/>
  <c r="H14" i="13" s="1"/>
  <c r="Q18" i="12"/>
  <c r="Y18"/>
  <c r="R18"/>
  <c r="V17"/>
  <c r="L13" i="13" s="1"/>
  <c r="J13" s="1"/>
  <c r="Z17" i="12"/>
  <c r="N13" i="13" s="1"/>
  <c r="Y17" i="12"/>
  <c r="W17"/>
  <c r="X17" s="1"/>
  <c r="M13" i="13" s="1"/>
  <c r="U17" i="12"/>
  <c r="H13" i="13" s="1"/>
  <c r="T17" i="12"/>
  <c r="G13" i="13" s="1"/>
  <c r="R17" i="12"/>
  <c r="V19"/>
  <c r="L15" i="13" s="1"/>
  <c r="J15" s="1"/>
  <c r="Y19" i="12"/>
  <c r="U19"/>
  <c r="H15" i="13" s="1"/>
  <c r="W19" i="12"/>
  <c r="X19" s="1"/>
  <c r="M15" i="13" s="1"/>
  <c r="Z19" i="12"/>
  <c r="N15" i="13" s="1"/>
  <c r="T19" i="12"/>
  <c r="G15" i="13" s="1"/>
  <c r="R19" i="12"/>
  <c r="V25"/>
  <c r="L21" i="13" s="1"/>
  <c r="J21" s="1"/>
  <c r="Y25" i="12"/>
  <c r="R25"/>
  <c r="W25"/>
  <c r="X25" s="1"/>
  <c r="M21" i="13" s="1"/>
  <c r="Z25" i="12"/>
  <c r="N21" i="13" s="1"/>
  <c r="T25" i="12"/>
  <c r="G21" i="13" s="1"/>
  <c r="U25" i="12"/>
  <c r="H21" i="13" s="1"/>
  <c r="V12" i="12"/>
  <c r="L8" i="13" s="1"/>
  <c r="J8" s="1"/>
  <c r="Y12" i="12"/>
  <c r="W12"/>
  <c r="X12" s="1"/>
  <c r="M8" i="13" s="1"/>
  <c r="Q12" i="12"/>
  <c r="T12"/>
  <c r="G8" i="13" s="1"/>
  <c r="U12" i="12"/>
  <c r="H8" i="13" s="1"/>
  <c r="R12" i="12"/>
  <c r="Z12"/>
  <c r="N8" i="13" s="1"/>
  <c r="U23" i="30"/>
  <c r="Q23"/>
  <c r="T23"/>
  <c r="V23"/>
  <c r="W23" s="1"/>
  <c r="S23"/>
  <c r="T28"/>
  <c r="Q28"/>
  <c r="S28"/>
  <c r="V28"/>
  <c r="W28" s="1"/>
  <c r="U28"/>
  <c r="Q18"/>
  <c r="S18"/>
  <c r="T18"/>
  <c r="U18"/>
  <c r="V18"/>
  <c r="W18" s="1"/>
  <c r="V27"/>
  <c r="W27" s="1"/>
  <c r="S27"/>
  <c r="T27"/>
  <c r="Q27"/>
  <c r="U27"/>
  <c r="P27"/>
  <c r="P28" s="1"/>
  <c r="V25"/>
  <c r="W25" s="1"/>
  <c r="S25"/>
  <c r="U25"/>
  <c r="Q25"/>
  <c r="T25"/>
  <c r="T17"/>
  <c r="S17"/>
  <c r="V17"/>
  <c r="W17" s="1"/>
  <c r="Q17"/>
  <c r="U17"/>
  <c r="P18" s="1"/>
  <c r="V15"/>
  <c r="W15" s="1"/>
  <c r="T15"/>
  <c r="U15"/>
  <c r="Q15"/>
  <c r="S15"/>
  <c r="V13"/>
  <c r="W13" s="1"/>
  <c r="Q13"/>
  <c r="U13"/>
  <c r="P14" s="1"/>
  <c r="P15" s="1"/>
  <c r="S13"/>
  <c r="T13"/>
  <c r="V21"/>
  <c r="W21" s="1"/>
  <c r="U21"/>
  <c r="S21"/>
  <c r="T21"/>
  <c r="Q21"/>
  <c r="Q19"/>
  <c r="V19"/>
  <c r="W19" s="1"/>
  <c r="U19"/>
  <c r="T19"/>
  <c r="S19"/>
  <c r="BS15" i="12"/>
  <c r="BM16" s="1"/>
  <c r="BN15"/>
  <c r="BP15"/>
  <c r="O9" i="15" s="1"/>
  <c r="BR15" i="12"/>
  <c r="BQ15"/>
  <c r="P9" i="15" s="1"/>
  <c r="BS28" i="12"/>
  <c r="BN28"/>
  <c r="BP28"/>
  <c r="O22" i="15" s="1"/>
  <c r="BQ28" i="12"/>
  <c r="P22" i="15" s="1"/>
  <c r="BR28" i="12"/>
  <c r="BS10"/>
  <c r="BM11" s="1"/>
  <c r="BN10"/>
  <c r="BP10"/>
  <c r="O4" i="15" s="1"/>
  <c r="BQ10" i="12"/>
  <c r="P4" i="15" s="1"/>
  <c r="BR10" i="12"/>
  <c r="BS27"/>
  <c r="BP27"/>
  <c r="O21" i="15" s="1"/>
  <c r="BQ27" i="12"/>
  <c r="P21" i="15" s="1"/>
  <c r="BN27" i="12"/>
  <c r="BR27"/>
  <c r="BS19"/>
  <c r="BM20" s="1"/>
  <c r="BN19"/>
  <c r="BR19"/>
  <c r="BP19"/>
  <c r="O13" i="15" s="1"/>
  <c r="BQ19" i="12"/>
  <c r="P13" i="15" s="1"/>
  <c r="BM14" i="12"/>
  <c r="BP14"/>
  <c r="O8" i="15" s="1"/>
  <c r="BQ14" i="12"/>
  <c r="P8" i="15" s="1"/>
  <c r="BS14" i="12"/>
  <c r="BN14"/>
  <c r="BR14"/>
  <c r="BS18"/>
  <c r="BN18"/>
  <c r="BQ18"/>
  <c r="P12" i="15" s="1"/>
  <c r="BR18" i="12"/>
  <c r="BP18"/>
  <c r="O12" i="15" s="1"/>
  <c r="BS21" i="12"/>
  <c r="BN21"/>
  <c r="BR21"/>
  <c r="BQ21"/>
  <c r="P15" i="15" s="1"/>
  <c r="BP21" i="12"/>
  <c r="O15" i="15" s="1"/>
  <c r="BN23" i="12"/>
  <c r="BS23"/>
  <c r="BQ23"/>
  <c r="P17" i="15" s="1"/>
  <c r="BP23" i="12"/>
  <c r="O17" i="15" s="1"/>
  <c r="BR23" i="12"/>
  <c r="R8" i="15"/>
  <c r="CD17" i="12"/>
  <c r="S11" i="15" s="1"/>
  <c r="R11"/>
  <c r="AI18" i="33"/>
  <c r="CU18" i="32"/>
  <c r="AJ12" i="33" s="1"/>
  <c r="AI12"/>
  <c r="AI15"/>
  <c r="AI13"/>
  <c r="O2" i="16"/>
  <c r="P2"/>
  <c r="O4"/>
  <c r="P4"/>
  <c r="R15" i="15"/>
  <c r="B7" i="17"/>
  <c r="B7" i="23"/>
  <c r="T11" i="32"/>
  <c r="Q11"/>
  <c r="V11"/>
  <c r="W11" s="1"/>
  <c r="S11"/>
  <c r="U11"/>
  <c r="T14"/>
  <c r="Q14"/>
  <c r="S14"/>
  <c r="V14"/>
  <c r="W14" s="1"/>
  <c r="U14"/>
  <c r="U22"/>
  <c r="T22"/>
  <c r="V22"/>
  <c r="W22" s="1"/>
  <c r="Q22"/>
  <c r="S22"/>
  <c r="T23"/>
  <c r="V23"/>
  <c r="W23" s="1"/>
  <c r="Q23"/>
  <c r="S23"/>
  <c r="U23"/>
  <c r="S15"/>
  <c r="U15"/>
  <c r="V15"/>
  <c r="W15" s="1"/>
  <c r="T15"/>
  <c r="Q15"/>
  <c r="S28"/>
  <c r="U28"/>
  <c r="V28"/>
  <c r="W28" s="1"/>
  <c r="Q28"/>
  <c r="T28"/>
  <c r="P28"/>
  <c r="S16"/>
  <c r="V16"/>
  <c r="W16" s="1"/>
  <c r="U16"/>
  <c r="Q16"/>
  <c r="T16"/>
  <c r="U19"/>
  <c r="T19"/>
  <c r="Q19"/>
  <c r="S19"/>
  <c r="V19"/>
  <c r="W19" s="1"/>
  <c r="V13"/>
  <c r="W13" s="1"/>
  <c r="S13"/>
  <c r="T13"/>
  <c r="U13"/>
  <c r="P14" s="1"/>
  <c r="P15" s="1"/>
  <c r="Q13"/>
  <c r="BT10"/>
  <c r="Y4" i="33" s="1"/>
  <c r="BN10" i="32"/>
  <c r="BQ10"/>
  <c r="V4" i="33" s="1"/>
  <c r="BP10" i="32"/>
  <c r="U4" i="33" s="1"/>
  <c r="BR10" i="32"/>
  <c r="W4" i="33" s="1"/>
  <c r="BS10" i="32"/>
  <c r="X4" i="33" s="1"/>
  <c r="CJ11" i="32"/>
  <c r="AG5" i="33" s="1"/>
  <c r="CD11" i="32"/>
  <c r="CG11"/>
  <c r="AD5" i="33" s="1"/>
  <c r="CI11" i="32"/>
  <c r="AF5" i="33" s="1"/>
  <c r="CF11" i="32"/>
  <c r="AC5" i="33" s="1"/>
  <c r="CH11" i="32"/>
  <c r="AE5" i="33" s="1"/>
  <c r="CJ27" i="32"/>
  <c r="AG21" i="33" s="1"/>
  <c r="CG27" i="32"/>
  <c r="AD21" i="33" s="1"/>
  <c r="CI27" i="32"/>
  <c r="AF21" i="33" s="1"/>
  <c r="CF27" i="32"/>
  <c r="AC21" i="33" s="1"/>
  <c r="CH27" i="32"/>
  <c r="AE21" i="33" s="1"/>
  <c r="CD27" i="32"/>
  <c r="CD15"/>
  <c r="CJ15"/>
  <c r="AG9" i="33" s="1"/>
  <c r="CG15" i="32"/>
  <c r="AD9" i="33" s="1"/>
  <c r="CF15" i="32"/>
  <c r="AC9" i="33" s="1"/>
  <c r="CI15" i="32"/>
  <c r="AF9" i="33" s="1"/>
  <c r="CH15" i="32"/>
  <c r="AE9" i="33" s="1"/>
  <c r="CD22" i="32"/>
  <c r="CC22"/>
  <c r="CG22"/>
  <c r="AD16" i="33" s="1"/>
  <c r="CI22" i="32"/>
  <c r="AF16" i="33" s="1"/>
  <c r="CJ22" i="32"/>
  <c r="AG16" i="33" s="1"/>
  <c r="CF22" i="32"/>
  <c r="AC16" i="33" s="1"/>
  <c r="CH22" i="32"/>
  <c r="AE16" i="33" s="1"/>
  <c r="CD17" i="32"/>
  <c r="CG17"/>
  <c r="AD11" i="33" s="1"/>
  <c r="CI17" i="32"/>
  <c r="AF11" i="33" s="1"/>
  <c r="CF17" i="32"/>
  <c r="AC11" i="33" s="1"/>
  <c r="CH17" i="32"/>
  <c r="AE11" i="33" s="1"/>
  <c r="CJ17" i="32"/>
  <c r="AG11" i="33" s="1"/>
  <c r="CC17" i="32"/>
  <c r="CD26"/>
  <c r="CF26"/>
  <c r="AC20" i="33" s="1"/>
  <c r="CH26" i="32"/>
  <c r="AE20" i="33" s="1"/>
  <c r="CJ26" i="32"/>
  <c r="AG20" i="33" s="1"/>
  <c r="CG26" i="32"/>
  <c r="AD20" i="33" s="1"/>
  <c r="CI26" i="32"/>
  <c r="AF20" i="33" s="1"/>
  <c r="CD12" i="32"/>
  <c r="CF12"/>
  <c r="AC6" i="33" s="1"/>
  <c r="CH12" i="32"/>
  <c r="AE6" i="33" s="1"/>
  <c r="CJ12" i="32"/>
  <c r="AG6" i="33" s="1"/>
  <c r="CG12" i="32"/>
  <c r="AD6" i="33" s="1"/>
  <c r="CI12" i="32"/>
  <c r="AF6" i="33" s="1"/>
  <c r="CG14" i="32"/>
  <c r="AD8" i="33" s="1"/>
  <c r="CI14" i="32"/>
  <c r="AF8" i="33" s="1"/>
  <c r="CJ14" i="32"/>
  <c r="AG8" i="33" s="1"/>
  <c r="CD14" i="32"/>
  <c r="CH14"/>
  <c r="AE8" i="33" s="1"/>
  <c r="CF14" i="32"/>
  <c r="AC8" i="33" s="1"/>
  <c r="CJ23" i="32"/>
  <c r="AG17" i="33" s="1"/>
  <c r="CD23" i="32"/>
  <c r="CI23"/>
  <c r="AF17" i="33" s="1"/>
  <c r="CH23" i="32"/>
  <c r="AE17" i="33" s="1"/>
  <c r="CG23" i="32"/>
  <c r="AD17" i="33" s="1"/>
  <c r="CF23" i="32"/>
  <c r="AC17" i="33" s="1"/>
  <c r="R19" i="15"/>
  <c r="CD25" i="12"/>
  <c r="S19" i="15" s="1"/>
  <c r="DU27" i="12"/>
  <c r="DW26" s="1"/>
  <c r="AH20" i="15" s="1"/>
  <c r="DI23" i="32"/>
  <c r="DK23" s="1"/>
  <c r="AR17" i="33" s="1"/>
  <c r="DI20" i="32"/>
  <c r="DK21" s="1"/>
  <c r="AR15" i="33" s="1"/>
  <c r="AG18" i="12"/>
  <c r="AG23"/>
  <c r="AE10" i="32"/>
  <c r="AE27"/>
  <c r="CS26"/>
  <c r="CS20"/>
  <c r="CU20" s="1"/>
  <c r="AJ14" i="33" s="1"/>
  <c r="CS22" i="32"/>
  <c r="AE16"/>
  <c r="AE19"/>
  <c r="DF24" i="30"/>
  <c r="AM18" i="27" s="1"/>
  <c r="DF13" i="30"/>
  <c r="AM7" i="27" s="1"/>
  <c r="DF21" i="30"/>
  <c r="AM15" i="27" s="1"/>
  <c r="DF25" i="30"/>
  <c r="AM19" i="27" s="1"/>
  <c r="AE16" i="30"/>
  <c r="AG10" i="12"/>
  <c r="AU20" i="32"/>
  <c r="AT21" i="30"/>
  <c r="AU13" i="32"/>
  <c r="AT11" i="30"/>
  <c r="AU14" i="32"/>
  <c r="AU12"/>
  <c r="AG16" i="12"/>
  <c r="AU15" i="32"/>
  <c r="AG22" i="12"/>
  <c r="AT15" i="30"/>
  <c r="AG19" i="12"/>
  <c r="AU26" i="32"/>
  <c r="AT14" i="30"/>
  <c r="DI18" i="32"/>
  <c r="DK18" s="1"/>
  <c r="AR12" i="33" s="1"/>
  <c r="AU17" i="32"/>
  <c r="AT25" i="30"/>
  <c r="AU18" i="32"/>
  <c r="AT22" i="30"/>
  <c r="CO26"/>
  <c r="CQ25" s="1"/>
  <c r="AF19" i="27" s="1"/>
  <c r="AE28" i="30"/>
  <c r="DF14"/>
  <c r="AM8" i="27" s="1"/>
  <c r="DF18" i="30"/>
  <c r="AM12" i="27" s="1"/>
  <c r="DF22" i="30"/>
  <c r="AM16" i="27" s="1"/>
  <c r="DF26" i="30"/>
  <c r="AM20" i="27" s="1"/>
  <c r="AT26" i="30"/>
  <c r="AE24" i="32"/>
  <c r="CS24"/>
  <c r="CU25" s="1"/>
  <c r="AJ19" i="33" s="1"/>
  <c r="CS28" i="32"/>
  <c r="CS13"/>
  <c r="CS14"/>
  <c r="CS16"/>
  <c r="CU16" s="1"/>
  <c r="AJ10" i="33" s="1"/>
  <c r="AE15" i="32"/>
  <c r="AE25"/>
  <c r="AE19" i="30"/>
  <c r="DH17" i="12"/>
  <c r="AC11" i="15" s="1"/>
  <c r="AW13" i="12"/>
  <c r="AW20"/>
  <c r="AW26"/>
  <c r="AW11"/>
  <c r="AW19"/>
  <c r="AW28"/>
  <c r="AW10"/>
  <c r="AW14"/>
  <c r="AW22"/>
  <c r="BL13" i="32"/>
  <c r="BL19"/>
  <c r="BL21"/>
  <c r="BL23"/>
  <c r="BL12"/>
  <c r="BL15"/>
  <c r="BL17"/>
  <c r="BL28"/>
  <c r="DW25" i="12"/>
  <c r="AH19" i="15" s="1"/>
  <c r="AE26" i="30" l="1"/>
  <c r="Q28" i="12"/>
  <c r="CU13" i="32"/>
  <c r="AJ7" i="33" s="1"/>
  <c r="P19" i="30"/>
  <c r="Q19" i="12"/>
  <c r="CQ13" i="30"/>
  <c r="AF7" i="27" s="1"/>
  <c r="CQ16" i="30"/>
  <c r="AF10" i="27" s="1"/>
  <c r="P18" i="32"/>
  <c r="P12" i="30"/>
  <c r="AE21"/>
  <c r="AE22" i="32"/>
  <c r="DF17" i="30"/>
  <c r="AM11" i="27" s="1"/>
  <c r="DS18" i="30"/>
  <c r="Q15" i="12"/>
  <c r="Q16" s="1"/>
  <c r="DK17" i="32"/>
  <c r="AR11" i="33" s="1"/>
  <c r="Q13" i="12"/>
  <c r="S12" s="1"/>
  <c r="F8" i="13" s="1"/>
  <c r="AE14" i="30"/>
  <c r="AE26" i="32"/>
  <c r="AE11"/>
  <c r="AE24" i="30"/>
  <c r="AE20"/>
  <c r="CU14" i="32"/>
  <c r="AJ8" i="33" s="1"/>
  <c r="CU28" i="32"/>
  <c r="AJ22" i="33" s="1"/>
  <c r="AE13" i="32"/>
  <c r="AE10" i="30"/>
  <c r="AV19" i="32"/>
  <c r="BD19" s="1"/>
  <c r="Q13" i="33" s="1"/>
  <c r="AE20" i="32"/>
  <c r="CU22"/>
  <c r="AJ16" i="33" s="1"/>
  <c r="CU27" i="32"/>
  <c r="AJ21" i="33" s="1"/>
  <c r="CC23" i="32"/>
  <c r="CC14"/>
  <c r="CC12"/>
  <c r="CC27"/>
  <c r="P16"/>
  <c r="R15" s="1"/>
  <c r="CD14" i="12"/>
  <c r="S8" i="15" s="1"/>
  <c r="BM15" i="12"/>
  <c r="BO14" s="1"/>
  <c r="N8" i="15" s="1"/>
  <c r="BM21" i="12"/>
  <c r="BM12"/>
  <c r="BO11" s="1"/>
  <c r="N5" i="15" s="1"/>
  <c r="BM17" i="12"/>
  <c r="BM18" s="1"/>
  <c r="P20" i="30"/>
  <c r="P21" s="1"/>
  <c r="P22" s="1"/>
  <c r="P13"/>
  <c r="Q20" i="12"/>
  <c r="AE12" i="30"/>
  <c r="DK24" i="32"/>
  <c r="AR18" i="33" s="1"/>
  <c r="DK27" i="32"/>
  <c r="AR21" i="33" s="1"/>
  <c r="CQ12" i="30"/>
  <c r="AF6" i="27" s="1"/>
  <c r="DK10" i="32"/>
  <c r="AR4" i="33" s="1"/>
  <c r="BZ21" i="30"/>
  <c r="DK19" i="32"/>
  <c r="AR13" i="33" s="1"/>
  <c r="DK22" i="32"/>
  <c r="AR16" i="33" s="1"/>
  <c r="CU23" i="32"/>
  <c r="AJ17" i="33" s="1"/>
  <c r="CU11" i="32"/>
  <c r="AJ5" i="33" s="1"/>
  <c r="CQ17" i="30"/>
  <c r="AF11" i="27" s="1"/>
  <c r="CQ14" i="30"/>
  <c r="AF8" i="27" s="1"/>
  <c r="DK15" i="32"/>
  <c r="AR9" i="33" s="1"/>
  <c r="DK25" i="32"/>
  <c r="AR19" i="33" s="1"/>
  <c r="CD13" i="12"/>
  <c r="S7" i="15" s="1"/>
  <c r="R10" i="30"/>
  <c r="DU16"/>
  <c r="BA19" i="32"/>
  <c r="N13" i="33" s="1"/>
  <c r="AX19" i="32"/>
  <c r="BB19"/>
  <c r="O13" i="33" s="1"/>
  <c r="P16" i="30"/>
  <c r="P17" s="1"/>
  <c r="Q21" i="12"/>
  <c r="BM22"/>
  <c r="BM23" s="1"/>
  <c r="BM24" s="1"/>
  <c r="P17" i="32"/>
  <c r="Q22" i="12"/>
  <c r="Q23" s="1"/>
  <c r="Q24" s="1"/>
  <c r="BN12" i="32"/>
  <c r="BS12"/>
  <c r="X6" i="33" s="1"/>
  <c r="BQ12" i="32"/>
  <c r="V6" i="33" s="1"/>
  <c r="BT12" i="32"/>
  <c r="Y6" i="33" s="1"/>
  <c r="BR12" i="32"/>
  <c r="W6" i="33" s="1"/>
  <c r="BP12" i="32"/>
  <c r="U6" i="33" s="1"/>
  <c r="BN13" i="32"/>
  <c r="BT13"/>
  <c r="Y7" i="33" s="1"/>
  <c r="BS13" i="32"/>
  <c r="X7" i="33" s="1"/>
  <c r="BR13" i="32"/>
  <c r="W7" i="33" s="1"/>
  <c r="BQ13" i="32"/>
  <c r="V7" i="33" s="1"/>
  <c r="BP13" i="32"/>
  <c r="U7" i="33" s="1"/>
  <c r="BD11" i="12"/>
  <c r="AX12" s="1"/>
  <c r="BC11"/>
  <c r="AY11"/>
  <c r="BB11"/>
  <c r="K5" i="15" s="1"/>
  <c r="BA11" i="12"/>
  <c r="J5" i="15" s="1"/>
  <c r="AF21" i="30"/>
  <c r="AA17" i="33"/>
  <c r="AA11"/>
  <c r="AA9"/>
  <c r="AA5"/>
  <c r="M21" i="15"/>
  <c r="BO10" i="12"/>
  <c r="N4" i="15" s="1"/>
  <c r="M4"/>
  <c r="BO15" i="12"/>
  <c r="N9" i="15" s="1"/>
  <c r="M9"/>
  <c r="BN28" i="32"/>
  <c r="BS28"/>
  <c r="X22" i="33" s="1"/>
  <c r="BT28" i="32"/>
  <c r="Y22" i="33" s="1"/>
  <c r="BR28" i="32"/>
  <c r="W22" i="33" s="1"/>
  <c r="BP28" i="32"/>
  <c r="U22" i="33" s="1"/>
  <c r="BQ28" i="32"/>
  <c r="V22" i="33" s="1"/>
  <c r="BN15" i="32"/>
  <c r="BQ15"/>
  <c r="V9" i="33" s="1"/>
  <c r="BS15" i="32"/>
  <c r="X9" i="33" s="1"/>
  <c r="BR15" i="32"/>
  <c r="W9" i="33" s="1"/>
  <c r="BT15" i="32"/>
  <c r="BP15"/>
  <c r="U9" i="33" s="1"/>
  <c r="BT23" i="32"/>
  <c r="Y17" i="33" s="1"/>
  <c r="BP23" i="32"/>
  <c r="U17" i="33" s="1"/>
  <c r="BN23" i="32"/>
  <c r="BS23"/>
  <c r="X17" i="33" s="1"/>
  <c r="BQ23" i="32"/>
  <c r="V17" i="33" s="1"/>
  <c r="BR23" i="32"/>
  <c r="W17" i="33" s="1"/>
  <c r="BT19" i="32"/>
  <c r="Y13" i="33" s="1"/>
  <c r="BN19" i="32"/>
  <c r="BQ19"/>
  <c r="V13" i="33" s="1"/>
  <c r="BR19" i="32"/>
  <c r="W13" i="33" s="1"/>
  <c r="BS19" i="32"/>
  <c r="X13" i="33" s="1"/>
  <c r="BP19" i="32"/>
  <c r="U13" i="33" s="1"/>
  <c r="AY22" i="12"/>
  <c r="BD22"/>
  <c r="AX23" s="1"/>
  <c r="BC22"/>
  <c r="BB22"/>
  <c r="K16" i="15" s="1"/>
  <c r="BA22" i="12"/>
  <c r="J16" i="15" s="1"/>
  <c r="BD10" i="12"/>
  <c r="AX11" s="1"/>
  <c r="AY10"/>
  <c r="BA10"/>
  <c r="J4" i="15" s="1"/>
  <c r="BB10" i="12"/>
  <c r="K4" i="15" s="1"/>
  <c r="BC10" i="12"/>
  <c r="BD19"/>
  <c r="AY19"/>
  <c r="BA19"/>
  <c r="J13" i="15" s="1"/>
  <c r="BB19" i="12"/>
  <c r="K13" i="15" s="1"/>
  <c r="BC19" i="12"/>
  <c r="BD26"/>
  <c r="AY26"/>
  <c r="BB26"/>
  <c r="K20" i="15" s="1"/>
  <c r="BC26" i="12"/>
  <c r="BA26"/>
  <c r="J20" i="15" s="1"/>
  <c r="BD13" i="12"/>
  <c r="AY13"/>
  <c r="AX13"/>
  <c r="BA13"/>
  <c r="J7" i="15" s="1"/>
  <c r="BC13" i="12"/>
  <c r="BB13"/>
  <c r="K7" i="15" s="1"/>
  <c r="AF11" i="32"/>
  <c r="AF21"/>
  <c r="DU28" i="12"/>
  <c r="DW28" s="1"/>
  <c r="AH22" i="15" s="1"/>
  <c r="AA8" i="33"/>
  <c r="AA16"/>
  <c r="AA21"/>
  <c r="S4"/>
  <c r="M17" i="15"/>
  <c r="M12"/>
  <c r="E8" i="13"/>
  <c r="E21"/>
  <c r="E15"/>
  <c r="S19" i="12"/>
  <c r="F15" i="13" s="1"/>
  <c r="E13"/>
  <c r="E24"/>
  <c r="S28" i="12"/>
  <c r="F24" i="13" s="1"/>
  <c r="E7"/>
  <c r="S11" i="12"/>
  <c r="F7" i="13" s="1"/>
  <c r="AD26" i="12"/>
  <c r="AE26" s="1"/>
  <c r="AB26" i="30"/>
  <c r="AC26" s="1"/>
  <c r="AD22" i="12"/>
  <c r="AE22" s="1"/>
  <c r="AB22" i="30"/>
  <c r="AC22" s="1"/>
  <c r="X6" i="27"/>
  <c r="X14"/>
  <c r="CB28" i="30"/>
  <c r="Y22" i="27" s="1"/>
  <c r="X22"/>
  <c r="DW15" i="12"/>
  <c r="AH9" i="15" s="1"/>
  <c r="DW16" i="12"/>
  <c r="AH10" i="15" s="1"/>
  <c r="F6" i="17"/>
  <c r="F6" i="23"/>
  <c r="D42" i="20"/>
  <c r="D41"/>
  <c r="N42"/>
  <c r="N41"/>
  <c r="U42"/>
  <c r="U41"/>
  <c r="C42"/>
  <c r="C41"/>
  <c r="S42"/>
  <c r="S41"/>
  <c r="M41"/>
  <c r="M42"/>
  <c r="I41"/>
  <c r="I42"/>
  <c r="F42"/>
  <c r="F41"/>
  <c r="P41"/>
  <c r="P42"/>
  <c r="BQ18" i="32"/>
  <c r="V12" i="33" s="1"/>
  <c r="BS18" i="32"/>
  <c r="X12" i="33" s="1"/>
  <c r="BT18" i="32"/>
  <c r="Y12" i="33" s="1"/>
  <c r="BN18" i="32"/>
  <c r="BR18"/>
  <c r="W12" i="33" s="1"/>
  <c r="BP18" i="32"/>
  <c r="U12" i="33" s="1"/>
  <c r="BT24" i="32"/>
  <c r="BN24"/>
  <c r="BP24"/>
  <c r="U18" i="33" s="1"/>
  <c r="BR24" i="32"/>
  <c r="W18" i="33" s="1"/>
  <c r="BQ24" i="32"/>
  <c r="V18" i="33" s="1"/>
  <c r="BS24" i="32"/>
  <c r="X18" i="33" s="1"/>
  <c r="BT20" i="32"/>
  <c r="Y14" i="33" s="1"/>
  <c r="BS20" i="32"/>
  <c r="X14" i="33" s="1"/>
  <c r="BM20" i="32"/>
  <c r="BN20"/>
  <c r="BP20"/>
  <c r="U14" i="33" s="1"/>
  <c r="BQ20" i="32"/>
  <c r="V14" i="33" s="1"/>
  <c r="BR20" i="32"/>
  <c r="W14" i="33" s="1"/>
  <c r="BT11" i="32"/>
  <c r="Y5" i="33" s="1"/>
  <c r="BN11" i="32"/>
  <c r="BQ11"/>
  <c r="V5" i="33" s="1"/>
  <c r="BS11" i="32"/>
  <c r="X5" i="33" s="1"/>
  <c r="BP11" i="32"/>
  <c r="U5" i="33" s="1"/>
  <c r="BR11" i="32"/>
  <c r="W5" i="33" s="1"/>
  <c r="BM11" i="32"/>
  <c r="BO10" s="1"/>
  <c r="T4" i="33" s="1"/>
  <c r="BD16" i="12"/>
  <c r="AX17" s="1"/>
  <c r="BB16"/>
  <c r="K10" i="15" s="1"/>
  <c r="BC16" i="12"/>
  <c r="AY16"/>
  <c r="BA16"/>
  <c r="J10" i="15" s="1"/>
  <c r="BD21" i="12"/>
  <c r="AY21"/>
  <c r="BB21"/>
  <c r="K15" i="15" s="1"/>
  <c r="BC21" i="12"/>
  <c r="BA21"/>
  <c r="J15" i="15" s="1"/>
  <c r="AY25" i="12"/>
  <c r="BD25"/>
  <c r="AX26" s="1"/>
  <c r="BA25"/>
  <c r="J19" i="15" s="1"/>
  <c r="BB25" i="12"/>
  <c r="K19" i="15" s="1"/>
  <c r="BC25" i="12"/>
  <c r="BD17"/>
  <c r="AY17"/>
  <c r="BA17"/>
  <c r="J11" i="15" s="1"/>
  <c r="BB17" i="12"/>
  <c r="K11" i="15" s="1"/>
  <c r="BC17" i="12"/>
  <c r="DU22"/>
  <c r="DW21" s="1"/>
  <c r="AH15" i="15" s="1"/>
  <c r="AA18" i="33"/>
  <c r="AA13"/>
  <c r="AA14"/>
  <c r="AA7"/>
  <c r="S10"/>
  <c r="H17" i="15"/>
  <c r="H6"/>
  <c r="M20"/>
  <c r="BO16" i="12"/>
  <c r="N10" i="15" s="1"/>
  <c r="M10"/>
  <c r="BO13" i="12"/>
  <c r="N7" i="15" s="1"/>
  <c r="M7"/>
  <c r="M5"/>
  <c r="E19" i="13"/>
  <c r="E20"/>
  <c r="S10" i="12"/>
  <c r="F6" i="13" s="1"/>
  <c r="E6"/>
  <c r="J3" i="16"/>
  <c r="I3"/>
  <c r="J1"/>
  <c r="I1"/>
  <c r="BP10" i="30"/>
  <c r="U4" i="27" s="1"/>
  <c r="BN10" i="30"/>
  <c r="S4" i="27" s="1"/>
  <c r="BL10" i="30"/>
  <c r="BO10"/>
  <c r="T4" i="27" s="1"/>
  <c r="BQ10" i="30"/>
  <c r="V4" i="27" s="1"/>
  <c r="BP14" i="30"/>
  <c r="U8" i="27" s="1"/>
  <c r="BN14" i="30"/>
  <c r="S8" i="27" s="1"/>
  <c r="BL14" i="30"/>
  <c r="BO14"/>
  <c r="T8" i="27" s="1"/>
  <c r="BQ14" i="30"/>
  <c r="V8" i="27" s="1"/>
  <c r="BQ18" i="30"/>
  <c r="V12" i="27" s="1"/>
  <c r="BO18" i="30"/>
  <c r="T12" i="27" s="1"/>
  <c r="BP18" i="30"/>
  <c r="U12" i="27" s="1"/>
  <c r="BN18" i="30"/>
  <c r="S12" i="27" s="1"/>
  <c r="BL18" i="30"/>
  <c r="BQ22"/>
  <c r="V16" i="27" s="1"/>
  <c r="BO22" i="30"/>
  <c r="T16" i="27" s="1"/>
  <c r="BP22" i="30"/>
  <c r="U16" i="27" s="1"/>
  <c r="BN22" i="30"/>
  <c r="S16" i="27" s="1"/>
  <c r="BL22" i="30"/>
  <c r="BP26"/>
  <c r="U20" i="27" s="1"/>
  <c r="BN26" i="30"/>
  <c r="S20" i="27" s="1"/>
  <c r="BL26" i="30"/>
  <c r="BO26"/>
  <c r="T20" i="27" s="1"/>
  <c r="BQ26" i="30"/>
  <c r="V20" i="27" s="1"/>
  <c r="BQ11" i="30"/>
  <c r="V5" i="27" s="1"/>
  <c r="BO11" i="30"/>
  <c r="T5" i="27" s="1"/>
  <c r="BP11" i="30"/>
  <c r="U5" i="27" s="1"/>
  <c r="BN11" i="30"/>
  <c r="S5" i="27" s="1"/>
  <c r="BL11" i="30"/>
  <c r="BP15"/>
  <c r="U9" i="27" s="1"/>
  <c r="BN15" i="30"/>
  <c r="S9" i="27" s="1"/>
  <c r="BL15" i="30"/>
  <c r="BO15"/>
  <c r="T9" i="27" s="1"/>
  <c r="BQ15" i="30"/>
  <c r="V9" i="27" s="1"/>
  <c r="BQ19" i="30"/>
  <c r="V13" i="27" s="1"/>
  <c r="BO19" i="30"/>
  <c r="T13" i="27" s="1"/>
  <c r="BP19" i="30"/>
  <c r="U13" i="27" s="1"/>
  <c r="BN19" i="30"/>
  <c r="S13" i="27" s="1"/>
  <c r="BL19" i="30"/>
  <c r="BP23"/>
  <c r="U17" i="27" s="1"/>
  <c r="BN23" i="30"/>
  <c r="S17" i="27" s="1"/>
  <c r="BL23" i="30"/>
  <c r="BO23"/>
  <c r="T17" i="27" s="1"/>
  <c r="BQ23" i="30"/>
  <c r="V17" i="27" s="1"/>
  <c r="BP27" i="30"/>
  <c r="U21" i="27" s="1"/>
  <c r="BN27" i="30"/>
  <c r="S21" i="27" s="1"/>
  <c r="BL27" i="30"/>
  <c r="BQ27"/>
  <c r="V21" i="27" s="1"/>
  <c r="BO27" i="30"/>
  <c r="T21" i="27" s="1"/>
  <c r="AB25" i="30"/>
  <c r="AC25" s="1"/>
  <c r="AD25" i="12"/>
  <c r="AE25" s="1"/>
  <c r="X10" i="27"/>
  <c r="X18"/>
  <c r="AB18" i="30"/>
  <c r="AC18" s="1"/>
  <c r="AD18" i="12"/>
  <c r="AE18" s="1"/>
  <c r="AC19" i="27"/>
  <c r="BZ26" i="30"/>
  <c r="X8" i="27"/>
  <c r="X7"/>
  <c r="X4"/>
  <c r="S19" i="33"/>
  <c r="CU21" i="32"/>
  <c r="AJ15" i="33" s="1"/>
  <c r="R13" i="30"/>
  <c r="R15"/>
  <c r="R28"/>
  <c r="AE27"/>
  <c r="AE15"/>
  <c r="CC26" i="32"/>
  <c r="CC15"/>
  <c r="CC11"/>
  <c r="CE11" s="1"/>
  <c r="AB5" i="33" s="1"/>
  <c r="P19" i="32"/>
  <c r="P20" s="1"/>
  <c r="R16"/>
  <c r="R28"/>
  <c r="P11"/>
  <c r="P12" s="1"/>
  <c r="CD21" i="12"/>
  <c r="S15" i="15" s="1"/>
  <c r="CU19" i="32"/>
  <c r="AJ13" i="33" s="1"/>
  <c r="CU24" i="32"/>
  <c r="AJ18" i="33" s="1"/>
  <c r="BM19" i="12"/>
  <c r="BO18" s="1"/>
  <c r="N12" i="15" s="1"/>
  <c r="BM27" i="12"/>
  <c r="R19" i="30"/>
  <c r="R18"/>
  <c r="CU17" i="32"/>
  <c r="AJ11" i="33" s="1"/>
  <c r="DK20" i="32"/>
  <c r="AR14" i="33" s="1"/>
  <c r="AV26" i="32"/>
  <c r="AV14"/>
  <c r="AV24"/>
  <c r="AV16"/>
  <c r="AV28"/>
  <c r="AV27"/>
  <c r="AV13"/>
  <c r="AV22"/>
  <c r="AV20"/>
  <c r="AV17"/>
  <c r="CD24" i="12"/>
  <c r="S18" i="15" s="1"/>
  <c r="CC21" i="32"/>
  <c r="CE22" s="1"/>
  <c r="AB16" i="33" s="1"/>
  <c r="CC24" i="32"/>
  <c r="CC28"/>
  <c r="CE28" s="1"/>
  <c r="AB22" i="33" s="1"/>
  <c r="CC19" i="32"/>
  <c r="CC18"/>
  <c r="R17"/>
  <c r="R12" i="30"/>
  <c r="R14"/>
  <c r="R20"/>
  <c r="R11"/>
  <c r="CQ26"/>
  <c r="AF20" i="27" s="1"/>
  <c r="CD20" i="12"/>
  <c r="S14" i="15" s="1"/>
  <c r="CU26" i="32"/>
  <c r="AJ20" i="33" s="1"/>
  <c r="AE28" i="32"/>
  <c r="DK12"/>
  <c r="AR6" i="33" s="1"/>
  <c r="BZ18" i="30"/>
  <c r="BQ17" i="32"/>
  <c r="V11" i="33" s="1"/>
  <c r="BS17" i="32"/>
  <c r="X11" i="33" s="1"/>
  <c r="BP17" i="32"/>
  <c r="U11" i="33" s="1"/>
  <c r="BR17" i="32"/>
  <c r="W11" i="33" s="1"/>
  <c r="BT17" i="32"/>
  <c r="Y11" i="33" s="1"/>
  <c r="BN17" i="32"/>
  <c r="BT21"/>
  <c r="Y15" i="33" s="1"/>
  <c r="BN21" i="32"/>
  <c r="BQ21"/>
  <c r="V15" i="33" s="1"/>
  <c r="BP21" i="32"/>
  <c r="U15" i="33" s="1"/>
  <c r="BS21" i="32"/>
  <c r="X15" i="33" s="1"/>
  <c r="BR21" i="32"/>
  <c r="W15" i="33" s="1"/>
  <c r="BD14" i="12"/>
  <c r="AY14"/>
  <c r="BA14"/>
  <c r="J8" i="15" s="1"/>
  <c r="BB14" i="12"/>
  <c r="K8" i="15" s="1"/>
  <c r="BC14" i="12"/>
  <c r="AX14"/>
  <c r="BD28"/>
  <c r="AY28"/>
  <c r="BC28"/>
  <c r="BB28"/>
  <c r="K22" i="15" s="1"/>
  <c r="BA28" i="12"/>
  <c r="J22" i="15" s="1"/>
  <c r="BD20" i="12"/>
  <c r="AX20" s="1"/>
  <c r="AY20"/>
  <c r="BC20"/>
  <c r="BA20"/>
  <c r="J14" i="15" s="1"/>
  <c r="BB20" i="12"/>
  <c r="K14" i="15" s="1"/>
  <c r="AH23" i="12"/>
  <c r="AH25"/>
  <c r="AH16"/>
  <c r="AH10"/>
  <c r="AH11"/>
  <c r="AH19"/>
  <c r="AH20"/>
  <c r="AH14"/>
  <c r="AH26"/>
  <c r="AH28"/>
  <c r="AH22"/>
  <c r="AH17"/>
  <c r="AH18"/>
  <c r="AH21"/>
  <c r="AH12"/>
  <c r="AH27"/>
  <c r="AH24"/>
  <c r="AH15"/>
  <c r="AH13"/>
  <c r="AA6" i="33"/>
  <c r="AA20"/>
  <c r="BO21" i="12"/>
  <c r="N15" i="15" s="1"/>
  <c r="M15"/>
  <c r="M8"/>
  <c r="M13"/>
  <c r="M22"/>
  <c r="E14" i="13"/>
  <c r="E16"/>
  <c r="E10"/>
  <c r="X9" i="27"/>
  <c r="X17"/>
  <c r="B6" i="23"/>
  <c r="B6" i="17"/>
  <c r="R41" i="20"/>
  <c r="R42"/>
  <c r="G42"/>
  <c r="G41"/>
  <c r="J41"/>
  <c r="J42"/>
  <c r="K41"/>
  <c r="K42"/>
  <c r="T41"/>
  <c r="T42"/>
  <c r="H41"/>
  <c r="H42"/>
  <c r="E41"/>
  <c r="E42"/>
  <c r="Q42"/>
  <c r="Q41"/>
  <c r="L42"/>
  <c r="L41"/>
  <c r="O42"/>
  <c r="O41"/>
  <c r="X15" i="27"/>
  <c r="AC15"/>
  <c r="BZ22" i="30"/>
  <c r="CB22" s="1"/>
  <c r="Y16" i="27" s="1"/>
  <c r="BD12" i="32"/>
  <c r="Q6" i="33" s="1"/>
  <c r="AX12" i="32"/>
  <c r="BC12"/>
  <c r="P6" i="33" s="1"/>
  <c r="BA12" i="32"/>
  <c r="N6" i="33" s="1"/>
  <c r="BB12" i="32"/>
  <c r="O6" i="33" s="1"/>
  <c r="AZ12" i="32"/>
  <c r="M6" i="33" s="1"/>
  <c r="AX23" i="32"/>
  <c r="AZ23"/>
  <c r="M17" i="33" s="1"/>
  <c r="BA23" i="32"/>
  <c r="N17" i="33" s="1"/>
  <c r="BC23" i="32"/>
  <c r="P17" i="33" s="1"/>
  <c r="BB23" i="32"/>
  <c r="O17" i="33" s="1"/>
  <c r="BD23" i="32"/>
  <c r="Q17" i="33" s="1"/>
  <c r="BT27" i="32"/>
  <c r="Y21" i="33" s="1"/>
  <c r="BS27" i="32"/>
  <c r="X21" i="33" s="1"/>
  <c r="BQ27" i="32"/>
  <c r="V21" i="33" s="1"/>
  <c r="BP27" i="32"/>
  <c r="U21" i="33" s="1"/>
  <c r="BR27" i="32"/>
  <c r="W21" i="33" s="1"/>
  <c r="BN27" i="32"/>
  <c r="BP14"/>
  <c r="U8" i="33" s="1"/>
  <c r="BR14" i="32"/>
  <c r="W8" i="33" s="1"/>
  <c r="BQ14" i="32"/>
  <c r="V8" i="33" s="1"/>
  <c r="BS14" i="32"/>
  <c r="X8" i="33" s="1"/>
  <c r="BT14" i="32"/>
  <c r="Y8" i="33" s="1"/>
  <c r="BN14" i="32"/>
  <c r="BT22"/>
  <c r="Y16" i="33" s="1"/>
  <c r="BN22" i="32"/>
  <c r="BP22"/>
  <c r="U16" i="33" s="1"/>
  <c r="BR22" i="32"/>
  <c r="W16" i="33" s="1"/>
  <c r="BM22" i="32"/>
  <c r="BS22"/>
  <c r="X16" i="33" s="1"/>
  <c r="BQ22" i="32"/>
  <c r="V16" i="33" s="1"/>
  <c r="BT26" i="32"/>
  <c r="Y20" i="33" s="1"/>
  <c r="BP26" i="32"/>
  <c r="U20" i="33" s="1"/>
  <c r="BR26" i="32"/>
  <c r="W20" i="33" s="1"/>
  <c r="BQ26" i="32"/>
  <c r="V20" i="33" s="1"/>
  <c r="BS26" i="32"/>
  <c r="X20" i="33" s="1"/>
  <c r="BN26" i="32"/>
  <c r="AY18" i="12"/>
  <c r="BB18"/>
  <c r="K12" i="15" s="1"/>
  <c r="BD18" i="12"/>
  <c r="BA18"/>
  <c r="J12" i="15" s="1"/>
  <c r="BC18" i="12"/>
  <c r="BD15"/>
  <c r="AX16" s="1"/>
  <c r="AY15"/>
  <c r="BB15"/>
  <c r="K9" i="15" s="1"/>
  <c r="BA15" i="12"/>
  <c r="J9" i="15" s="1"/>
  <c r="BC15" i="12"/>
  <c r="AY27"/>
  <c r="BD27"/>
  <c r="AX28" s="1"/>
  <c r="BB27"/>
  <c r="K21" i="15" s="1"/>
  <c r="BA27" i="12"/>
  <c r="J21" i="15" s="1"/>
  <c r="BC27" i="12"/>
  <c r="AD28"/>
  <c r="AE28" s="1"/>
  <c r="AB28" i="30"/>
  <c r="AC28" s="1"/>
  <c r="AA15" i="33"/>
  <c r="AA10"/>
  <c r="AA22"/>
  <c r="AA19"/>
  <c r="AA12"/>
  <c r="AA4"/>
  <c r="M18" i="15"/>
  <c r="M16"/>
  <c r="M14"/>
  <c r="M6"/>
  <c r="M19"/>
  <c r="BO17" i="12"/>
  <c r="N11" i="15" s="1"/>
  <c r="M11"/>
  <c r="E12" i="13"/>
  <c r="E23"/>
  <c r="E17"/>
  <c r="E11"/>
  <c r="E9"/>
  <c r="E22"/>
  <c r="E18"/>
  <c r="S22" i="12"/>
  <c r="F18" i="13" s="1"/>
  <c r="J2" i="16"/>
  <c r="I2"/>
  <c r="I4"/>
  <c r="J4"/>
  <c r="BN12" i="30"/>
  <c r="S6" i="27" s="1"/>
  <c r="BQ12" i="30"/>
  <c r="V6" i="27" s="1"/>
  <c r="BO12" i="30"/>
  <c r="T6" i="27" s="1"/>
  <c r="BP12" i="30"/>
  <c r="U6" i="27" s="1"/>
  <c r="BL12" i="30"/>
  <c r="BP16"/>
  <c r="U10" i="27" s="1"/>
  <c r="BN16" i="30"/>
  <c r="S10" i="27" s="1"/>
  <c r="BL16" i="30"/>
  <c r="BQ16"/>
  <c r="V10" i="27" s="1"/>
  <c r="BO16" i="30"/>
  <c r="T10" i="27" s="1"/>
  <c r="BP20" i="30"/>
  <c r="U14" i="27" s="1"/>
  <c r="BN20" i="30"/>
  <c r="S14" i="27" s="1"/>
  <c r="BL20" i="30"/>
  <c r="BQ20"/>
  <c r="V14" i="27" s="1"/>
  <c r="BO20" i="30"/>
  <c r="T14" i="27" s="1"/>
  <c r="BP24" i="30"/>
  <c r="U18" i="27" s="1"/>
  <c r="BN24" i="30"/>
  <c r="S18" i="27" s="1"/>
  <c r="BQ24" i="30"/>
  <c r="V18" i="27" s="1"/>
  <c r="BO24" i="30"/>
  <c r="T18" i="27" s="1"/>
  <c r="BL24" i="30"/>
  <c r="BP28"/>
  <c r="U22" i="27" s="1"/>
  <c r="BN28" i="30"/>
  <c r="S22" i="27" s="1"/>
  <c r="BL28" i="30"/>
  <c r="BQ28"/>
  <c r="V22" i="27" s="1"/>
  <c r="BO28" i="30"/>
  <c r="T22" i="27" s="1"/>
  <c r="BQ13" i="30"/>
  <c r="V7" i="27" s="1"/>
  <c r="BO13" i="30"/>
  <c r="T7" i="27" s="1"/>
  <c r="BP13" i="30"/>
  <c r="U7" i="27" s="1"/>
  <c r="BN13" i="30"/>
  <c r="S7" i="27" s="1"/>
  <c r="BL13" i="30"/>
  <c r="BP17"/>
  <c r="U11" i="27" s="1"/>
  <c r="BN17" i="30"/>
  <c r="S11" i="27" s="1"/>
  <c r="BQ17" i="30"/>
  <c r="V11" i="27" s="1"/>
  <c r="BL17" i="30"/>
  <c r="BO17"/>
  <c r="T11" i="27" s="1"/>
  <c r="BP21" i="30"/>
  <c r="U15" i="27" s="1"/>
  <c r="BN21" i="30"/>
  <c r="S15" i="27" s="1"/>
  <c r="BL21" i="30"/>
  <c r="BO21"/>
  <c r="T15" i="27" s="1"/>
  <c r="BQ21" i="30"/>
  <c r="V15" i="27" s="1"/>
  <c r="BP25" i="30"/>
  <c r="U19" i="27" s="1"/>
  <c r="BN25" i="30"/>
  <c r="S19" i="27" s="1"/>
  <c r="BL25" i="30"/>
  <c r="BO25"/>
  <c r="T19" i="27" s="1"/>
  <c r="BQ25" i="30"/>
  <c r="V19" i="27" s="1"/>
  <c r="X5"/>
  <c r="X13"/>
  <c r="X21"/>
  <c r="CB27" i="30"/>
  <c r="Y21" i="27" s="1"/>
  <c r="L7" i="16"/>
  <c r="K7"/>
  <c r="AE18" i="30"/>
  <c r="AE11"/>
  <c r="AE13"/>
  <c r="AU26"/>
  <c r="AU23"/>
  <c r="AU20"/>
  <c r="AU16"/>
  <c r="AU22"/>
  <c r="AU13"/>
  <c r="AU11"/>
  <c r="AU24"/>
  <c r="AU28"/>
  <c r="AU27"/>
  <c r="AU15"/>
  <c r="AU10"/>
  <c r="AU12"/>
  <c r="AU17"/>
  <c r="AU14"/>
  <c r="AU18"/>
  <c r="AU25"/>
  <c r="AU19"/>
  <c r="AU21"/>
  <c r="X11" i="27"/>
  <c r="X19"/>
  <c r="AE17" i="32"/>
  <c r="AE14"/>
  <c r="X12" i="27"/>
  <c r="H18" i="15"/>
  <c r="R17" i="30"/>
  <c r="CQ27"/>
  <c r="AF21" i="27" s="1"/>
  <c r="AE22" i="30"/>
  <c r="CU15" i="32"/>
  <c r="AJ9" i="33" s="1"/>
  <c r="CU12" i="32"/>
  <c r="AJ6" i="33" s="1"/>
  <c r="AV25" i="32"/>
  <c r="AV18"/>
  <c r="AV10"/>
  <c r="AV11"/>
  <c r="AV15"/>
  <c r="AV21"/>
  <c r="AE23" i="30"/>
  <c r="CC16" i="32"/>
  <c r="CC25"/>
  <c r="CE26" s="1"/>
  <c r="AB20" i="33" s="1"/>
  <c r="CC20" i="32"/>
  <c r="CC13"/>
  <c r="CE13" s="1"/>
  <c r="AB7" i="33" s="1"/>
  <c r="AE25" i="30"/>
  <c r="DK16" i="32"/>
  <c r="AR10" i="33" s="1"/>
  <c r="DK13" i="32"/>
  <c r="AR7" i="33" s="1"/>
  <c r="BZ11" i="30"/>
  <c r="CB10" s="1"/>
  <c r="Y4" i="27" s="1"/>
  <c r="BZ19" i="30"/>
  <c r="BZ16"/>
  <c r="BZ24"/>
  <c r="AE18" i="32"/>
  <c r="BZ17" i="30"/>
  <c r="CB18" s="1"/>
  <c r="Y12" i="27" s="1"/>
  <c r="BZ25" i="30"/>
  <c r="BZ13"/>
  <c r="CB14" s="1"/>
  <c r="Y8" i="27" s="1"/>
  <c r="AE17" i="30"/>
  <c r="AE12" i="32"/>
  <c r="CB25" i="30" l="1"/>
  <c r="Y19" i="27" s="1"/>
  <c r="CB16" i="30"/>
  <c r="Y10" i="27" s="1"/>
  <c r="CE18" i="32"/>
  <c r="AB12" i="33" s="1"/>
  <c r="R18" i="32"/>
  <c r="S21" i="12"/>
  <c r="F17" i="13" s="1"/>
  <c r="S20" i="12"/>
  <c r="F16" i="13" s="1"/>
  <c r="BM25" i="12"/>
  <c r="P23" i="30"/>
  <c r="Q17" i="12"/>
  <c r="DS19" i="30"/>
  <c r="CE27" i="32"/>
  <c r="AB21" i="33" s="1"/>
  <c r="BM15" i="32"/>
  <c r="AF15"/>
  <c r="AN15" s="1"/>
  <c r="I9" i="33" s="1"/>
  <c r="CB24" i="30"/>
  <c r="Y18" i="27" s="1"/>
  <c r="CB20" i="30"/>
  <c r="Y14" i="27" s="1"/>
  <c r="R10" i="32"/>
  <c r="CE20"/>
  <c r="AB14" i="33" s="1"/>
  <c r="CE17" i="32"/>
  <c r="AB11" i="33" s="1"/>
  <c r="AF13" i="30"/>
  <c r="AK13" s="1"/>
  <c r="F7" i="27" s="1"/>
  <c r="BK16" i="30"/>
  <c r="S13" i="12"/>
  <c r="F9" i="13" s="1"/>
  <c r="S15" i="12"/>
  <c r="F11" i="13" s="1"/>
  <c r="BO12" i="12"/>
  <c r="N6" i="15" s="1"/>
  <c r="BO20" i="12"/>
  <c r="N14" i="15" s="1"/>
  <c r="BO22" i="12"/>
  <c r="N16" i="15" s="1"/>
  <c r="CE10" i="32"/>
  <c r="AB4" i="33" s="1"/>
  <c r="AX19" i="12"/>
  <c r="BM26" i="32"/>
  <c r="BM14"/>
  <c r="BM27"/>
  <c r="S14" i="12"/>
  <c r="F10" i="13" s="1"/>
  <c r="BO19" i="12"/>
  <c r="N13" i="15" s="1"/>
  <c r="R16" i="30"/>
  <c r="CE19" i="32"/>
  <c r="AB13" i="33" s="1"/>
  <c r="CE23" i="32"/>
  <c r="AB17" i="33" s="1"/>
  <c r="R21" i="30"/>
  <c r="CE15" i="32"/>
  <c r="AB9" i="33" s="1"/>
  <c r="BK27" i="30"/>
  <c r="BK28" s="1"/>
  <c r="BK15"/>
  <c r="AX21" i="12"/>
  <c r="BM24" i="32"/>
  <c r="BM25" s="1"/>
  <c r="BO25" s="1"/>
  <c r="T19" i="33" s="1"/>
  <c r="BO23" i="12"/>
  <c r="N17" i="15" s="1"/>
  <c r="AZ12" i="12"/>
  <c r="I6" i="15" s="1"/>
  <c r="AZ19" i="32"/>
  <c r="M13" i="33" s="1"/>
  <c r="BC19" i="32"/>
  <c r="P13" i="33" s="1"/>
  <c r="DU17" i="30"/>
  <c r="AL15" i="32"/>
  <c r="G9" i="33" s="1"/>
  <c r="AH15" i="32"/>
  <c r="AK15"/>
  <c r="F9" i="33" s="1"/>
  <c r="AJ13" i="30"/>
  <c r="E7" i="27" s="1"/>
  <c r="AL13" i="30"/>
  <c r="G7" i="27" s="1"/>
  <c r="AH13" i="30"/>
  <c r="P13" i="32"/>
  <c r="R12" s="1"/>
  <c r="Q25" i="12"/>
  <c r="S23"/>
  <c r="F19" i="13" s="1"/>
  <c r="S24" i="12"/>
  <c r="F20" i="13" s="1"/>
  <c r="P21" i="32"/>
  <c r="AX24" i="12"/>
  <c r="BD21" i="32"/>
  <c r="Q15" i="33" s="1"/>
  <c r="AX21" i="32"/>
  <c r="AZ21"/>
  <c r="M15" i="33" s="1"/>
  <c r="BB21" i="32"/>
  <c r="O15" i="33" s="1"/>
  <c r="BA21" i="32"/>
  <c r="N15" i="33" s="1"/>
  <c r="BC21" i="32"/>
  <c r="P15" i="33" s="1"/>
  <c r="AX18" i="32"/>
  <c r="BD18"/>
  <c r="Q12" i="33" s="1"/>
  <c r="BB18" i="32"/>
  <c r="O12" i="33" s="1"/>
  <c r="AZ18" i="32"/>
  <c r="M12" i="33" s="1"/>
  <c r="BA18" i="32"/>
  <c r="N12" i="33" s="1"/>
  <c r="BC18" i="32"/>
  <c r="P12" i="33" s="1"/>
  <c r="BB19" i="30"/>
  <c r="O13" i="27" s="1"/>
  <c r="BA19" i="30"/>
  <c r="N13" i="27" s="1"/>
  <c r="AZ19" i="30"/>
  <c r="M13" i="27" s="1"/>
  <c r="AY19" i="30"/>
  <c r="L13" i="27" s="1"/>
  <c r="AW19" i="30"/>
  <c r="AY17"/>
  <c r="L11" i="27" s="1"/>
  <c r="BB17" i="30"/>
  <c r="O11" i="27" s="1"/>
  <c r="BA17" i="30"/>
  <c r="N11" i="27" s="1"/>
  <c r="AZ17" i="30"/>
  <c r="M11" i="27" s="1"/>
  <c r="AW17" i="30"/>
  <c r="AY10"/>
  <c r="L4" i="27" s="1"/>
  <c r="BA10" i="30"/>
  <c r="N4" i="27" s="1"/>
  <c r="BB10" i="30"/>
  <c r="O4" i="27" s="1"/>
  <c r="AZ10" i="30"/>
  <c r="M4" i="27" s="1"/>
  <c r="AW10" i="30"/>
  <c r="AY24"/>
  <c r="L18" i="27" s="1"/>
  <c r="BB24" i="30"/>
  <c r="O18" i="27" s="1"/>
  <c r="BA24" i="30"/>
  <c r="N18" i="27" s="1"/>
  <c r="AZ24" i="30"/>
  <c r="M18" i="27" s="1"/>
  <c r="AW24" i="30"/>
  <c r="AY16"/>
  <c r="L10" i="27" s="1"/>
  <c r="AZ16" i="30"/>
  <c r="M10" i="27" s="1"/>
  <c r="BA16" i="30"/>
  <c r="N10" i="27" s="1"/>
  <c r="BB16" i="30"/>
  <c r="O10" i="27" s="1"/>
  <c r="AW16" i="30"/>
  <c r="AX15" i="32"/>
  <c r="BB15"/>
  <c r="O9" i="33" s="1"/>
  <c r="BA15" i="32"/>
  <c r="N9" i="33" s="1"/>
  <c r="AZ15" i="32"/>
  <c r="M9" i="33" s="1"/>
  <c r="BD15" i="32"/>
  <c r="Q9" i="33" s="1"/>
  <c r="BC15" i="32"/>
  <c r="P9" i="33" s="1"/>
  <c r="BD10" i="32"/>
  <c r="Q4" i="33" s="1"/>
  <c r="AX10" i="32"/>
  <c r="BC10"/>
  <c r="P4" i="33" s="1"/>
  <c r="AZ10" i="32"/>
  <c r="M4" i="33" s="1"/>
  <c r="BA10" i="32"/>
  <c r="N4" i="33" s="1"/>
  <c r="BB10" i="32"/>
  <c r="O4" i="33" s="1"/>
  <c r="AX25" i="32"/>
  <c r="BD25"/>
  <c r="Q19" i="33" s="1"/>
  <c r="BB25" i="32"/>
  <c r="O19" i="33" s="1"/>
  <c r="BA25" i="32"/>
  <c r="N19" i="33" s="1"/>
  <c r="AZ25" i="32"/>
  <c r="M19" i="33" s="1"/>
  <c r="BC25" i="32"/>
  <c r="P19" i="33" s="1"/>
  <c r="BA21" i="30"/>
  <c r="N15" i="27" s="1"/>
  <c r="AY21" i="30"/>
  <c r="L15" i="27" s="1"/>
  <c r="BB21" i="30"/>
  <c r="O15" i="27" s="1"/>
  <c r="AZ21" i="30"/>
  <c r="M15" i="27" s="1"/>
  <c r="AW21" i="30"/>
  <c r="AZ25"/>
  <c r="M19" i="27" s="1"/>
  <c r="AY25" i="30"/>
  <c r="L19" i="27" s="1"/>
  <c r="BB25" i="30"/>
  <c r="O19" i="27" s="1"/>
  <c r="BA25" i="30"/>
  <c r="N19" i="27" s="1"/>
  <c r="AW25" i="30"/>
  <c r="BA14"/>
  <c r="N8" i="27" s="1"/>
  <c r="BB14" i="30"/>
  <c r="O8" i="27" s="1"/>
  <c r="AZ14" i="30"/>
  <c r="M8" i="27" s="1"/>
  <c r="AY14" i="30"/>
  <c r="L8" i="27" s="1"/>
  <c r="AW14" i="30"/>
  <c r="AY12"/>
  <c r="L6" i="27" s="1"/>
  <c r="BA12" i="30"/>
  <c r="N6" i="27" s="1"/>
  <c r="BB12" i="30"/>
  <c r="O6" i="27" s="1"/>
  <c r="AZ12" i="30"/>
  <c r="M6" i="27" s="1"/>
  <c r="AW12" i="30"/>
  <c r="AZ15"/>
  <c r="M9" i="27" s="1"/>
  <c r="BA15" i="30"/>
  <c r="N9" i="27" s="1"/>
  <c r="BB15" i="30"/>
  <c r="O9" i="27" s="1"/>
  <c r="AY15" i="30"/>
  <c r="L9" i="27" s="1"/>
  <c r="AW15" i="30"/>
  <c r="BA28"/>
  <c r="N22" i="27" s="1"/>
  <c r="BB28" i="30"/>
  <c r="O22" i="27" s="1"/>
  <c r="AY28" i="30"/>
  <c r="L22" i="27" s="1"/>
  <c r="AZ28" i="30"/>
  <c r="M22" i="27" s="1"/>
  <c r="AW28" i="30"/>
  <c r="AY11"/>
  <c r="L5" i="27" s="1"/>
  <c r="AZ11" i="30"/>
  <c r="M5" i="27" s="1"/>
  <c r="BA11" i="30"/>
  <c r="N5" i="27" s="1"/>
  <c r="BB11" i="30"/>
  <c r="O5" i="27" s="1"/>
  <c r="AW11" i="30"/>
  <c r="AV11"/>
  <c r="BB22"/>
  <c r="O16" i="27" s="1"/>
  <c r="BA22" i="30"/>
  <c r="N16" i="27" s="1"/>
  <c r="AW22" i="30"/>
  <c r="AY22"/>
  <c r="L16" i="27" s="1"/>
  <c r="AZ22" i="30"/>
  <c r="M16" i="27" s="1"/>
  <c r="AY20" i="30"/>
  <c r="L14" i="27" s="1"/>
  <c r="AZ20" i="30"/>
  <c r="M14" i="27" s="1"/>
  <c r="BB20" i="30"/>
  <c r="O14" i="27" s="1"/>
  <c r="BA20" i="30"/>
  <c r="N14" i="27" s="1"/>
  <c r="AW20" i="30"/>
  <c r="BA26"/>
  <c r="N20" i="27" s="1"/>
  <c r="AY26" i="30"/>
  <c r="L20" i="27" s="1"/>
  <c r="AW26" i="30"/>
  <c r="AZ26"/>
  <c r="M20" i="27" s="1"/>
  <c r="BB26" i="30"/>
  <c r="O20" i="27" s="1"/>
  <c r="F5" i="17"/>
  <c r="F5" i="23"/>
  <c r="Q11" i="27"/>
  <c r="S20" i="33"/>
  <c r="S16"/>
  <c r="S8"/>
  <c r="S21"/>
  <c r="K17"/>
  <c r="AO13" i="12"/>
  <c r="AJ13"/>
  <c r="AL13"/>
  <c r="E7" i="15" s="1"/>
  <c r="AN13" i="12"/>
  <c r="AM13"/>
  <c r="F7" i="15" s="1"/>
  <c r="AJ24" i="12"/>
  <c r="AO24"/>
  <c r="AL24"/>
  <c r="E18" i="15" s="1"/>
  <c r="AM24" i="12"/>
  <c r="F18" i="15" s="1"/>
  <c r="AN24" i="12"/>
  <c r="AO12"/>
  <c r="AJ12"/>
  <c r="AM12"/>
  <c r="F6" i="15" s="1"/>
  <c r="AL12" i="12"/>
  <c r="E6" i="15" s="1"/>
  <c r="AN12" i="12"/>
  <c r="AO18"/>
  <c r="AL18"/>
  <c r="E12" i="15" s="1"/>
  <c r="AJ18" i="12"/>
  <c r="AM18"/>
  <c r="F12" i="15" s="1"/>
  <c r="AN18" i="12"/>
  <c r="AO22"/>
  <c r="AJ22"/>
  <c r="AM22"/>
  <c r="F16" i="15" s="1"/>
  <c r="AL22" i="12"/>
  <c r="E16" i="15" s="1"/>
  <c r="AN22" i="12"/>
  <c r="AJ26"/>
  <c r="AO26"/>
  <c r="AL26"/>
  <c r="E20" i="15" s="1"/>
  <c r="AN26" i="12"/>
  <c r="AM26"/>
  <c r="F20" i="15" s="1"/>
  <c r="AJ20" i="12"/>
  <c r="AN20"/>
  <c r="AO20"/>
  <c r="AM20"/>
  <c r="F14" i="15" s="1"/>
  <c r="AL20" i="12"/>
  <c r="E14" i="15" s="1"/>
  <c r="AJ11" i="12"/>
  <c r="AO11"/>
  <c r="AL11"/>
  <c r="E5" i="15" s="1"/>
  <c r="AN11" i="12"/>
  <c r="AM11"/>
  <c r="F5" i="15" s="1"/>
  <c r="AJ16" i="12"/>
  <c r="AO16"/>
  <c r="AN16"/>
  <c r="AL16"/>
  <c r="E10" i="15" s="1"/>
  <c r="AM16" i="12"/>
  <c r="F10" i="15" s="1"/>
  <c r="AJ23" i="12"/>
  <c r="AN23"/>
  <c r="AO23"/>
  <c r="AI23" s="1"/>
  <c r="AM23"/>
  <c r="F17" i="15" s="1"/>
  <c r="AL23" i="12"/>
  <c r="E17" i="15" s="1"/>
  <c r="S11" i="33"/>
  <c r="AZ17" i="32"/>
  <c r="M11" i="33" s="1"/>
  <c r="BB17" i="32"/>
  <c r="O11" i="33" s="1"/>
  <c r="BA17" i="32"/>
  <c r="N11" i="33" s="1"/>
  <c r="BC17" i="32"/>
  <c r="P11" i="33" s="1"/>
  <c r="BD17" i="32"/>
  <c r="Q11" i="33" s="1"/>
  <c r="AX17" i="32"/>
  <c r="AX22"/>
  <c r="BB22"/>
  <c r="O16" i="33" s="1"/>
  <c r="BC22" i="32"/>
  <c r="P16" i="33" s="1"/>
  <c r="BA22" i="32"/>
  <c r="N16" i="33" s="1"/>
  <c r="BD22" i="32"/>
  <c r="AZ22"/>
  <c r="M16" i="33" s="1"/>
  <c r="AX27" i="32"/>
  <c r="BD27"/>
  <c r="Q21" i="33" s="1"/>
  <c r="AZ27" i="32"/>
  <c r="M21" i="33" s="1"/>
  <c r="BA27" i="32"/>
  <c r="N21" i="33" s="1"/>
  <c r="BC27" i="32"/>
  <c r="P21" i="33" s="1"/>
  <c r="BB27" i="32"/>
  <c r="O21" i="33" s="1"/>
  <c r="BD16" i="32"/>
  <c r="Q10" i="33" s="1"/>
  <c r="AX16" i="32"/>
  <c r="BC16"/>
  <c r="P10" i="33" s="1"/>
  <c r="BB16" i="32"/>
  <c r="O10" i="33" s="1"/>
  <c r="AZ16" i="32"/>
  <c r="M10" i="33" s="1"/>
  <c r="BA16" i="32"/>
  <c r="N10" i="33" s="1"/>
  <c r="BD14" i="32"/>
  <c r="Q8" i="33" s="1"/>
  <c r="AX14" i="32"/>
  <c r="AZ14"/>
  <c r="M8" i="33" s="1"/>
  <c r="BB14" i="32"/>
  <c r="O8" i="33" s="1"/>
  <c r="BA14" i="32"/>
  <c r="N8" i="33" s="1"/>
  <c r="BC14" i="32"/>
  <c r="P8" i="33" s="1"/>
  <c r="Q21" i="27"/>
  <c r="Q17"/>
  <c r="Q13"/>
  <c r="Q9"/>
  <c r="Q20"/>
  <c r="Q16"/>
  <c r="Q12"/>
  <c r="Q8"/>
  <c r="H11" i="15"/>
  <c r="H10"/>
  <c r="S14" i="33"/>
  <c r="Y18"/>
  <c r="H13" i="15"/>
  <c r="AZ10" i="12"/>
  <c r="I4" i="15" s="1"/>
  <c r="H4"/>
  <c r="H16"/>
  <c r="S13" i="33"/>
  <c r="S17"/>
  <c r="S22"/>
  <c r="CB17" i="30"/>
  <c r="Y11" i="27" s="1"/>
  <c r="CB19" i="30"/>
  <c r="Y13" i="27" s="1"/>
  <c r="BK21" i="30"/>
  <c r="BK17"/>
  <c r="BK24"/>
  <c r="BK25" s="1"/>
  <c r="AX27" i="12"/>
  <c r="AZ28" s="1"/>
  <c r="I22" i="15" s="1"/>
  <c r="AX15" i="12"/>
  <c r="AZ16" s="1"/>
  <c r="I10" i="15" s="1"/>
  <c r="AX18" i="12"/>
  <c r="AZ17" s="1"/>
  <c r="I11" i="15" s="1"/>
  <c r="CB21" i="30"/>
  <c r="Y15" i="27" s="1"/>
  <c r="CB23" i="30"/>
  <c r="Y17" i="27" s="1"/>
  <c r="CB15" i="30"/>
  <c r="Y9" i="27" s="1"/>
  <c r="CE12" i="32"/>
  <c r="AB6" i="33" s="1"/>
  <c r="BM21" i="32"/>
  <c r="BM17"/>
  <c r="R11"/>
  <c r="R19"/>
  <c r="BK11" i="30"/>
  <c r="BK12" s="1"/>
  <c r="BK13" s="1"/>
  <c r="CE24" i="32"/>
  <c r="AB18" i="33" s="1"/>
  <c r="AX25" i="12"/>
  <c r="BM18" i="32"/>
  <c r="CB12" i="30"/>
  <c r="Y6" i="27" s="1"/>
  <c r="CE14" i="32"/>
  <c r="AB8" i="33" s="1"/>
  <c r="DW27" i="12"/>
  <c r="AH21" i="15" s="1"/>
  <c r="AF19" i="32"/>
  <c r="AF14"/>
  <c r="AF23"/>
  <c r="AF12"/>
  <c r="AF26"/>
  <c r="AF24"/>
  <c r="AF13"/>
  <c r="AF25"/>
  <c r="AF18"/>
  <c r="AF17"/>
  <c r="BM23"/>
  <c r="BO23" s="1"/>
  <c r="T17" i="33" s="1"/>
  <c r="AF16" i="30"/>
  <c r="AF25"/>
  <c r="AF23"/>
  <c r="AF24"/>
  <c r="AF12"/>
  <c r="AF27"/>
  <c r="AF28"/>
  <c r="AF22"/>
  <c r="AF15"/>
  <c r="AF17"/>
  <c r="BM13" i="32"/>
  <c r="BM12"/>
  <c r="BO12" s="1"/>
  <c r="T6" i="33" s="1"/>
  <c r="BM28" i="12"/>
  <c r="BO28" s="1"/>
  <c r="N22" i="15" s="1"/>
  <c r="AW19" i="32"/>
  <c r="AX11"/>
  <c r="BB11"/>
  <c r="O5" i="33" s="1"/>
  <c r="AZ11" i="32"/>
  <c r="M5" i="33" s="1"/>
  <c r="BD11" i="32"/>
  <c r="Q5" i="33" s="1"/>
  <c r="BC11" i="32"/>
  <c r="P5" i="33" s="1"/>
  <c r="BA11" i="32"/>
  <c r="N5" i="33" s="1"/>
  <c r="AY18" i="30"/>
  <c r="L12" i="27" s="1"/>
  <c r="AZ18" i="30"/>
  <c r="M12" i="27" s="1"/>
  <c r="BB18" i="30"/>
  <c r="O12" i="27" s="1"/>
  <c r="BA18" i="30"/>
  <c r="N12" i="27" s="1"/>
  <c r="AW18" i="30"/>
  <c r="AV18"/>
  <c r="BA27"/>
  <c r="N21" i="27" s="1"/>
  <c r="BB27" i="30"/>
  <c r="O21" i="27" s="1"/>
  <c r="AZ27" i="30"/>
  <c r="M21" i="27" s="1"/>
  <c r="AY27" i="30"/>
  <c r="L21" i="27" s="1"/>
  <c r="AW27" i="30"/>
  <c r="AY13"/>
  <c r="L7" i="27" s="1"/>
  <c r="BA13" i="30"/>
  <c r="N7" i="27" s="1"/>
  <c r="AZ13" i="30"/>
  <c r="M7" i="27" s="1"/>
  <c r="BB13" i="30"/>
  <c r="O7" i="27" s="1"/>
  <c r="AW13" i="30"/>
  <c r="AV13"/>
  <c r="BA23"/>
  <c r="N17" i="27" s="1"/>
  <c r="AZ23" i="30"/>
  <c r="M17" i="27" s="1"/>
  <c r="AY23" i="30"/>
  <c r="L17" i="27" s="1"/>
  <c r="BB23" i="30"/>
  <c r="O17" i="27" s="1"/>
  <c r="AW23" i="30"/>
  <c r="B5" i="23"/>
  <c r="B5" i="17"/>
  <c r="Q19" i="27"/>
  <c r="Q15"/>
  <c r="Q7"/>
  <c r="Q22"/>
  <c r="BM28" i="30"/>
  <c r="R22" i="27" s="1"/>
  <c r="Q18"/>
  <c r="Q14"/>
  <c r="Q10"/>
  <c r="BM16" i="30"/>
  <c r="R10" i="27" s="1"/>
  <c r="Q6"/>
  <c r="AZ27" i="12"/>
  <c r="I21" i="15" s="1"/>
  <c r="H21"/>
  <c r="AZ15" i="12"/>
  <c r="I9" i="15" s="1"/>
  <c r="H9"/>
  <c r="AZ18" i="12"/>
  <c r="I12" i="15" s="1"/>
  <c r="H12"/>
  <c r="K6" i="33"/>
  <c r="AO15" i="12"/>
  <c r="AL15"/>
  <c r="E9" i="15" s="1"/>
  <c r="AJ15" i="12"/>
  <c r="AM15"/>
  <c r="F9" i="15" s="1"/>
  <c r="AN15" i="12"/>
  <c r="AO27"/>
  <c r="AI27" s="1"/>
  <c r="AJ27"/>
  <c r="AM27"/>
  <c r="F21" i="15" s="1"/>
  <c r="AL27" i="12"/>
  <c r="E21" i="15" s="1"/>
  <c r="AN27" i="12"/>
  <c r="AO21"/>
  <c r="AJ21"/>
  <c r="AI21"/>
  <c r="AM21"/>
  <c r="F15" i="15" s="1"/>
  <c r="AL21" i="12"/>
  <c r="E15" i="15" s="1"/>
  <c r="AN21" i="12"/>
  <c r="AJ17"/>
  <c r="AM17"/>
  <c r="F11" i="15" s="1"/>
  <c r="AO17" i="12"/>
  <c r="AI18" s="1"/>
  <c r="AL17"/>
  <c r="E11" i="15" s="1"/>
  <c r="AN17" i="12"/>
  <c r="AO28"/>
  <c r="AL28"/>
  <c r="E22" i="15" s="1"/>
  <c r="AM28" i="12"/>
  <c r="F22" i="15" s="1"/>
  <c r="AN28" i="12"/>
  <c r="AJ28"/>
  <c r="AI28"/>
  <c r="AJ14"/>
  <c r="AO14"/>
  <c r="AI14" s="1"/>
  <c r="AL14"/>
  <c r="E8" i="15" s="1"/>
  <c r="AN14" i="12"/>
  <c r="AM14"/>
  <c r="F8" i="15" s="1"/>
  <c r="AO19" i="12"/>
  <c r="AI20" s="1"/>
  <c r="AM19"/>
  <c r="F13" i="15" s="1"/>
  <c r="AJ19" i="12"/>
  <c r="AL19"/>
  <c r="E13" i="15" s="1"/>
  <c r="AN19" i="12"/>
  <c r="AO10"/>
  <c r="AI11" s="1"/>
  <c r="AL10"/>
  <c r="E4" i="15" s="1"/>
  <c r="AJ10" i="12"/>
  <c r="AM10"/>
  <c r="F4" i="15" s="1"/>
  <c r="AN10" i="12"/>
  <c r="AO25"/>
  <c r="AI25" s="1"/>
  <c r="AM25"/>
  <c r="F19" i="15" s="1"/>
  <c r="AJ25" i="12"/>
  <c r="AN25"/>
  <c r="AL25"/>
  <c r="E19" i="15" s="1"/>
  <c r="H14"/>
  <c r="AZ20" i="12"/>
  <c r="I14" i="15" s="1"/>
  <c r="H22"/>
  <c r="AZ14" i="12"/>
  <c r="I8" i="15" s="1"/>
  <c r="H8"/>
  <c r="BO21" i="32"/>
  <c r="T15" i="33" s="1"/>
  <c r="S15"/>
  <c r="AX20" i="32"/>
  <c r="BB20"/>
  <c r="O14" i="33" s="1"/>
  <c r="BD20" i="32"/>
  <c r="Q14" i="33" s="1"/>
  <c r="BA20" i="32"/>
  <c r="N14" i="33" s="1"/>
  <c r="AZ20" i="32"/>
  <c r="M14" i="33" s="1"/>
  <c r="BC20" i="32"/>
  <c r="P14" i="33" s="1"/>
  <c r="BD13" i="32"/>
  <c r="Q7" i="33" s="1"/>
  <c r="AX13" i="32"/>
  <c r="AW13"/>
  <c r="BA13"/>
  <c r="N7" i="33" s="1"/>
  <c r="AZ13" i="32"/>
  <c r="M7" i="33" s="1"/>
  <c r="BC13" i="32"/>
  <c r="P7" i="33" s="1"/>
  <c r="BB13" i="32"/>
  <c r="O7" i="33" s="1"/>
  <c r="BD28" i="32"/>
  <c r="Q22" i="33" s="1"/>
  <c r="BC28" i="32"/>
  <c r="P22" i="33" s="1"/>
  <c r="BB28" i="32"/>
  <c r="O22" i="33" s="1"/>
  <c r="BA28" i="32"/>
  <c r="N22" i="33" s="1"/>
  <c r="AW28" i="32"/>
  <c r="AX28"/>
  <c r="AZ28"/>
  <c r="M22" i="33" s="1"/>
  <c r="BD24" i="32"/>
  <c r="Q18" i="33" s="1"/>
  <c r="AZ24" i="32"/>
  <c r="M18" i="33" s="1"/>
  <c r="BA24" i="32"/>
  <c r="N18" i="33" s="1"/>
  <c r="BC24" i="32"/>
  <c r="P18" i="33" s="1"/>
  <c r="BB24" i="32"/>
  <c r="O18" i="33" s="1"/>
  <c r="AX24" i="32"/>
  <c r="BD26"/>
  <c r="Q20" i="33" s="1"/>
  <c r="AX26" i="32"/>
  <c r="AW26"/>
  <c r="BB26"/>
  <c r="O20" i="33" s="1"/>
  <c r="BA26" i="32"/>
  <c r="N20" i="33" s="1"/>
  <c r="BC26" i="32"/>
  <c r="P20" i="33" s="1"/>
  <c r="AZ26" i="32"/>
  <c r="M20" i="33" s="1"/>
  <c r="BM11" i="30"/>
  <c r="R5" i="27" s="1"/>
  <c r="Q5"/>
  <c r="Q4"/>
  <c r="BM10" i="30"/>
  <c r="R4" i="27" s="1"/>
  <c r="DW23" i="12"/>
  <c r="AH17" i="15" s="1"/>
  <c r="DW22" i="12"/>
  <c r="AH16" i="15" s="1"/>
  <c r="AZ25" i="12"/>
  <c r="I19" i="15" s="1"/>
  <c r="H19"/>
  <c r="H15"/>
  <c r="BO11" i="32"/>
  <c r="T5" i="33" s="1"/>
  <c r="S5"/>
  <c r="S18"/>
  <c r="S12"/>
  <c r="AN21" i="32"/>
  <c r="I15" i="33" s="1"/>
  <c r="AK21" i="32"/>
  <c r="F15" i="33" s="1"/>
  <c r="AM21" i="32"/>
  <c r="H15" i="33" s="1"/>
  <c r="AJ21" i="32"/>
  <c r="E15" i="33" s="1"/>
  <c r="AH21" i="32"/>
  <c r="AL21"/>
  <c r="G15" i="33" s="1"/>
  <c r="AH11" i="32"/>
  <c r="AL11"/>
  <c r="G5" i="33" s="1"/>
  <c r="AN11" i="32"/>
  <c r="I5" i="33" s="1"/>
  <c r="AM11" i="32"/>
  <c r="H5" i="33" s="1"/>
  <c r="AK11" i="32"/>
  <c r="F5" i="33" s="1"/>
  <c r="AJ11" i="32"/>
  <c r="E5" i="33" s="1"/>
  <c r="AZ13" i="12"/>
  <c r="I7" i="15" s="1"/>
  <c r="H7"/>
  <c r="H20"/>
  <c r="Y9" i="33"/>
  <c r="BM16" i="32"/>
  <c r="BO16" s="1"/>
  <c r="T10" i="33" s="1"/>
  <c r="S9"/>
  <c r="BO15" i="32"/>
  <c r="T9" i="33" s="1"/>
  <c r="AJ21" i="30"/>
  <c r="E15" i="27" s="1"/>
  <c r="AH21" i="30"/>
  <c r="AK21"/>
  <c r="F15" i="27" s="1"/>
  <c r="AM21" i="30"/>
  <c r="H15" i="27" s="1"/>
  <c r="AL21" i="30"/>
  <c r="G15" i="27" s="1"/>
  <c r="H5" i="15"/>
  <c r="AZ11" i="12"/>
  <c r="I5" i="15" s="1"/>
  <c r="BO13" i="32"/>
  <c r="T7" i="33" s="1"/>
  <c r="S7"/>
  <c r="S6"/>
  <c r="K13"/>
  <c r="CB11" i="30"/>
  <c r="Y5" i="27" s="1"/>
  <c r="CE25" i="32"/>
  <c r="AB19" i="33" s="1"/>
  <c r="CE16" i="32"/>
  <c r="AB10" i="33" s="1"/>
  <c r="CE21" i="32"/>
  <c r="AB15" i="33" s="1"/>
  <c r="CB13" i="30"/>
  <c r="Y7" i="27" s="1"/>
  <c r="CB26" i="30"/>
  <c r="Y20" i="27" s="1"/>
  <c r="BK26" i="30"/>
  <c r="BM27" s="1"/>
  <c r="R21" i="27" s="1"/>
  <c r="BK22" i="30"/>
  <c r="BK23" s="1"/>
  <c r="BM23" s="1"/>
  <c r="R17" i="27" s="1"/>
  <c r="BK18" i="30"/>
  <c r="BK19" s="1"/>
  <c r="BK20" s="1"/>
  <c r="BK14"/>
  <c r="BM15" s="1"/>
  <c r="R9" i="27" s="1"/>
  <c r="AF20" i="32"/>
  <c r="AF10"/>
  <c r="AF28"/>
  <c r="AF16"/>
  <c r="AF22"/>
  <c r="AF27"/>
  <c r="AX22" i="12"/>
  <c r="AZ23" s="1"/>
  <c r="I17" i="15" s="1"/>
  <c r="BM19" i="32"/>
  <c r="BO20" s="1"/>
  <c r="T14" i="33" s="1"/>
  <c r="BM28" i="32"/>
  <c r="BO28" s="1"/>
  <c r="T22" i="33" s="1"/>
  <c r="AF10" i="30"/>
  <c r="AF14"/>
  <c r="AF19"/>
  <c r="AF20"/>
  <c r="AF18"/>
  <c r="AF11"/>
  <c r="AF26"/>
  <c r="BM17" l="1"/>
  <c r="R11" i="27" s="1"/>
  <c r="DS20" i="30"/>
  <c r="S17" i="12"/>
  <c r="F13" i="13" s="1"/>
  <c r="S18" i="12"/>
  <c r="F14" i="13" s="1"/>
  <c r="P24" i="30"/>
  <c r="BO26" i="12"/>
  <c r="N20" i="15" s="1"/>
  <c r="BO25" i="12"/>
  <c r="N19" i="15" s="1"/>
  <c r="BO17" i="32"/>
  <c r="T11" i="33" s="1"/>
  <c r="AV17" i="30"/>
  <c r="BM21"/>
  <c r="R15" i="27" s="1"/>
  <c r="AZ26" i="12"/>
  <c r="I20" i="15" s="1"/>
  <c r="BO24" i="32"/>
  <c r="T18" i="33" s="1"/>
  <c r="AZ21" i="12"/>
  <c r="I15" i="15" s="1"/>
  <c r="AW24" i="32"/>
  <c r="AW20"/>
  <c r="AI19" i="12"/>
  <c r="AK20" s="1"/>
  <c r="D14" i="15" s="1"/>
  <c r="AI16" i="12"/>
  <c r="AV23" i="30"/>
  <c r="BO14" i="32"/>
  <c r="T8" i="33" s="1"/>
  <c r="BO22" i="32"/>
  <c r="T16" i="33" s="1"/>
  <c r="BM25" i="30"/>
  <c r="R19" i="27" s="1"/>
  <c r="AW16" i="32"/>
  <c r="AI26" i="12"/>
  <c r="AI22"/>
  <c r="AI12"/>
  <c r="AI24"/>
  <c r="AM13" i="30"/>
  <c r="H7" i="27" s="1"/>
  <c r="AM15" i="32"/>
  <c r="H9" i="33" s="1"/>
  <c r="AJ15" i="32"/>
  <c r="E9" i="33" s="1"/>
  <c r="DU18" i="30"/>
  <c r="S16" i="12"/>
  <c r="F12" i="13" s="1"/>
  <c r="R22" i="30"/>
  <c r="BO24" i="12"/>
  <c r="N18" i="15" s="1"/>
  <c r="BM13" i="30"/>
  <c r="R7" i="27" s="1"/>
  <c r="BM12" i="30"/>
  <c r="R6" i="27" s="1"/>
  <c r="AJ26" i="30"/>
  <c r="E20" i="27" s="1"/>
  <c r="AK26" i="30"/>
  <c r="F20" i="27" s="1"/>
  <c r="AL26" i="30"/>
  <c r="G20" i="27" s="1"/>
  <c r="AM26" i="30"/>
  <c r="H20" i="27" s="1"/>
  <c r="AH26" i="30"/>
  <c r="AJ19"/>
  <c r="E13" i="27" s="1"/>
  <c r="AK19" i="30"/>
  <c r="F13" i="27" s="1"/>
  <c r="AL19" i="30"/>
  <c r="G13" i="27" s="1"/>
  <c r="AM19" i="30"/>
  <c r="H13" i="27" s="1"/>
  <c r="AH19" i="30"/>
  <c r="AK10"/>
  <c r="F4" i="27" s="1"/>
  <c r="AJ10" i="30"/>
  <c r="E4" i="27" s="1"/>
  <c r="AL10" i="30"/>
  <c r="G4" i="27" s="1"/>
  <c r="AH10" i="30"/>
  <c r="AM10"/>
  <c r="H4" i="27" s="1"/>
  <c r="AN16" i="32"/>
  <c r="I10" i="33" s="1"/>
  <c r="AH16" i="32"/>
  <c r="AJ16"/>
  <c r="E10" i="33" s="1"/>
  <c r="AM16" i="32"/>
  <c r="H10" i="33" s="1"/>
  <c r="AK16" i="32"/>
  <c r="F10" i="33" s="1"/>
  <c r="AL16" i="32"/>
  <c r="G10" i="33" s="1"/>
  <c r="C15" i="27"/>
  <c r="C15" i="33"/>
  <c r="K7"/>
  <c r="AK19" i="12"/>
  <c r="D13" i="15" s="1"/>
  <c r="C13"/>
  <c r="AK21" i="12"/>
  <c r="D15" i="15" s="1"/>
  <c r="C15"/>
  <c r="C9"/>
  <c r="AJ15" i="30"/>
  <c r="E9" i="27" s="1"/>
  <c r="AK15" i="30"/>
  <c r="F9" i="27" s="1"/>
  <c r="AL15" i="30"/>
  <c r="G9" i="27" s="1"/>
  <c r="AM15" i="30"/>
  <c r="H9" i="27" s="1"/>
  <c r="AH15" i="30"/>
  <c r="AM28"/>
  <c r="H22" i="27" s="1"/>
  <c r="AK28" i="30"/>
  <c r="F22" i="27" s="1"/>
  <c r="AH28" i="30"/>
  <c r="AL28"/>
  <c r="G22" i="27" s="1"/>
  <c r="AJ28" i="30"/>
  <c r="E22" i="27" s="1"/>
  <c r="AJ12" i="30"/>
  <c r="E6" i="27" s="1"/>
  <c r="AL12" i="30"/>
  <c r="G6" i="27" s="1"/>
  <c r="AM12" i="30"/>
  <c r="AK12"/>
  <c r="F6" i="27" s="1"/>
  <c r="AH12" i="30"/>
  <c r="AJ23"/>
  <c r="E17" i="27" s="1"/>
  <c r="AK23" i="30"/>
  <c r="F17" i="27" s="1"/>
  <c r="AL23" i="30"/>
  <c r="G17" i="27" s="1"/>
  <c r="AM23" i="30"/>
  <c r="H17" i="27" s="1"/>
  <c r="AH23" i="30"/>
  <c r="AJ16"/>
  <c r="E10" i="27" s="1"/>
  <c r="AK16" i="30"/>
  <c r="F10" i="27" s="1"/>
  <c r="AL16" i="30"/>
  <c r="G10" i="27" s="1"/>
  <c r="AM16" i="30"/>
  <c r="H10" i="27" s="1"/>
  <c r="AH16" i="30"/>
  <c r="AG16"/>
  <c r="AN17" i="32"/>
  <c r="I11" i="33" s="1"/>
  <c r="AK17" i="32"/>
  <c r="F11" i="33" s="1"/>
  <c r="AL17" i="32"/>
  <c r="G11" i="33" s="1"/>
  <c r="AJ17" i="32"/>
  <c r="E11" i="33" s="1"/>
  <c r="AH17" i="32"/>
  <c r="AG17"/>
  <c r="AM17"/>
  <c r="H11" i="33" s="1"/>
  <c r="AL25" i="32"/>
  <c r="G19" i="33" s="1"/>
  <c r="AK25" i="32"/>
  <c r="F19" i="33" s="1"/>
  <c r="AN25" i="32"/>
  <c r="I19" i="33" s="1"/>
  <c r="AM25" i="32"/>
  <c r="H19" i="33" s="1"/>
  <c r="AH25" i="32"/>
  <c r="AJ25"/>
  <c r="E19" i="33" s="1"/>
  <c r="AN24" i="32"/>
  <c r="I18" i="33" s="1"/>
  <c r="AH24" i="32"/>
  <c r="AM24"/>
  <c r="H18" i="33" s="1"/>
  <c r="AJ24" i="32"/>
  <c r="E18" i="33" s="1"/>
  <c r="AL24" i="32"/>
  <c r="G18" i="33" s="1"/>
  <c r="AK24" i="32"/>
  <c r="F18" i="33" s="1"/>
  <c r="AH12" i="32"/>
  <c r="AN12"/>
  <c r="I6" i="33" s="1"/>
  <c r="AL12" i="32"/>
  <c r="G6" i="33" s="1"/>
  <c r="AJ12" i="32"/>
  <c r="E6" i="33" s="1"/>
  <c r="AK12" i="32"/>
  <c r="F6" i="33" s="1"/>
  <c r="AM12" i="32"/>
  <c r="H6" i="33" s="1"/>
  <c r="AH14" i="32"/>
  <c r="AL14"/>
  <c r="G8" i="33" s="1"/>
  <c r="AJ14" i="32"/>
  <c r="E8" i="33" s="1"/>
  <c r="AK14" i="32"/>
  <c r="F8" i="33" s="1"/>
  <c r="AN14" i="32"/>
  <c r="I8" i="33" s="1"/>
  <c r="AM14" i="32"/>
  <c r="H8" i="33" s="1"/>
  <c r="Q16"/>
  <c r="AW23" i="32"/>
  <c r="K16" i="33"/>
  <c r="K11"/>
  <c r="AK23" i="12"/>
  <c r="D17" i="15" s="1"/>
  <c r="C17"/>
  <c r="C10"/>
  <c r="AK11" i="12"/>
  <c r="D5" i="15" s="1"/>
  <c r="C5"/>
  <c r="C6"/>
  <c r="AK24" i="12"/>
  <c r="D18" i="15" s="1"/>
  <c r="C18"/>
  <c r="J20" i="27"/>
  <c r="J14"/>
  <c r="J16"/>
  <c r="J5"/>
  <c r="J22"/>
  <c r="J9"/>
  <c r="J6"/>
  <c r="J8"/>
  <c r="J19"/>
  <c r="J15"/>
  <c r="K4" i="33"/>
  <c r="K9"/>
  <c r="J10" i="27"/>
  <c r="J18"/>
  <c r="K12" i="33"/>
  <c r="K15"/>
  <c r="P22" i="32"/>
  <c r="R21" s="1"/>
  <c r="AI17" i="12"/>
  <c r="AI15"/>
  <c r="AK15" s="1"/>
  <c r="D9" i="15" s="1"/>
  <c r="BM20" i="30"/>
  <c r="R14" i="27" s="1"/>
  <c r="BM24" i="30"/>
  <c r="R18" i="27" s="1"/>
  <c r="AW11" i="32"/>
  <c r="AY10" s="1"/>
  <c r="L4" i="33" s="1"/>
  <c r="BM18" i="30"/>
  <c r="R12" i="27" s="1"/>
  <c r="BM22" i="30"/>
  <c r="R16" i="27" s="1"/>
  <c r="BM26" i="30"/>
  <c r="R20" i="27" s="1"/>
  <c r="BM19" i="30"/>
  <c r="R13" i="27" s="1"/>
  <c r="AW27" i="32"/>
  <c r="AY28" s="1"/>
  <c r="L22" i="33" s="1"/>
  <c r="AI13" i="12"/>
  <c r="AK12" s="1"/>
  <c r="D6" i="15" s="1"/>
  <c r="BO27" i="32"/>
  <c r="T21" i="33" s="1"/>
  <c r="BO26" i="32"/>
  <c r="T20" i="33" s="1"/>
  <c r="AW25" i="32"/>
  <c r="AY26" s="1"/>
  <c r="L20" i="33" s="1"/>
  <c r="AV19" i="30"/>
  <c r="BO27" i="12"/>
  <c r="N21" i="15" s="1"/>
  <c r="AZ24" i="12"/>
  <c r="I18" i="15" s="1"/>
  <c r="AG15" i="32"/>
  <c r="AJ18" i="30"/>
  <c r="E12" i="27" s="1"/>
  <c r="AK18" i="30"/>
  <c r="F12" i="27" s="1"/>
  <c r="AL18" i="30"/>
  <c r="G12" i="27" s="1"/>
  <c r="AM18" i="30"/>
  <c r="H12" i="27" s="1"/>
  <c r="AH18" i="30"/>
  <c r="AN27" i="32"/>
  <c r="I21" i="33" s="1"/>
  <c r="AM27" i="32"/>
  <c r="H21" i="33" s="1"/>
  <c r="AK27" i="32"/>
  <c r="F21" i="33" s="1"/>
  <c r="AH27" i="32"/>
  <c r="AL27"/>
  <c r="G21" i="33" s="1"/>
  <c r="AJ27" i="32"/>
  <c r="E21" i="33" s="1"/>
  <c r="AN10" i="32"/>
  <c r="I4" i="33" s="1"/>
  <c r="AH10" i="32"/>
  <c r="AK10"/>
  <c r="F4" i="33" s="1"/>
  <c r="AJ10" i="32"/>
  <c r="E4" i="33" s="1"/>
  <c r="AL10" i="32"/>
  <c r="G4" i="33" s="1"/>
  <c r="AM10" i="32"/>
  <c r="H4" i="33" s="1"/>
  <c r="C5"/>
  <c r="AJ11" i="30"/>
  <c r="E5" i="27" s="1"/>
  <c r="AK11" i="30"/>
  <c r="F5" i="27" s="1"/>
  <c r="AL11" i="30"/>
  <c r="G5" i="27" s="1"/>
  <c r="AM11" i="30"/>
  <c r="H5" i="27" s="1"/>
  <c r="AH11" i="30"/>
  <c r="AG11"/>
  <c r="AH20"/>
  <c r="AJ20"/>
  <c r="E14" i="27" s="1"/>
  <c r="AK20" i="30"/>
  <c r="F14" i="27" s="1"/>
  <c r="AL20" i="30"/>
  <c r="G14" i="27" s="1"/>
  <c r="AM20" i="30"/>
  <c r="AG20"/>
  <c r="AJ14"/>
  <c r="E8" i="27" s="1"/>
  <c r="AK14" i="30"/>
  <c r="F8" i="27" s="1"/>
  <c r="AL14" i="30"/>
  <c r="G8" i="27" s="1"/>
  <c r="AM14" i="30"/>
  <c r="H8" i="27" s="1"/>
  <c r="AH14" i="30"/>
  <c r="AG14"/>
  <c r="AH22" i="32"/>
  <c r="AJ22"/>
  <c r="E16" i="33" s="1"/>
  <c r="AM22" i="32"/>
  <c r="H16" i="33" s="1"/>
  <c r="AL22" i="32"/>
  <c r="G16" i="33" s="1"/>
  <c r="AK22" i="32"/>
  <c r="F16" i="33" s="1"/>
  <c r="AN22" i="32"/>
  <c r="I16" i="33" s="1"/>
  <c r="AN28" i="32"/>
  <c r="I22" i="33" s="1"/>
  <c r="AM28" i="32"/>
  <c r="H22" i="33" s="1"/>
  <c r="AL28" i="32"/>
  <c r="G22" i="33" s="1"/>
  <c r="AK28" i="32"/>
  <c r="F22" i="33" s="1"/>
  <c r="AJ28" i="32"/>
  <c r="E22" i="33" s="1"/>
  <c r="AH28" i="32"/>
  <c r="AN20"/>
  <c r="AH20"/>
  <c r="AL20"/>
  <c r="G14" i="33" s="1"/>
  <c r="AJ20" i="32"/>
  <c r="E14" i="33" s="1"/>
  <c r="AK20" i="32"/>
  <c r="F14" i="33" s="1"/>
  <c r="AM20" i="32"/>
  <c r="H14" i="33" s="1"/>
  <c r="K20"/>
  <c r="K18"/>
  <c r="K22"/>
  <c r="K14"/>
  <c r="AK25" i="12"/>
  <c r="D19" i="15" s="1"/>
  <c r="C19"/>
  <c r="AK10" i="12"/>
  <c r="D4" i="15" s="1"/>
  <c r="C4"/>
  <c r="AK14" i="12"/>
  <c r="D8" i="15" s="1"/>
  <c r="C8"/>
  <c r="C22"/>
  <c r="AK28" i="12"/>
  <c r="D22" i="15" s="1"/>
  <c r="AK17" i="12"/>
  <c r="D11" i="15" s="1"/>
  <c r="C11"/>
  <c r="AK27" i="12"/>
  <c r="D21" i="15" s="1"/>
  <c r="C21"/>
  <c r="J17" i="27"/>
  <c r="J7"/>
  <c r="J21"/>
  <c r="J12"/>
  <c r="AX18" i="30"/>
  <c r="K12" i="27" s="1"/>
  <c r="K5" i="33"/>
  <c r="AM17" i="30"/>
  <c r="H11" i="27" s="1"/>
  <c r="AH17" i="30"/>
  <c r="AJ17"/>
  <c r="E11" i="27" s="1"/>
  <c r="AL17" i="30"/>
  <c r="G11" i="27" s="1"/>
  <c r="AK17" i="30"/>
  <c r="F11" i="27" s="1"/>
  <c r="AH22" i="30"/>
  <c r="AJ22"/>
  <c r="E16" i="27" s="1"/>
  <c r="AK22" i="30"/>
  <c r="F16" i="27" s="1"/>
  <c r="AL22" i="30"/>
  <c r="G16" i="27" s="1"/>
  <c r="AM22" i="30"/>
  <c r="H16" i="27" s="1"/>
  <c r="AJ27" i="30"/>
  <c r="E21" i="27" s="1"/>
  <c r="AK27" i="30"/>
  <c r="F21" i="27" s="1"/>
  <c r="AL27" i="30"/>
  <c r="G21" i="27" s="1"/>
  <c r="AM27" i="30"/>
  <c r="H21" i="27" s="1"/>
  <c r="AH27" i="30"/>
  <c r="AG27"/>
  <c r="AJ24"/>
  <c r="E18" i="27" s="1"/>
  <c r="AK24" i="30"/>
  <c r="F18" i="27" s="1"/>
  <c r="AL24" i="30"/>
  <c r="G18" i="27" s="1"/>
  <c r="AM24" i="30"/>
  <c r="H18" i="27" s="1"/>
  <c r="AH24" i="30"/>
  <c r="AG24"/>
  <c r="AJ25"/>
  <c r="E19" i="27" s="1"/>
  <c r="AK25" i="30"/>
  <c r="F19" i="27" s="1"/>
  <c r="AL25" i="30"/>
  <c r="G19" i="27" s="1"/>
  <c r="AM25" i="30"/>
  <c r="H19" i="27" s="1"/>
  <c r="AH25" i="30"/>
  <c r="AG25"/>
  <c r="AG18" i="32"/>
  <c r="AN18"/>
  <c r="I12" i="33" s="1"/>
  <c r="AH18" i="32"/>
  <c r="AL18"/>
  <c r="G12" i="33" s="1"/>
  <c r="AJ18" i="32"/>
  <c r="E12" i="33" s="1"/>
  <c r="AK18" i="32"/>
  <c r="F12" i="33" s="1"/>
  <c r="AM18" i="32"/>
  <c r="H12" i="33" s="1"/>
  <c r="AH13" i="32"/>
  <c r="AN13"/>
  <c r="I7" i="33" s="1"/>
  <c r="AL13" i="32"/>
  <c r="G7" i="33" s="1"/>
  <c r="AK13" i="32"/>
  <c r="F7" i="33" s="1"/>
  <c r="AJ13" i="32"/>
  <c r="E7" i="33" s="1"/>
  <c r="AM13" i="32"/>
  <c r="H7" i="33" s="1"/>
  <c r="AN26" i="32"/>
  <c r="I20" i="33" s="1"/>
  <c r="AH26" i="32"/>
  <c r="AJ26"/>
  <c r="E20" i="33" s="1"/>
  <c r="AK26" i="32"/>
  <c r="F20" i="33" s="1"/>
  <c r="AM26" i="32"/>
  <c r="H20" i="33" s="1"/>
  <c r="AL26" i="32"/>
  <c r="G20" i="33" s="1"/>
  <c r="AH23" i="32"/>
  <c r="AG23"/>
  <c r="AN23"/>
  <c r="I17" i="33" s="1"/>
  <c r="AL23" i="32"/>
  <c r="G17" i="33" s="1"/>
  <c r="AM23" i="32"/>
  <c r="H17" i="33" s="1"/>
  <c r="AJ23" i="32"/>
  <c r="E17" i="33" s="1"/>
  <c r="AK23" i="32"/>
  <c r="F17" i="33" s="1"/>
  <c r="AN19" i="32"/>
  <c r="I13" i="33" s="1"/>
  <c r="AH19" i="32"/>
  <c r="AJ19"/>
  <c r="E13" i="33" s="1"/>
  <c r="AK19" i="32"/>
  <c r="F13" i="33" s="1"/>
  <c r="AL19" i="32"/>
  <c r="G13" i="33" s="1"/>
  <c r="AM19" i="32"/>
  <c r="H13" i="33" s="1"/>
  <c r="K8"/>
  <c r="K10"/>
  <c r="AY27" i="32"/>
  <c r="L21" i="33" s="1"/>
  <c r="K21"/>
  <c r="C14" i="15"/>
  <c r="AK26" i="12"/>
  <c r="D20" i="15" s="1"/>
  <c r="C20"/>
  <c r="AK22" i="12"/>
  <c r="D16" i="15" s="1"/>
  <c r="C16"/>
  <c r="AK18" i="12"/>
  <c r="D12" i="15" s="1"/>
  <c r="C12"/>
  <c r="C7"/>
  <c r="AK13" i="12"/>
  <c r="D7" i="15" s="1"/>
  <c r="AY25" i="32"/>
  <c r="L19" i="33" s="1"/>
  <c r="K19"/>
  <c r="J4" i="27"/>
  <c r="AX10" i="30"/>
  <c r="K4" i="27" s="1"/>
  <c r="J11"/>
  <c r="J13"/>
  <c r="Q26" i="12"/>
  <c r="S25" s="1"/>
  <c r="F21" i="13" s="1"/>
  <c r="R14" i="32"/>
  <c r="R13"/>
  <c r="C7" i="27"/>
  <c r="C9" i="33"/>
  <c r="AG11" i="32"/>
  <c r="BO18"/>
  <c r="T12" i="33" s="1"/>
  <c r="AW12" i="32"/>
  <c r="AY12" s="1"/>
  <c r="L6" i="33" s="1"/>
  <c r="BO19" i="32"/>
  <c r="T13" i="33" s="1"/>
  <c r="AZ22" i="12"/>
  <c r="I16" i="15" s="1"/>
  <c r="AZ19" i="12"/>
  <c r="I13" i="15" s="1"/>
  <c r="BM14" i="30"/>
  <c r="R8" i="27" s="1"/>
  <c r="AW14" i="32"/>
  <c r="AW17"/>
  <c r="AV26" i="30"/>
  <c r="AV27" s="1"/>
  <c r="AV20"/>
  <c r="AV28"/>
  <c r="AX28" s="1"/>
  <c r="K22" i="27" s="1"/>
  <c r="AV15" i="30"/>
  <c r="AV12"/>
  <c r="AX12" s="1"/>
  <c r="K6" i="27" s="1"/>
  <c r="AV14" i="30"/>
  <c r="AX14" s="1"/>
  <c r="K8" i="27" s="1"/>
  <c r="AV25" i="30"/>
  <c r="AW15" i="32"/>
  <c r="AY15" s="1"/>
  <c r="L9" i="33" s="1"/>
  <c r="AV16" i="30"/>
  <c r="AX17" s="1"/>
  <c r="K11" i="27" s="1"/>
  <c r="AV24" i="30"/>
  <c r="AX24" s="1"/>
  <c r="K18" i="27" s="1"/>
  <c r="AW18" i="32"/>
  <c r="AY19" s="1"/>
  <c r="L13" i="33" s="1"/>
  <c r="AW21" i="32"/>
  <c r="R20"/>
  <c r="AY17" l="1"/>
  <c r="L11" i="33" s="1"/>
  <c r="AY24" i="32"/>
  <c r="L18" i="33" s="1"/>
  <c r="P25" i="30"/>
  <c r="DS21"/>
  <c r="AX15"/>
  <c r="K9" i="27" s="1"/>
  <c r="AX25" i="30"/>
  <c r="K19" i="27" s="1"/>
  <c r="AX27" i="30"/>
  <c r="K21" i="27" s="1"/>
  <c r="AY14" i="32"/>
  <c r="L8" i="33" s="1"/>
  <c r="R23" i="30"/>
  <c r="DU19"/>
  <c r="S27" i="12"/>
  <c r="F23" i="13" s="1"/>
  <c r="S26" i="12"/>
  <c r="F22" i="13" s="1"/>
  <c r="C17" i="33"/>
  <c r="C11" i="27"/>
  <c r="I14" i="33"/>
  <c r="AG21" i="32"/>
  <c r="C16" i="33"/>
  <c r="C8" i="27"/>
  <c r="H14"/>
  <c r="AG21" i="30"/>
  <c r="C14" i="27"/>
  <c r="C5"/>
  <c r="C21" i="33"/>
  <c r="C8"/>
  <c r="C18"/>
  <c r="C19"/>
  <c r="C11"/>
  <c r="C10" i="27"/>
  <c r="C17"/>
  <c r="C6"/>
  <c r="H6"/>
  <c r="AG13" i="30"/>
  <c r="C22" i="27"/>
  <c r="C9"/>
  <c r="C13"/>
  <c r="C20"/>
  <c r="AV21" i="30"/>
  <c r="AW22" i="32"/>
  <c r="AY22" s="1"/>
  <c r="L16" i="33" s="1"/>
  <c r="AY16" i="32"/>
  <c r="L10" i="33" s="1"/>
  <c r="AG19" i="32"/>
  <c r="AG26"/>
  <c r="AG13"/>
  <c r="AG22" i="30"/>
  <c r="AG17"/>
  <c r="AY11" i="32"/>
  <c r="L5" i="33" s="1"/>
  <c r="AY20" i="32"/>
  <c r="L14" i="33" s="1"/>
  <c r="AG20" i="32"/>
  <c r="AG28"/>
  <c r="AG22"/>
  <c r="AI22" s="1"/>
  <c r="D16" i="33" s="1"/>
  <c r="AG18" i="30"/>
  <c r="AX16"/>
  <c r="K10" i="27" s="1"/>
  <c r="AX11" i="30"/>
  <c r="K5" i="27" s="1"/>
  <c r="AX26" i="30"/>
  <c r="K20" i="27" s="1"/>
  <c r="AK16" i="12"/>
  <c r="D10" i="15" s="1"/>
  <c r="AY23" i="32"/>
  <c r="L17" i="33" s="1"/>
  <c r="AG12" i="32"/>
  <c r="AI11" s="1"/>
  <c r="D5" i="33" s="1"/>
  <c r="AG24" i="32"/>
  <c r="AY13"/>
  <c r="L7" i="33" s="1"/>
  <c r="AG16" i="32"/>
  <c r="AI17" s="1"/>
  <c r="D11" i="33" s="1"/>
  <c r="C13"/>
  <c r="AI19" i="32"/>
  <c r="D13" i="33" s="1"/>
  <c r="C20"/>
  <c r="C7"/>
  <c r="AI18" i="32"/>
  <c r="D12" i="33" s="1"/>
  <c r="C12"/>
  <c r="C19" i="27"/>
  <c r="C18"/>
  <c r="C21"/>
  <c r="C16"/>
  <c r="AI20" i="32"/>
  <c r="D14" i="33" s="1"/>
  <c r="C14"/>
  <c r="C22"/>
  <c r="C4"/>
  <c r="AI10" i="32"/>
  <c r="D4" i="33" s="1"/>
  <c r="C12" i="27"/>
  <c r="P23" i="32"/>
  <c r="R22" s="1"/>
  <c r="C6" i="33"/>
  <c r="AI16" i="32"/>
  <c r="D10" i="33" s="1"/>
  <c r="C10"/>
  <c r="AI10" i="30"/>
  <c r="D4" i="27" s="1"/>
  <c r="C4"/>
  <c r="AX19" i="30"/>
  <c r="K13" i="27" s="1"/>
  <c r="AX13" i="30"/>
  <c r="K7" i="27" s="1"/>
  <c r="AG27" i="32"/>
  <c r="AI27" s="1"/>
  <c r="D21" i="33" s="1"/>
  <c r="AY18" i="32"/>
  <c r="L12" i="33" s="1"/>
  <c r="AG14" i="32"/>
  <c r="AI15" s="1"/>
  <c r="D9" i="33" s="1"/>
  <c r="AG25" i="32"/>
  <c r="AI25" s="1"/>
  <c r="D19" i="33" s="1"/>
  <c r="AG23" i="30"/>
  <c r="AI22" s="1"/>
  <c r="D16" i="27" s="1"/>
  <c r="AG12" i="30"/>
  <c r="AI11" s="1"/>
  <c r="D5" i="27" s="1"/>
  <c r="AG28" i="30"/>
  <c r="AI28" s="1"/>
  <c r="D22" i="27" s="1"/>
  <c r="AG15" i="30"/>
  <c r="AI16" s="1"/>
  <c r="D10" i="27" s="1"/>
  <c r="AG19" i="30"/>
  <c r="AI18" s="1"/>
  <c r="D12" i="27" s="1"/>
  <c r="AG26" i="30"/>
  <c r="AI25" s="1"/>
  <c r="D19" i="27" s="1"/>
  <c r="AI12" i="32" l="1"/>
  <c r="D6" i="33" s="1"/>
  <c r="DS22" i="30"/>
  <c r="P26"/>
  <c r="R25" s="1"/>
  <c r="AI24" i="32"/>
  <c r="D18" i="33" s="1"/>
  <c r="AI17" i="30"/>
  <c r="D11" i="27" s="1"/>
  <c r="DU20" i="30"/>
  <c r="R24"/>
  <c r="P24" i="32"/>
  <c r="R23" s="1"/>
  <c r="AI28"/>
  <c r="D22" i="33" s="1"/>
  <c r="AI24" i="30"/>
  <c r="D18" i="27" s="1"/>
  <c r="AI26" i="30"/>
  <c r="D20" i="27" s="1"/>
  <c r="AI19" i="30"/>
  <c r="D13" i="27" s="1"/>
  <c r="AI13" i="30"/>
  <c r="D7" i="27" s="1"/>
  <c r="AI12" i="30"/>
  <c r="D6" i="27" s="1"/>
  <c r="AI23" i="30"/>
  <c r="D17" i="27" s="1"/>
  <c r="AI20" i="30"/>
  <c r="D14" i="27" s="1"/>
  <c r="AI21" i="30"/>
  <c r="D15" i="27" s="1"/>
  <c r="AI14" i="30"/>
  <c r="D8" i="27" s="1"/>
  <c r="AI21" i="32"/>
  <c r="D15" i="33" s="1"/>
  <c r="AI23" i="32"/>
  <c r="D17" i="33" s="1"/>
  <c r="AY21" i="32"/>
  <c r="L15" i="33" s="1"/>
  <c r="AV22" i="30"/>
  <c r="AX21" s="1"/>
  <c r="K15" i="27" s="1"/>
  <c r="AI27" i="30"/>
  <c r="D21" i="27" s="1"/>
  <c r="AI13" i="32"/>
  <c r="D7" i="33" s="1"/>
  <c r="AI26" i="32"/>
  <c r="D20" i="33" s="1"/>
  <c r="AI15" i="30"/>
  <c r="D9" i="27" s="1"/>
  <c r="AI14" i="32"/>
  <c r="D8" i="33" s="1"/>
  <c r="AX20" i="30"/>
  <c r="K14" i="27" s="1"/>
  <c r="DS23" i="30" l="1"/>
  <c r="R27"/>
  <c r="R26"/>
  <c r="DU21"/>
  <c r="AX22"/>
  <c r="K16" i="27" s="1"/>
  <c r="AX23" i="30"/>
  <c r="K17" i="27" s="1"/>
  <c r="P25" i="32"/>
  <c r="R24" s="1"/>
  <c r="DS24" i="30" l="1"/>
  <c r="DU22"/>
  <c r="P26" i="32"/>
  <c r="DS25" i="30" l="1"/>
  <c r="DU24" s="1"/>
  <c r="DU23"/>
  <c r="R27" i="32"/>
  <c r="R26"/>
  <c r="R25"/>
  <c r="DS26" i="30" l="1"/>
  <c r="DS27" l="1"/>
  <c r="DU25"/>
  <c r="DS28" l="1"/>
  <c r="DU28" s="1"/>
  <c r="DU27"/>
  <c r="DU26"/>
</calcChain>
</file>

<file path=xl/sharedStrings.xml><?xml version="1.0" encoding="utf-8"?>
<sst xmlns="http://schemas.openxmlformats.org/spreadsheetml/2006/main" count="2069" uniqueCount="1098">
  <si>
    <t>This tab displays a like-for-like annual score change since 2009. Category scores for 2010 and 2009 are calculated using only the 17 indicators common to both years. 
Weights follow the 2010 EIU weighting scheme adjusted so that the two new 2010 indicators (Political will and Sub-national adjustment factor) are given 0% weight. This means that the category weights are as follows: Regulatory framework 27.8%; Institutional framework 22.2%; Operational maturity 16.7%; Investment climate 16.7%; and Financial facilities 16.7%.</t>
  </si>
  <si>
    <t>SUMMARY, 2010 SCORES</t>
  </si>
  <si>
    <t>Rank / 19</t>
  </si>
  <si>
    <t>2010 Score</t>
  </si>
  <si>
    <t>World Bank and PPIAF Private Participation in Infrastructure Database</t>
  </si>
  <si>
    <t xml:space="preserve">World Bank and PPIAF Private Participation in Infrastructure Database </t>
  </si>
  <si>
    <t>YoY 2010/2009</t>
  </si>
  <si>
    <t>0=The legal framework is so cumbersome or restrictive that in practice PPPs are extremely difficult to implement;
1=The legal framework allows concessions but it is ill defined and risk allocation and compensation is unclear and inefficient; 
2=The legal framework allows concessions and also establishes general, open-ended oversight, risk allocation and compensation rules; 
3=The legal framework is generally good and coherent, addressing risk allocation issues while leaving some ambiguity with regards to compensation schemes and project implementation;
4=The legal framework is comprehensive and consistent across sectors and layers of government, addresses risk allocation and compensation issues according to strict economic principles and establishes sophisticated and consistent oversight of project implementation</t>
  </si>
  <si>
    <t>This score is created directly by raw data; more projects indicate more experience. Projects are counted in the World Bank PPI database if: 1) Investment commitments exceed US$1 mn; 2) Private sponsors/consortiums own at least 25% of the PPI contract; 3) The project reached financial closure between 1999 and 2008; and 4) Projects provide a significant share of services (at least 20% of sales or installed capacity) to the public directly or indirectly. Serving the public directly involves projects with a retail component, such as electricity or water distribution. Qualifying transport facilities are those open for public use, such as airports, railways, roads, or seaports. Indirect services include stand-alone bulk facilities (ex. power or water treatment plants) that sell their output to a third party for distribution to the general public; transmission facilities that provide transport services between bulk and retail facilities; or railways and seaports that provide services to companies. Figures do not include projects serving a small number of clients on an exclusive basis (definition cited directly from PPI database web site).</t>
  </si>
  <si>
    <t>0=Failure/distress rate above 20%; for countries with less than five projects, this indicates a failure/distress rate of 25% or above
1=Failure/distress rate between 14% and 20%; for countries with less than five projects, this indicates a 0% failure distress rate 
2=Failure/distress rate between 8% and 14%
3=Failure/distress rate between 3% and 8%
4=Failure/distress rate between 0% and 3%</t>
  </si>
  <si>
    <t>0= The government has consistently expressed disinterest or inconsistent intentions in engaging private participation through concessions or improving frameworks. Conditions for private investment are hostile 
1= The government has shown some reluctance to engage private participation through PPPs and provide favourable frameworks, either because of disagreement among or explicit opposition from significant political groupings.
2= There is political consensus surrounding the need to engage private participation through PPPs and provide favourable frameworks, though implementation is slow.
3= There is political consensus to maintain favourable frameworks* and to be pro-active with concession projects, where appropriate, and the likelihood of major political delays is low.</t>
  </si>
  <si>
    <t>0=The government struggles to fulfill obligations to private sector PPP participants;
1=The government occasionally fulfills obligations; 
2=The government usually fulfills obligations; 
3=The government usually fulfills obligations, and provides some minimal guarantees to investors, 
4= The government has an excellent track record of fulfilling obligations, and provides strong guarantees to investors
In certain cases where project or sector specific information was not obtainable, scoring considers Economist Intelligence Unit sovereign credit risk ratings. For these instances scoring employs the following guidelines: 0 = rating of CCC and below, 1= B rating, 2= BB rating, 3 = BBB and A rating, and 4 = AA or AAA rating</t>
  </si>
  <si>
    <t>0=The legal framework does not allow regional or municipal entities to concession public works, or in practice the requirements are extremely cumbersome;
1=The legal framework allows regional and municipal entities to concession public works, but technical capacity or political will is lacking;
2=A few successful examples of regional or municipal concessions exist, but capacity and projects at this level across the country are generally weak;
3=A significant concessions program has been developed at a municipal or regional level, with good implementation capacity and institutional design;
4=An important and diverse (in terms of sectors and locations) PPP program has been developed at the municipal or regional level, and it benefits from a homogeneous framework, good local implementation capacity and institutional design</t>
  </si>
  <si>
    <t>Weight 2010</t>
  </si>
  <si>
    <t>This tab displays scores in 2010 and 2009 and annual change.  Scores for 2010 are calculated using the current weightings.  
Scores for 2009 are calculated using the default weights assigned in that year.
2010 overall score includes the "Subnational adjustment factor" category which is not present in 2009 scores.  
One indicator was changed in "Investment climate" category between 2010 and 2009.</t>
  </si>
  <si>
    <t>Ecuador has experienced two key periods of development with regard to its legal and regulatory framework for concessions. In the first instance, the country passed a State Modernisation Act in 1993 to delegate public services to the private sector. This law included the transport sector and the drinking water and drainage segments. A National Council with ministerial powers was also established to supervise public-private partnership (PPP) processes. Additional laws building upon the 1993 Act were passed for specific sectors to facilitate further private participation in infrastructure. For example, port authorities were given the powers to tender specific terminals for private sector concessions. Highways, airports and water and drainage systems have also been contracted under the Act from 1993. Regulations within the law established that the economic equation of a contract must be maintained, paving the way for multiple contract renegotiations and excessive transfers of commercial risk to the state. 
The electricity industry was restructured in 1996 with the creation of the Consejo Nacional de Regulación Electrica (CONELEC, the National Council for Electricity Regulation). The industry was unbundled into distribution, transmission and generation. Privatisation during the 1990s and the first half of the last decade progressed slowly, however. 
The new 2008 state constitution made significant changes to the previous frameworks. Article 314 states that government is responsible for public “universal” service provision, ensuring “fair” prices. Article 316 of the constitution states that "the state may, as an exception, delegate…exercising these services…out to private initiative". Article 318 points out that public drainage services and the supply of drinking water will be rendered exclusively by state-owned or community-owned legal bodies. These constitutional rules make existing concession initiatives highly vulnerable to expropriation and unilateral contract changes, also decreasing the likelihood of developing new projects. The central government has already attempted to annul existing concessions, such as the Port of Manta, Quito airport and select drinking water concessions. These concessions have survived owing to the efforts of regional governments to maintain current projects. New local authorities in Quito have also indicated a more hesitant stance towards private sector participation, which may make the survival of the existing concessions more difficult. After the change in Constitution (2008), Mr Correa has also stalled the privatisation process and new electricity generation projects are being undertaken by state-owned companies. Today, more than 80% of the generation, 100% of the transmission and most of the distribution are in the hands of the government. Prices are heavily subsidised and distorted. The possibility of selling in the spot market, as well as scarcity signals, which help pricing, have been eliminated for private generators.</t>
  </si>
  <si>
    <t xml:space="preserve">The capacity for project planning and development is limited; nevertheless, at the federal level a significant effort to develop capacity to plan, prepare and structure projects is being undertaken, especially by the Transport Ministry and by the Banco Nacional de Obras y Servicios Públicos (Banobras), the entity that established FONADIN. Separately, the Ministry of Finance and Public Credit has commissioned a consultancy project to examine best practices in PPP project structuring and development as part of a larger programme meant to improve the efficiency, effectiveness and quality of public spending. 
The efforts and expertise dedicated to the supervision of existing PPP contracts are minimal. The limited human resources dedicated to public works focus on project preparation, rather than oversight of service quality. The fiscal adjustment following the financial crisis of the 1990s led to a dramatic reduction in public investment; this significantly reduced the number of engineers working in project preparation at all levels of government. </t>
  </si>
  <si>
    <t>Subnational governments are involved in water sanitation and transport infrastructure. In the water sanitation sector, PPS contracts can be offered by municipal firms, which are also responsible for the supervision of each project stage. This sector is atomised, since each municipality is responsible for service provision. In a few metropolitan areas, larger companies have developed to span several municipalities. The preservation of the autonomy of the states and municipalities complicates the investment process. In the water sector, decisions are typically influenced by politics, tariffs do not cover the cost of conserving water systems, and private participation is very complicated.  At the municipal level, the degree of transparency when private sector participants are involved is low. Indeed, in many cases projects are negotiated with the private sector, and the municipal councils do not exercise an adequate supervisory role. Contract changes are common, but without safeguards for equity or transparency. In the case of water services, the resolution system depends on the terms of each contract. If a municipality enters a concession directly, disputes are resolved by tribunals. However, most PPP water projects are contracted by municipal companies, which have the power to establish ad hoc arbitration schemes. In the sanitary and water sector, processes are not competitive and contract award criteria are highly subjective. The changes to the Public Acquisition law from 2009 also benefit state and local governments, by creating  a better framework for undertaking infrastructure projects.  Nevertheless, the main problem is resources limitation at the municipal level, which constitutes a significant bottleneck for implementing PPP programmes. The capability to plan and structure transport projects at the state level is limited, making it difficult to launch a significant and efficient toll road programme at state level. However, this is expected to improve in the long-term, as individual Mexican states have also been engaging multilateral support to develop PPP capacity-building programmes.</t>
  </si>
  <si>
    <t xml:space="preserve">The government’s capacity to plan and prepare projects is limited. Indeed, the inability to carry out proper engineering efforts, environmental studies and social evaluations limits the flow of projects and often leads to poorly prepared bids. The difficulties with the Paita port concession also demonstrate limitations in the public ability to deal with social and political conflicts in these processes. The failed bid for an electric rail for Lima puts into question the government’s ability to plan properly and regulate complex urban transport projects. There is a significant scope to improve the working of Proinversión as a promoting agency, with individual sectoral agencies in charge of planning investments. In the electricity generating segment, the processes of indicative planning and oversight and private investment have been streamlined significantly. Also, the promotion of new hydroelectric and thermoelectric projects has been successful, showing a good capacity to plan and promote these investments. </t>
  </si>
  <si>
    <t xml:space="preserve">Peru’s PPP laws clearly establish a framework for distributing risk. This contrasts with the past perception that previous risk-allocation efforts and the subsequent renegotiations have been excessive, as three out of five transport concessions were renegotiated between the mid-1980s and 2000 (Guasch, 2004). More recent conflicts with concessionaires have also forced renegotiations for numerous projects since then. 
Currently, risk-allocation principles are related to a party’s ability to mitigate these risks. Compensation for changes in financial equilibrium is limited. Capital markets in the country are also developed enough to allow the use of local currency debt instruments for currency and interest-rate hedging. There is also a newly developing market to cover financial risk. Completion risk instruments are at an incipient stage. Even amid the financial crisis, Peru was able to close several concession deals, with standard risk-allocation among the parties involved. In the electricity generation segment, a shift from regulated prices to bidding for long-term contracts with distribution companies implies a better hedging of commercial risk. </t>
  </si>
  <si>
    <t xml:space="preserve">Ministries and Public Services agencies generally lack the technical skills appropriate for developing concession projects. CONAM does not have executive, advisory or technical capabilities. Highway projects have been renegotiated or they have failed as a result of project deficiencies. For example, the concession of Quito airport, undertaken by the municipality in consultation with agencies responsible for the service, was granted without conducting any environmental studies or permits. Another example is the Pan-American Highway, the contract for which had to be modified several times. This ultimately increased costs and raised the compensation provided by the government to the private sector, exposing the inadequacy of project submissions by the Ministry of Public Works. Planning in the water sector has been carried out more smoothly, but this is largely owing to a programme financed by the World Bank, which has generated the appropriate technical capacity to develop projects and contract operations to municipalities. After the decision to return water services to the state, the capacity built for managing water concessions was lost. CONAM was also dismantled in 2009, which could further reduce capacity for developing PPP projects in public service sectors more broadly. </t>
  </si>
  <si>
    <t xml:space="preserve">Each ministry or decentralised body with the legal authority to provide services by concession is responsible for monitoring its own contracts and projects. This is because the country has not established an independent regulatory or service quality oversight entity, or built monitoring capacity. Service inspectors responsible for monitoring quality commitments are usually employed by or related to the same public agencies which prepare, award and legally authorise the concession project. Ideally, the supervision role would be independent from the agency responsible for project planning, service level setting and infrastructure design. The Consejo Nacional de Modernización del Estado (CONAM, the State Modernisation Council) is responsible for generally supervising the monitoring carried out by these individual state-level and local-level agencies. In 2009 the government merged CONAM with the Planning Secretariat, which implies that the promotion of modernisation through private investment may be reduced. A reversion of the process is now likely. The strengthened role of government ministries will result in a less technical regulatory approach to private services. In the electricity industry, restructuring and disintegration is being reversed, with the creation of one state-owned company that will be a holding company for all state-owned electricity companies. This holding company will act on behalf of the government to provide financing to government projects and to control the decisions of each company. </t>
  </si>
  <si>
    <t xml:space="preserve">At present, the making and financing of investment decisions at the central government level are eminently political. Sector-specific ministries are responsible for these decisions and associated services undertaken for the projects and services. Only public or mixed enterprises (with a public majority stake) are allowed to provide public services or control strategic sectors. In exceptional cases, legislation allows the state to concede these areas to private enterprises (Article 316). The transfer of the state-owned enterprises originally held as public enterprises to the control of government ministries increases the possibility for political interference and control in most sectors. This change took place between 2008 and 2009 through presidential decrees. </t>
  </si>
  <si>
    <t>Trinidad and Tobago does not possess a legal framework that specifically establishes concessions in the electricity industry or the transport or water sectors. Nevertheless, there are no restrictions in place on undertaking public-private partnership (PPP) projects and the terms and conditions of each project are established separately. Furthermore, the Central Tender Board Act established the conditions for public bidding when undertaken by government agencies. Nevertheless, a very cumbersome scheme has been established for undertaking PPP projects. A special purpose state-owned company must first be created in the sector in question to contract out the particular service. A regulatory commission for public services (Regulatory Commission of Regulated Industries) was established in 1998 and private investment has been effectively utilised in the electricity generation segment and the telecommunications sector via concessions. In the electricity industry, the state-owned Trinidad and Tobago Electricity Commission (T&amp;TEC)) is in charge of the distribution and transmission grid. It also operates generating capacity. After a restructuring of the T&amp;TEC, two generating companies were developed. The only buyer of electricity is T&amp;TEC through a power purchasing agreement (PPA) with the generating companies. A new combined cycle gas-powered project is being undertaken by NGC (National Gas Company of T&amp;T), a government-owned company, reversing the prior disintegration of the sector. In the transport sector, public entities regulate ports and airports, and they develop activities on their own or through concessions. For example, in 2006 a process was initiated to establish a private operator for the Port of Spain airport, but a project award to a private operator has not occurred, leaving the country as one of the few nations in the region that has not yet contracted out any of its airports using concessions. In the road-building industry, no toll roads have been contracted through concessions either. The Ministry of Works and Transport is responsible for planning the development of infrastructure in roads, ports and airports. Infrastructure operations are the responsibility of sector authorities. In the water sector, the Water and Sewage Authority (WASA) serves as the country's water and sanitation provider and regulator. Between 1996 and 1999 a management contract between WASA and a British water company was implemented as an interim step for dividing WASA and concessioning the operational part to a private operator and turning WASA into a regulatory entity. However, this plan was ultimately discarded and only one investment contract for operation of specific services for water desalination was offered. This has kept WASA as the main operator for drinking water and sanitation.</t>
  </si>
  <si>
    <t xml:space="preserve">The Ministry of Transport and Public Works has limited capacity to prepare and supervise projects, and little capacity has been developed for the transport and water sectors. This situation was exacerbated by the creation of the Mega Concession scheme, which initially incorporated the technical personnel of the Dirección Nacional de Vialidad (DNV, the National Roads Department). The Mega Concession scheme transferred more than 1,000 km worth of roads to the jurisdiction of a state firm, Corporación Vial del Uruguay (CVU). At the same time, the technical capacity for road concessions was also transferred to CVU, weakening the capacity of the Ministry and the DNV to develop projects and implicitly placing new projects in the hands of the CVU. The involvement of private concessionaires in toll road concessions as an alternative to the Mega Concession scheme is a remote possibility, unless the Mega Concession starts breaking its network into toll road concession projects to involve private operators directly. 
Currently, there are two important industries with privately operated concessions in Uruguay: ports and airports. Uruguay has granted a concession for the development of the international airport and the main container terminal. Both projects have increased the logistic capability of the country, showing some capacity for designing concessions. The new government has mentioned the intention to continue the policy of granting concessions to the private sector in airport and seaport infrastructure. Also, the possibility of a private concession in the railroad industry is under discussion and there has been some interest from the CND in promoting concessions for the private sector to manage road networks. Nevertheless, a significant effort will have to be made to strengthen public sector capacity for successful concessions planning, evaluation and project structuring. </t>
  </si>
  <si>
    <t xml:space="preserve">Uruguay established a legal framework for public works concessions in 1984 with Law No 15.637. This framework is of a general nature, leaving project details to be set with each contract. Further details were established in public purchase laws, which have been modified several times. The latest version regulates all public purchases and is in the Texto Ordenado de Contabilidad y Administración Financiera (Tocaf, the Public Purchase Law). These regulations require adherence to financial equilibrium and do not allow the use of arbitration mechanisms to resolve conflicts. Decree 442 regulates “private initiatives”, and the regulation of private initiatives is cumbersome as it generates an excessive incentive for private sector bidders and also establishes a right of first refusal that inhibits competitors. There are also laws that apply to electricity, water, seaport, railroad and airport projects. Many of these laws established state monopolies in the provision of certain services in these areas. 
 Nevertheless, Laws No. 15.637 and 17.555 do permit investment in the transport sector and the drinking water segment at various levels of government. When a 1992 referendum established that the majority of the population was against the privatisation of state enterprises, concessions became one of the few options for introducing private capital in infrastructure development. Using the 1984 law as a foundation, road concessions and a concession for a transport corridor in Rio de la Plata were developed in the 1990s. A later law from 1991 reorganised the port sector into regional firms and included the option of concessioning specific terminals within the jurisdiction of each firm. In the water sector, Law No. 17.555 allowed Obras Sanitarias del Estado (OSE, the state sanitation works firm), to award concessions in cities or specific regions. After the first concessions in Maldonado, however, a political movement forced a constitutional reform that made all hydrological resources subject to social considerations before economic ones and authorised the termination of any concession that threatened this principle. 
In 2001 the government developed a new road concessions system, called the Roads Mega Concession. In this scheme, the Ministry of Transport and Public Works created a National Road Company (Corporación Vial del Uruguay – CVU) as the operator of more than 1,000 km of roads, although its network will be expanded to include other roads once their concessions expire. This company can incorporate up to 40% private capital and is responsible for contracting private construction companies for the development and maintenance of the network, and must obtain financing from the market or from government subsidies. However, this scheme is in reality equivalent to public investment, since no additional risk is transferred to the private sector while borrowing is classified as off-public balance sheet, reducing public accountability. In reality, this creates a de-facto state monopoly without any formal regulator to manage the main road networks. This is a radical shift from the road concessions that were implemented in Uruguay at the beginning of the 1990s. 
More recently, the government has indicated interest in promoting a national PPP programme to facilitate more effective infrastructure investment, and has been preparing legal reforms to the existing PPP framework, which still need to be debated in Congress, to improve the PPP frameworks. 
Law No. 16.832 opened electricity generation to private investment and separated the regulatory and entrepreneurial roles of the state. Nevertheless, electricity regulations established that services in the segment can only be offered to consumers by Administración Nacional de Usinas y Transmisión Electric (UTE, the state electricity company). This company could contract out energy generation capacity with the private sector using its transmission and distribution capacity for selling to end users. A new policy to attract private investment in renewable energy was defined in 2007, where UTE is the only buyer of the energy generated. The government is promoting private investment of micro-hydraulic, biomass and wind energy generators, while restricting private participation in traditional generation methods. Although total private supply is growing, it represents less than 10% of the energy generated at present. </t>
  </si>
  <si>
    <t xml:space="preserve">TThe Constitution and the acquisitions act allow concessions to be granted for public services and works. However, they do so in general terms, requiring Congressional approval for each individual project. The concessions concept is restrictive inasmuch as projects must be developed at the risk and cost of the contractor, without any funds from public entities. Additionally, political polarisation has made it virtually impossible to establish ad hoc legislation or pass contract laws for specific projects. However, with the change in government in 2009 and the left no longer in opposition, the deadlock in Congress could be overcome. Also, the new administration has expressed interest in attracting private investment for much-needed infrastructure projects. For several years, the state has placed priority on concessions for the Ports of Acajutla and Unión; yet the difficulty in obtaining legal approvals as a result of political polarisation had prevented any progress to date. After an investment of over US$100m by the state in Port Unión, and the operating difficulties experienced, the concessionaire for the port project has gained new political support to continue forward. Also, a new PPP law has been drafted in discussion with the International Finance Corporation and has been sent to congress for legislative review.
The electricity industry has also received significant private investment. With the enactment of Law 843 (Ley General de Electricidad), El Salvador restructured the industry in 1996, through vertical disintegration, keeping the transmission in government hands and privatising generation and distribution. Recently, the government changed the operation of the system to a marginal cost approach (where dispatch is determined according to the short-term marginal cost of the operation) to enhance competition. Distribution companies have to sign long-term supply (over ten years) contracts with power plants. The regulatory framework is appropriate for private investment in generation in El Salvador. 
</t>
  </si>
  <si>
    <t xml:space="preserve">Uruguay's capital markets are undeveloped, making it difficult to finance long-term infrastructure projects. The banking system is characterised by relatively high concentration and high operating costs, which increase the cost of credit. Overall, debt financing is clearly preferred to equity financing. Loans from the World Bank and other multilateral organisations, such as the Inter-American Development Bank (IDB) are regularly used to finance infrastructure projects. The OSE has modernised its potable water system over the last several years through loans from the World Bank's International Bank for Reconstruction and Finance (IBRF), which provides flexible financing and built-in hedging instruments. Mr Mujica, however, has announced in the press that, once in power, he will no longer seek international loans, but will work to finance priority public works projects like dredging the Rio Uruguay, creating new rail lines and constructing deep-water ports with Central Bank reserves. </t>
  </si>
  <si>
    <t xml:space="preserve">Venezuela`s pension system remains in flux, with promised reforms not being enacted. The health of the country's banking system is also suspect after seven banks failed or were taken over by government regulators in 2009. Capital markets are small relative to the size of the economy, and there is no incentive to register companies on the stock market, given the hostile political environment toward capitalist improvements. There has been little private sector capital for infrastructure financing because of the long-term nature of the projects and the unstable macroeconomy. Generally, senior debt in bonds and bank loans is guaranteed by the project sponsors until completion. The Chávez government has preferred to maintain control over large infrastructure projects and has turned increasingly to foreign governments for infrastructure finance. Lack of macroeconomic stability and high political risk make the development of private infrastructure financing no longer feasible. </t>
  </si>
  <si>
    <t xml:space="preserve">Chile is similar to most countries in Latin America that have a unitary legal framework with very centralised government administration and structures. In transport infrastructure, energy and even water PPP services, the regulatory and granting agencies work in a centralised and co-ordinated fashion. Although most projects are in regions outside Santiago, the centralised agencies have been able to work through each territory to develop projects. Nevertheless, oversight capability at the regional level remains weak.  </t>
  </si>
  <si>
    <t xml:space="preserve">Regional and local governments have been authorised to concession the development of local roads, electricity distribution and water services. In water services, the Public Services Law 142 of 1994 established the possibility that public utilities could contract out the provision of a service to the private sector, either in an integrated way or as a segment of the service. A great variety of ownership structures exists under the responsibility of municipal governments, with some water services provided exclusively by the municipality and others providing fully privatised services. The decision criteria depend on technical and political considerations in each municipality, which are autonomous entities according to the Colombian constitution. 
Nevertheless, these decentralised structures are regulated through a centralised scheme. In effect, in the water sector the Comisión de Regulación de Agua Potable y Saneamiento Básico (CRA , the Water Standards Regulatory Commission) is in charge of regulating prices and quality of services and the body in charge of enforcement is the Superintendencia de Servicios Públicos (SSRA, Superintendency of Public Services). The granting agency is the municipality and the planning is carried out at a federal ministerial level. In 2006 a Vice Ministry of Water Services and Sanitation was created by law to take on sectoral planning responsibilities. Municipalities and regional departments may also grant concessions in the road-building industry with approvals from their corresponding legislatures; all of the functions of implementation and supervision are concentrated in the same decentralised body.
Except for a few big departments and municipalities, there are limited technical skills for project preparation at a subnational level. 
</t>
  </si>
  <si>
    <t xml:space="preserve">Costa Rica is a small country and the concessions in public works are implemented in a centralised manner. In Costa Rica there are no concessions in the water or transport sectors at a municipal level. Electrical generation projects have to be contracted out through the ICE. </t>
  </si>
  <si>
    <t xml:space="preserve">Public Purchase and Acquisition Law 360-06 permits municipal governments to grant concessions. Regardless of whether public subsidies, guarantees or state assets are committed, the concession must be authorised by Congress. This makes it extremely cumbersome for local government to become involved in such projects. Nevertheless, in the water sector, regional companies have been created with a political and centralised management structure, and there is some contracting of services with private providers. However, there is no experience of transport infrastructure concession at the municipal level.                   </t>
  </si>
  <si>
    <t>Regional governments had the possibility to use the 1993 State modernisation law to grant concessions for public services. Under this first framework, 12 concessions were granted in the transport and water sectors by regional governments. Nevertheless, with the change in constitution and Mr Correa's statist approach to economic management, new regional concessions are very unlikely. In part based on article 318 of the new constitution, there is now significant pressure from political groups to end the concession of water services to the private operator, Interagua.</t>
  </si>
  <si>
    <t>El Salvador does not have a concession framework law, and as a consequence each project must establish project regulations in the contract and must be approved by Congress. This makes it very difficult for local governments to begin concessions initiatives.</t>
  </si>
  <si>
    <t>Law 283 of 1998 authorises municipalities to grant concessions for local public works projects, including water services. Approval by two-thirds of the Municipal Council is required for granting any specific concession, making it politically very complex to use this scheme. Although municipalities were given the authority to award concessions for water distribution as per 2003 regulations, these services have remained in local government hands to date.</t>
  </si>
  <si>
    <t>Although under Jamaica's common law system municipalities are not required to obtain special permission to grant concessions, most infrastructure is owned and regulated by national entities. Therefore, no notable capabilities have been developed at that level of government, except for rural water and electricity projects (where there is more of a role for local governments to play).</t>
  </si>
  <si>
    <t>The concession law of 1997 for transport infrastructure only involves the central government. Water services are provided by ENACAL.</t>
  </si>
  <si>
    <t xml:space="preserve">Concession law applies to infrastructure managed by the Public Works Ministry. This legislation does not authorise municipalities to grant concessions. In Panama water services are provided by regional state-owned companies.       </t>
  </si>
  <si>
    <t>Concessions at a descentralised level have not yet been developed, and there exists very limited technical capacity at this level. Concessions Law No 1618 stipulates that government departments and municipalities can offer concessions and concessioned services once authorisation has been obtained by a departmental or municipal ordinance. Once the work is authorised, it can be put out for concession by executive decree. 
Popular opposition to the establishment of PPPs in water services has also made the development of PPPs at a municipal level difficult. The country will have to make progress in this area at the national level before making efforts at the descentralised level.</t>
  </si>
  <si>
    <t xml:space="preserve">The general framework for public works concessions introduced in 1996 applies to central government agencies like the Ministry of Transport. In the electricity industry as well, the scheme is fully centralised, whereas water and sanitary services are provides at a descentralised level. SUNASS has been created to supervise the operation of concessions in the sector (particularly service quality). There is an important concession in the water sector in Tumbes, and there are possibilities of expanding the system. The Ministry of Housing and Urban Works is developing the capacity to advise regional and municipal entities in this area. 
In 2008 a new regulation for promoting private investment in infrastructure at the local or regional level was developed. This was accomplished with the enactment of the Ley de Invertidos Regionales y Locales con Participación Privado (Law 29230, May 20th 2008). A private company or a group of companies that benefit from the improvement of public infrastructure could obtain a rebate from their corporate tax if the invest in the infrastructure. After two years, one project has been approved for an urban road. All the projects at the regional and local level require the technical advice of Proinversión. </t>
  </si>
  <si>
    <t xml:space="preserve">Although municipalities do not encounter any legal impediment to granting concessions, in practice the water, electricity and transport infrastructure are owned by NIDCO, WASA and T&amp;TEC. There have not been any concession initiatives in the transport sector at the city level.          </t>
  </si>
  <si>
    <t>Uruguay established a legal framework for public works concessions with Law No 15.637 in 1984. This complemented the Tocaf. This regulation also authorises municipalities to grant concessions in the transport infrastructure sector. Unsolicited initiatives can also be presented by private investors. The municipality of Montevideo is considering the first concession of an urban toll road in Italia Avenue</t>
  </si>
  <si>
    <t>According to Law No. 5394 of 1999, regions and municipalities were authorised to grant public work concessions (specifically for ports, roads and airports). To do this, they were obliged to create an entity that would be responsible for guiding and carrying out the concessions process. With the change in the Descentralisation Law in 2009, however, the government is taking back regions' and municipalities' right to concessions, and is even reverting concessions already granted by regions back to the central government.</t>
  </si>
  <si>
    <t xml:space="preserve">The Argentinean government, through the emergency economic law from 2001, froze water provision and sanitation prices for all, without targeting low income users specifically. This caused a crisis in which the sector did not have the necessary funds for investments. It is also one of the key factors behind the termination of numerous water concessions, although in some areas a social tariff was offered to target the poorest users. In most cases, these price reductions were financed through cross subsidies (where high charges to certain users “subsidise” low charges for others), rather than being directly financed by the state. 
In the case of transport, the government grants monthly subsidies to bus, train and toll-road operators in exchange for keeping prices stable. Out of a total of Ps16.15bn (around US$4bn) in subsidies in 2007, the government spent Ps4.2bn (or 26%) on transport alone; of this total, Ps2.3bn went to metropolitan rail and underground services. In the toll-road segment, Argentina has highly subsidised tolls;, they are one-third of toll levels in Chile and 40% of those in Brazil, which implies that the state must be financing at least 60% of service costs. Cross-subsidy schemes established in favour of cargo transport are also the norm. In the electricity industry prices were frozen for several years. In the last two years, prices have been gradually adjusted so that a higher subsidy is offered to consumers who use less than 300 kwh per month. However, this remains a very broad subsidy that expends significant resources on the middle class, rather than improving affordability for low-income users in a targeted way and ensuring funds for future investments. </t>
  </si>
  <si>
    <t>The availability of investment finance has long been restricted by tight monetary policy and high lending rates. After the global crunch, credit in Brazil is easing. Capital market innovation has suffered from weak transparency. Domestic capital markets are gradually deepening and competition between lenders is increasing. Even so, most local-currency loans are expensive and short-term. Subsidiaries of foreign multinational companies often rely on loans from headquarters or their foreign-based agents to support their local operations at lower costs. There are few restrictions on foreign firms gaining access to the Brazilian markets. The large private banks are well managed, capitalised and profitable, but exposed to government paper. Public banks, which increased credit aggressively during the downturn, stand to be affected by rising levels of non-performing loans (NPLs) should the recovery disappoint. The equity and corporate bond markets have strengthened and in the long term will offer alternative financing opportunities. (Economist Intelligence Unit, Risk Briefing, 2009.)</t>
  </si>
  <si>
    <t>The government has established a demand subsidy scheme focused on low-income families for the first 20 cu m of water consumption. The same was recently done for the electricity industry, when Law 20.040 of 2005 established an electricity subsidy for poor households. Under this scheme, any additional consumption beyond a set maximum level is charged at market prices, sending a scarcity signal to most service users. In the transport sector, tolls are structured in favour of interurban public transportation; cars pay more than buses (in relative terms) implying a cross subsidy. Law 20.378 established a subsidy for students on urban buses which have been refined to exclude higher income university students. Additionally, Chile has recently structured lease contracts for the development of public transport corridors in which the state subsidises urban public transport users through deferred payments to the concessionaire. Pollution and congestion problems, combined with the fact that these corridors are used by the poorest 40% of the population, means that this new development policy is well-focused.</t>
  </si>
  <si>
    <t xml:space="preserve">In the water and sanitation sector there are subsidised tariffs for all sections of the population, which makes the development of the system difficult from a financing perspective. The government also tends to use cross subsidies (where high charges are set above marginal cost levels for certain users to "subsidise" lower charges for others below the marginal cost of provision) and up-front subsidies (which are used to finance short-term investments meant to expand or improve existing infrastructure). In the electricity industry, there is a reduced tariff for all consumption up to 200 kwh per month, with a more expensive rate for additional consumption. This subsidy is not well focused on poor populations, as it provides a significant subsidy to middle- and high-income households. </t>
  </si>
  <si>
    <t xml:space="preserve">The government does not have targeted subsidies for water use based on economic need, but charges different rates for different sectors (households, business, government) and utilises a demand subsidy scheme based on volume of water consumed. After a base charge, rates increase based on volume (up to 40 cu m, households pay C334 or 65 US cents/cu m; between 41-60 cu m, households pay C439/cu m; for more than 60 cu m, households pay C794/cu m). The government sets rates based on projected costs and also to finance short-term investments for expanding or improving infrastructure. Toll roads generally charge higher rates to commercial trucks and buses and lower rates to family-sized cars. In response to the high cost of diesel in June 2008, Costa Rica reinstated a diesel subsidy targeted at inter-urban bus transport. </t>
  </si>
  <si>
    <t xml:space="preserve">Subsidy policies are not focused on basic services for lower-income brackets. Universal subsidies also exist in water service provision. In the electricity industry, most subsidies are offered to all. The magnitude of across-the-board subsidies has even created macroeconomic difficulties, increasing fiscal deficits. The government has started to reduce the magnitude of cross and direct subsidies in the electricity industry by focusing on consumption of less than 200 kwh. Although the subsidy is still quite broad, this is a step in the right direction. In 2010 the government is developing a voucher scheme to focus the electricity subsidy further. </t>
  </si>
  <si>
    <t xml:space="preserve">Long-term, local currency corporate bonds have yet to catch on in Honduras as a source of financing. To date, only a few private companies, mostly banks, have issued bonds on the securities exchanges. There were no corporate bond issues on the Bolsa Centroamericana de Valores (the national stock market) for the year to October 2009. As a result, it remains difficult to obtain longer-term capital in Honduras. Larger foreign firms tend to rely on parent-company financing for long-term needs. While pension reforms have established a voluntary system complementary to the state’s pension system, providing a potential pool of investment capital, the government traditionally relies heavily on funding from multilateral institutions or development banks to finance large infrastructure projects. </t>
  </si>
  <si>
    <t>Subsidies for basic services are general for all users, serving as an obstacle to cost recovery. This limits the advantages and likelihood of private participation, as tariffs are commonly set lower than the marginal development costs per user. This leads to significant project and government budget deficits, generating adverse macroeconomic outcomes and market distortions. Electricity subsidies have increased significantly across the board, placing a heavy burden on Ecuador's fiscal accounts. The subsidies are a result of the increased government interference in the market.</t>
  </si>
  <si>
    <t xml:space="preserve">The government still controls the prices of some goods and services, including liquefied propane gas, public transport and electricity. Government ministries also subsidise water services directly and establish the distribution-service tariff. In 2007, despite some street protests, the administration of Antonio Saca (2004-09) started pushing for the decentralisation of water services, opening the door for private sector administrators. However, these subsidies are not properly focused for target populations in the water and sanitation sector and tend to use cross-subsidy or short-term subsidy mechanisms. Subsidies are offered to a greater degree in consolidated urban areas, rather than in more impoverished ones. This means that subsidies inevitably lack focus on impoverished populations. In the electricity industry, tariffs are reduced for households with consumption of less than 300kwh. This high maximum cap allows the subsidy to apply to groups with the ability to pay for services. </t>
  </si>
  <si>
    <t xml:space="preserve">Guatemala has virtually no price controls, although it does subsidise three types of economic expenditures: energy for low-income families, public transport in Guatemala City and diesel fuel for lorries and buses. The Ministry of Energy and Mining (Ministerio de Energía y Minas) and the Instituto Nacional de Electrificación (National Institute for Electrification) set up a subsidy for poorer families who consume up to 300 kwh per month, which benefits around 2.1m households. Public transport in Guatemala City was also still being subsidised in May 2010, by means of a grant of Q30m (US$3.6m) per month, which goes directly to the private bus companies to maintain bus fares at about US$0.13.  Although the subsidies could be better focused, they have been essential in maintaining the political legitimacy of private provision models for infrastructure. </t>
  </si>
  <si>
    <t xml:space="preserve">After problems with a costly electricity industry subsidy scheme, a new law was passed in late March 2010 (Ley de Fortalecimiento de los Ingresos) to improve revenues generated by electricity services. From the 1st of June 2010 a sales tax will be imposed on consumption above 750 kwh and reductions to subsidies below 150 and from 150-500 will be made.   The new government has also given signals that it intends to eliminate the subsidy on gasoline and diesel prices. Nevertheless, tariffs in the water and sanitation sector remain too low to ensure the sustainability of services provided. </t>
  </si>
  <si>
    <t xml:space="preserve">The NWC assigns tariffs to urban users, but these barely cover operating costs; infrastructure investment costs are paid by the government. There is no coherent policy for recovering costs for offering subsidies to the poorest segments of the population. Cross-subsidies do exist, however, between the tourism sector and domestic and commercial users, as prices are higher and losses lower in the tourism sector. Operating deficits are even larger in rural areas, and in many instances national companies take responsibility for funding rural systems by increasing their deficits. Given such conditions, it is difficult to create private concessions, except in new tourism development areas, where there is more revenue potential. A proposed policy aimed at restructuring the sector and improving service management is still awaiting congressional approval. In the electricity industry, consumers with less than 100 kwh of energy consumption benefit from a cross-subsidy, which is considered a reasonable limit. </t>
  </si>
  <si>
    <t xml:space="preserve">In the electricity industry and water sector, those households with low levels of consumption pay lower prices, similar to other countries in the region. This has some limited correlation with poverty, but the government's subsidy policies need more focus and targeting of poor populations if they are to improve conditions for private sector participation. The absence of a pay-for-service culture and the lack of political will to enforce fees in Nicaragua render cost recovery difficult for private operators. In the electricity industry, consumption of less than 150 kwh per household is subsidised, which increases affordability for low-to-medium-income households. </t>
  </si>
  <si>
    <t xml:space="preserve">Road concession projects do not currently benefit from subsidies. However, a pilot project was undertaken in which only trucks are charged highway tolls and individuals' tolls are subsidised by the government. This could be extended to users of public transport. In the water and sanitation sector, subsidy schemes are across the board and do not focus on low-income groups. Revenue is insufficient to ensure the conservation of current infrastructure. In the electricity industry there is a subsidy for residential consumers using less than 500 kwh of power. This approach implies a poorly focused subsidy, since the limit on consumption is so high that realistically covers most of the population. </t>
  </si>
  <si>
    <t xml:space="preserve">ERSSAN sets water prices, which are the same in all urban areas of the country. These prices are heavily subsidised, which means that the national state provider, ESSAP, requires subsidies from the central government for investment. However, rural areas have a self-management scheme with self-financing. This structure implies that the poorer rural sector pays for water while the richest urban areas are subsidised by the state. Toll roads are low-priced by international standards and have a cross subsidy in favour of interurban buses. The government is now increasing the toll in order to enable financing for new projects (while still keeping the cross-subsidy on interurban buses). In the electricity industry, a broad subsidy is provided for all users consuming below 150 kwh per month. </t>
  </si>
  <si>
    <t xml:space="preserve">Currently, water service subsidies do not exist; residents pay for their usage level. People are used to pay-for-service schemes in the water and transport sectors. The only current transport-related subsidies are gasoline price reductions. In the energy sector the government heavily subsidises the price of gas, which implies an across-the-board subsidy for electricity generation that uses natural gas. </t>
  </si>
  <si>
    <t xml:space="preserve">Although Uruguay has eliminated most price controls, the executive branch continues to fix prices on certain basics, including milk, meat, fuels, transport (including bus fares, which are set by municipalities), electricity, and water supply and telephone services. The prices of water services charged by OSE do not permit the financing of investment necessary to reach population coverage levels intended by the government. The political context surrounding water provision since the constitutional modification has made it increasingly difficult to establish effective pricing regimes for cost recovery. Subsidies are generalised without focusing on low income groups, and, as a result, OSE has been forced to reduce its investment in system infrastructure in the past decade. Multiple cross-subsidies have made it difficult to judge the effectiveness of current operations. In the road sector, tolls are heavily subsidised; according to the CND, information total toll collection for the road network in the hands of CNV amounts to less than 50% of the investment and maintenance expenditure needed for the same network. Tolls are also set at the same level independently of the length and capacity of the road. This makes new investment financing very difficult. From February 2010 households with consumption lower than 100 kwh per month have automatically received a reduction of 50% in their monthly electricity bill. This is a broad subsidy that will leak significant resources to medium-income households. </t>
  </si>
  <si>
    <t>Subsidies are awarded for a series of basic services; electricity, public transport and gasoline subsidies are large for all users, severely distorting resource allocation in the country’s economy. In the case of water and sanitation, the law also allows the possibility of issuing subsidies. The government has on several occasions adjusted prices upward, but the measures have proved insufficient to meet market needs. Such subsidies have distorted the economy, leading to shortages and inflation. As of October 2009, there were price controls on more than 1,300 pharmaceutical goods, 500 food and personal hygiene products, telephone rates, petrol prices, natural gas and electricity rates, education and healthcare fees, public transport fees, intercity bus services, rubbish collection rates and funeral service costs. Decree 230 also gives the government the power to set maximum rates for the internal transport of people and goods. Public transportation companies are government-owned and internal government approval is required for fare increases. 
 In the case of water and sanitation, water tariffs remain frozen since 2003, as these are set by the state water company and its affiliates, and require presidential approval for any change. In certain poor areas and slums the population is not charged for water provision; however, this free service reportedly operates on a highly infrequent basis.</t>
  </si>
  <si>
    <t xml:space="preserve">Argentina's regions have a respectable degree of autonomy for awarding water concessions and have shown varied, although only occasionally better, performance for this metric than at the federal level. In 2005 specific conditions in water sector contracts were established mostly through negotiation of the economic and technical project elements directly with the municipalities and state officials responsible for the process. Provinces like Buenos Aires Federal District, Neuquén, Mendoza and Santa Fe have tried to use PPP schemes to develop investment by private sector using the "Fideicomisos" Law , but the federal government has blocked many of these initiatives. </t>
  </si>
  <si>
    <t xml:space="preserve">A 2007 reform of the water sector (National Water Resource Policy, Law 9.433), gave responsibility for water services to municipalities, but the involvement of private capital to date has been very limited. State and municipal governments are also responsible for metropolitan, urban and state road projects; the involvement of state government with PPP transport projects has been more common. The most active states have been Minas Gerais, Sao Paulo and Bahia. 
Fifteen states and metropolitan authorities have established their own PPP legislation. Individual state frameworks cannot contradict or override federal legislation, however. Project oversight is in some cases the responsibility of state regulators and in others of the state or municipal granting agency. The institutional framework varies for each state, creating a heterogeneous environment for state-level projects. Sectoral ministries co-ordinate both project planning and preparation tasks, supervising all project stages. Given that state projects represent two-thirds of the investment and that the federal-level institutional design is superior, the transferring of federal design principles to lower levels of government is much needed. </t>
  </si>
  <si>
    <t>A period of consolidation, restructuring and legislative reform in the aftermath of the financial crisis in the mid-1990s has strengthened the sector, but Jamaica is now in deep recession and on the brink of default, which has created a highly charged political environment and a difficult context for long-term finance as interest rates continue to rise. The debt market consists mostly of government issues and foreign issues by other Caribbean governments. There are no local-currency-denominated products to mitigate project finance risk. There is also ample room for deepening the shallow capital market, which currently does not provide much scope for project financing by large foreign investors. Nonetheless, the MIGA guarantee awarded for a Kingston water project in 2010 could help lure some international investments.</t>
  </si>
  <si>
    <t>Capital markets are underdeveloped in Nicaragua. Private sources offer only limited types of longer-term credit that is generally scarce and expensive, and medium-term finance options are also limited. Although the new Ley de Promoción de Inversiones Extranjeras-No. 344 approved in April 2000 lifted a previous restriction on foreign companies accessing local financing for medium- and long-term loans, the limited availability of such financing has meant that foreign firms meet their longer-term capital needs either through self-financing or from sources abroad. As of November, there had been no corporate bond issues on the Nicaraguan Bolsa de Valores de Nicaragua (the Nicaraguan stock market) in 2009 . Non-bank financial institutions (NBFIs) and institutional investors are few; Nicaragua's insurance market remains small and centred on property and casualty coverage. The pension fund industry is mostly limited to the state-owned Nicaraguan Social Security Institute, despite government attempts to open the industry to private investment. Infrastructure projects are generally executed and financed by the public sector, with funds from multilateral financial institutions. Private sector management of existing infrastructure has been arranged with concessions, rental payments and investment agreements.</t>
  </si>
  <si>
    <t xml:space="preserve">Except for mortgages, the main sources of long-term financing (maturity terms of more than five years) are the development banks, whose supply of credit is limited to the lines they obtain from international official lending institutions. As a result, this type of lending is rare in Panama. Major commercial banks hesitate to offer credit for three years or more, but some of them issue long-term paper through the stock exchange and then lend the proceeds to their customers for up to five years. Companies seeking long-term capital tend to turn to bond issues on the Bolsa de Valores de Panamá (BVP, the Panama stock exchange). These range in maturity from six months to 15 years or more, but generally extend from one to five years. However, the pension industry remains small; there are only three major private-fund administrators in addition to the state-owned social security institute.
Developers of important infrastructure projects—such as toll roads, railways and port facilities—seek financing on international markets through Eurobonds and credits from multilateral agencies, although some syndicated loans have been constituted locally for port expansion. Syndicated loans tend to be registered abroad to avoid paying a 1% tax levied on all consumer and commercial loans. Several domestic banks, for example, participated in syndicated loans (registered abroad) to finance private participation in the local telecommunications sector and electricity industry after both were privatised. Other infrastructure projects, such as the building of the northern or southern corridor toll roads in the capital city, have had to seek foreign financing. Expansion of the Panama Canal is being financed by loans from the European Investment Bank (US$500m), the Japanese International Co-operation Bank (US$800m), the Inter-American Development Bank (IDB, US$400m) the IFC (US$300m) and the Corporación Andina de Fomento (CAF, US$300m). 
</t>
  </si>
  <si>
    <t xml:space="preserve">Capital markets are underdeveloped and banks are currently experiencing excess liquidity as they lack institutionally backed instruments to make the money available to the productive sectors. Paraguay has not implemented pension reforms as have other Latin American countries; therefore, the size of the assets managed by private institutional investors is very small. Government bonds have a short history since being launched on the market in 2005 at a value of US$167m. Companies generally protect themselves against risk through reputable international reinsurance firms. The Ministry of Public Works, however, duplicated its infrastructure investment in 2009 from the year before and has been working on a diagnostic study supported by the Inter-American Development Bank (IADB) to improve internal efficiencies. This effort may translate into better project management and more investments. </t>
  </si>
  <si>
    <t>Peru's capital markets have deepened in recent years as the economy has stabilised, the local currency has strengthened, and investor confidence in local markets has risen. Bank credit remains the primary source of domestic financing for the private sector. Firms can issue bonds in local or foreign currency. Long-term debt financing in local currency is becoming more readily available in the domestic market, as the economy is de-dollarised. Institutional investors, such as insurance companies and pension funds, increasingly participate in the secondary markets by investing in state and private assets. Other longer-term bond-funding sources include multilateral institutions. Interest rate and exchange rate hedging instruments are slowly developing.</t>
  </si>
  <si>
    <t xml:space="preserve">Trinidad and Tobago has well-developed capital markets. A full range of credit instruments is available to the private sector, including a small, but well-developed stock market. There are no restrictions on borrowing by foreign investors. However, local credit is expensive by US standards, owing to high commercial bank reserve requirements. Many commercial banks are foreign-owned, and performance bonds and insurance products are available through foreign sources. The currency has a managed float, and although there are few hedging instruments, forward contracts are available. Although local banks might offer interest rate swaps, they are not available or used in any significant capacity. Infrastructure improvement is one of the government's budget priorities, although late-2008 budget cuts, driven by falling export levels, have delayed the start of many new projects. As a remedy, the Ministry of Finance signed an agreement with the Corporación Andina de Fomento (CAF, the Andean Development Corporation) in April 2009 that will allow access to debt and equity financing for PPP projects in water, power and transport, while also supporting the deepening of domestic capital markets. </t>
  </si>
  <si>
    <t xml:space="preserve">The Mexican corporate bond market still remains underdeveloped and is limited to Mexico’s top-tier companies, as investors still prefer safe investments, such as government issues. The corporate bond market issued Ps166.6bn (around US$13bn) in 2008, compared to Ps165bn in 2007, despite the volatility in global financial markets. Debentures and medium-term notes remain the most popular options, owing to their flexibility (they can be either dollar- or peso-denominated). The Comisión Nacional Bancaria y de Valores (CNBV, the National Banking and Securities Commission), oversees these instruments. Interest rates may be fixed or variable, and the bonds may be indexed to the dollar or denominated in pesos or inflation-indexed units. The instruments are often unsecured, although they may enjoy a guarantee from a parent company or the endorsement of a trust or credit institution. In 2007 the financing for a 30-year PPP package of toll roads totaling a distance of 550 km across four states was carried out entirely in Mexican pesos. 
While the corporate debt market remains small relative to the size of the Mexican economy, a major driver on the buy side has been a loosening in March 2008 of regulations governing investments by Sociedades de Inversión Especializadas en Fondos para el Retiro (Siefores, pension funds). The government’s diverse initiatives to spur growth and employment in 2008 have eased restrictions on the pension fund system’s investments in corporate debt and equity, as well as in infrastructure and real estate. This has provided extra funds for infrastructure projects, and investment in FONADIN will also be boosted by US$9.6bn over the next three years through offering a mix of subordinated debt guarantees and subsidies. The administration of Mr Calderón is pushing for significant legal reform to provide guaranteed multi-year financing for infrastructure projects and to support the role of the private sector in such ventures. Exchange-rate risk hedging instruments are available through large commercial banks, but these are largely short-term. While robust compared with other regional markets, Mexico’s derivatives have been hit hard by the international financial crisis owing to increased risk aversion. Completion risk markets remain underdeveloped.
</t>
  </si>
  <si>
    <t>The government pursues broadly orthodox fiscal and monetary policies. The low tax take is a major problem, with reforms needed to address structural weaknesses in the public finances and broaden the tax base, but given the government's weak position in Congress and strong opposition from the private sector any meaningful reform is unlikely under Mr Colom. Debt levels are relatively low, but failure to strengthen the fiscal position could lead to a long-term deterioration, compounding the country's other imbalances and hindering government efforts to raise social spending. Only a moderate recovery is forecast in 2010-11, insufficient to satisfy the country's development needs. Although lower inflation is helping to reduce pressure on real disposable income, consumption will remain weak owing to tight access to credit and lower remittances from abroad. Weaker foreign-exchange inflows will maintain downward pressure on the currency, and we expect the Banco Central de Guatemala (Banguat, the Central Bank) to control a gradual depreciation of the currency. (Economist Intelligence Unit, Risk Briefing, March 2010.)</t>
  </si>
  <si>
    <t xml:space="preserve">El Salvador has a developed capital market by Central American standards, housing an institutional investment market for corporate debt instruments that are normally traded on the local capital markets. The size of the funds accumulated in pension funds, annuities and other investment vehicles is around 30% of GDP. El Salvador was one of the first countries in the region to develop private pension funds and a linked annuities market for pensions. There is also a market for primary issues of corporate debt; other Central American issuers not located in the country have floated issues in El Salvador owing to the relative depth of the market. However, the domestic capital market is not involved in project financing. The main issuer in this market is the state and the banking sector. El Salvador's public sector Banco Multisectorial de Inversiones (BMI) provides medium- and long-term credits through commercial and development banks. It tends to target the economy's strongest sectors. BMI gives preference to projects proposed by the private sector that are to be executed within national territory, preferably to companies whose production is destined for the foreign market and does not involve any adverse environmental impact. </t>
  </si>
  <si>
    <t>With the recession having underscored the consequences of a failure to advance structural reform, despite an improving near-term growth outlook, Mexico remains some way from regaining the B rating for sovereign risk that it lost in early 2009. Economic output is not expected to return to pre-crisis levels until 2011 and the risk of exchange-rate volatility will rise in 2011 as declining oil production combines with falling oil prices and a tightening of global liquidity. The authorities face the challenge of containing rising inflationary pressures, fuelled by weaker currency fundamentals, without suffocating the economic recovery. Efforts to diversify exports will continue, but Mexico's economic fortunes will remain closely tied to the US for the foreseeable future. Although a conservative fiscal and monetary stance will help Mexico secure further international financial assistance in the event of renewed economic instability, a lack of reforms to diversify fiscal revenue will sustain Mexico's vulnerability to external shocks. (Economist Intelligence Unit, Risk Briefing, March 2010.)</t>
  </si>
  <si>
    <t>After growing by an average of 3.6% in 2005-08, GDP contracted by 1.3% in 2009 as a result of the fallout from the international crisis combined with receding confidence in the Ortega government. As international conditions improve and export and private consumption increase, the economy will recover by a modest 1.9% in 2010. Growth in the US, Nicaragua's main trading partner, source of investment and home to most of its expatriate workers, is expected to slow in 2011, hindering Nicaragua's recovery. The economy will grow by only 1.8% in 2011, with total output only slightly higher than in pre-crisis levels. After falling sharply in 2009, inflation will increase gradually as food and fuel prices rise, but it will remain moderate in 2010-11. (Economist Intelligence Unit, Risk Briefing, April 2010.)</t>
  </si>
  <si>
    <t>Macroeconomic indicators improved after 2003, when the previous administration adopted a fiscal reform programme under the supervision of the IMF. The Lugo government has maintained orthodox macroeconomic policies and secured additional multilateral lending for countercyclical stimulus, which is supporting economic recovery from the 2009 recession. Macroeconomic risk is fuelled by structural vulnerabilities. Black market activities, such as smuggling, represent a substantial share of economic output. Reliance on agriculture and royalties from the bi-national hydroelectricity projects at Itaipú and Yacyretá (with Brazil and Argentina, respectively) is substantial. This increases vulnerability to external shocks, such as the 2009 global recession, which caused a significant drop in commodity prices, and adverse weather, which hit agriculture last year. Inefficient publicly owned companies limit the capacity for fiscal adjustment, but privatisation will be resisted by political forces and vested interest groups. (Economist Intelligence Unit, Risk Briefing, April 2010.)</t>
  </si>
  <si>
    <t>The stability of macroeconomic variables is a key strength of Peru's operating environment. Conservative fiscal and monetary policies have afforded two decades of price and currency stability. Substantial fiscal savings and links with rapidly growing Asian markets also helped Peru to escape recession in 2009 and an increasingly diverse export sector and trading partners will limit the economy's exposure to a projected fall-back in growth in the US in 2011. Its solid financial position means that the public sector places few demands on the domestic financial markets. Even so, credit markets remain relatively shallow. Prudent monetary and fiscal policies and strong reserves coverage underpin the currency, but the Nuevo Sol remains vulnerable to swings in prices of export commodities. Currency volatility could be more of a risk as international liquidity tightens from late 2010. Peru's stellar macroeconomic indicators belie acute income inequalities, widespread poverty and poor social indicators, especially in rural areas. (Economist Intelligence Unit, Risk Briefing, March 2010.)</t>
  </si>
  <si>
    <t>The government's long-term aim is to position the country as a global and regional logistics hub, which will require significant investment in infrastructure and sanitation. Given fiscal constraints, the plan envisages a major role for PPPs to finance investment. However, implementation is slow, as heavy bureaucracy delays the disbursement of public funds. Regulatory constraints also hinder PPPs, as there is little legislation in place to govern concession partners. A lower score for electricity reflects the fact that the electricity industry is state-run. Private funds do come in via Proyectos de Inversión Diferida En El Registro del Gasto (Pidregas, official investment projects), but as risk is underwritten by the state, it is not defined as private investment.</t>
  </si>
  <si>
    <t xml:space="preserve">Private companies may issue bonds or commercial paper (CP) in the local stock market, but the securities market is small and the corporate sector can only float short-to-medium-term issues. The main underwriters in the CP market include some of the largest local banks, such as Banco del Pichincha. In the January–October 2009 period, US$30.99m in such paper was traded on the Bolsa de Valores de Quito, the capital’s stock exchange, compared with US$59.73m during all of 2008. In the January-October 2009 period, companies had issued US$18.5m in commercial paper, up from US$17.25m during the same period a year earlier. 
The main source of corporate financing in Ecuador is the commercial banking system. The Ecuadorian market is dollarised, reducing exchange rate risk, and banks provide domestic corporate loans of up to ten years. Institutional investors, such as insurance firms, have minimal involvement in the long-term debt market in Ecuador. The government regularly intervenes in the credit market with regulations on interest rates and interest rate margins per sector. Increasing government intervention in the private sector has greatly reduced interest on the part of foreign investors, as well as availability of financing for projects in Ecuador. Banks and other financial institutions authorised to conduct foreign exchange transactions may conduct forward swaps and options, and transactions in other financial-derivative instruments, subject to the supervision and control of the Superintendencia de Bancos y Seguros (SBS, Superintendency of Banks and Insurance).
</t>
  </si>
  <si>
    <t>Macroeconomic risk has remained elevated since the global financial crisis began in October 2008, but will ease in 2010-11 as global growth recovers. Plunging global energy prices led the economy to contract by an estimated 3.5% in 2009, the first recession since 1992. In 2010 growth is forecast to pick up slightly (to 2%), as energy prices rise and US import demand remains weak. Growth of government consumption will pick up in 2010. After contracting in 2009, fixed investment will begin to pick up by 2011. Following a real contraction in 2009, overall export volume growth will rise in 2010-11. With inflation having remained relatively high until late 2009 and credit shrinking, private consumption contracted in 2009; it will return to a positive growth trend during the outlook period, but will remain weak compared with recent years. Following a contraction in 2009, a modest recovery in investment and a recovery of consumption will prompt real imports to rise in 2010-11. (Economist Intelligence Unit, Risk Briefing, March 2010.)</t>
  </si>
  <si>
    <t>Although there is political will to engage in transport infrastructure concessions, shown both by the past and present governments of the ruling Frente Amplio coalition, there is no incentive to push for concessions in areas such as water and electricity. There is a general consensus among the public that utilities should be in the hands of the state and there are consequently very few opportunities for PPPs (they are outright forbidden in the water and sanitation sector). Electricity is also in the hands of a state-owned enterprise, which can choose to establish associations with private companies to install generating plants, although this is not particularly widespread. There is political will to push airport concessions and Mr Mujica has signalled that he will prioritise concessions in roads, railways and the second terminal of the Montevideo port. Significant delays can be expected.</t>
  </si>
  <si>
    <t>Although the government engages with the private sector in some areas, it does so by contracting specific projects and is not interested in public-private partnerships (PPPs). Investment is therefore largely financed with public funds, with little involvement from private investors. Weak contractual stability (the government has frequently reneged on agreements with private partners) serves as an added disincentive for investors. Water and sanitation is run exclusively by the public sector.</t>
  </si>
  <si>
    <t>Until recently, the government held significant debt to various concessionaries owing to obligations from renegotiation procedures following the 2001 economic crisis. Private operators forced to submit disputes to international arbitration to obtain payment have since been compensated by government-issued bonds. The risk of non-payment could also subside significantly should the government successfully complete negotiations on an agreement with the remaining hold-outs from its 2005 debt swap and regain access to international capital markets. A pioneering national-level PPP scheme devised in 2000 never came to fruition for political reasons, but now the legislature of the capital, Buenos Aires, is reviewing its first PPP proposal, to be funded by traditional budgetary money along with a specially devised trust; however Argentina has not received a Multilateral Investment Guarantee Agency (MIGA) guarantee in the past five years. The Economist Intelligence Unit assigned the country a sovereign debt risk rating of CCC in April 2010.</t>
  </si>
  <si>
    <t>The government has a good track record for meeting payment obligations to concessionaires in a timely manner. Brazil's 2004 PPP law created the Fundo Garantidor de Parcerias Público-Privadas (PPP Guarantee Fund) to secure the federal government's obligations to PPP projects. However, payments at the state and municipal levels are not guaranteed. The government's fiscal balance is strained by high spending; nevertheless, as a net creditor in the international capital markets and given its high level of international reserves, the government is positioned to meet its payment obligations to concessionaires. As of May 2010, numerous projects in the electricity industry had received a Multilateral Investment Guarantee Agency (MIGA) guarantee since 2006; four additional projects have been proposed and are currently being considered. The country's sovereign risk is rated at BB by the Economist Intelligence Unit at May 2010, unchanged from the rating before the deepening of the financial crisis in mid-2008.</t>
  </si>
  <si>
    <t>The state continues to meet its obligations to contractors; the latter may obtain bank financing with payment commitments issued by the Concessions Co-ordinating Office of the Ministry of Public Works and ratified by the Ministry of the Treasury. The Economist Intelligence Unit's assigned the country a sovereign debt risk rating of A in April 2010.</t>
  </si>
  <si>
    <t>The government has complied with its obligation to pay contractors, although concessionaires report that payment has been delayed in certain cases. Colombia has not been awarded a Multilateral Investment Guarantee Agency (MIGA) guarantee since 2001. The Economist Intelligence Unit assigned the country a sovereign debt risk rating of BB in April 2010.</t>
  </si>
  <si>
    <t>Costa Rica has a solid record of fulfilling its financial obligations toward concessionaires. In 2008 the Multilateral Investment Guarantee Agency (MIGA) issued US$158.5m in guarantees for the development of a toll road, the 77.5km San Jose-Caldera highway. The debt will be covered for up to 18 years against the risks of transfer restriction, expropriation, war and civil disturbance, and breach of contract. The Economist Intelligence Unit assigned the country a sovereign debt risk rating of BB in April 2010.</t>
  </si>
  <si>
    <t xml:space="preserve">The Economist Intelligence Unit assigned the country a sovereign debt risk rating of B in May 2010, upgraded from CCC in March 2010. The conclusion of a new 28-month IMF stand-by arrangement will also support the country’s creditworthiness at the same time as having a positive impact on policymaking and bolstering the exchange rate and reserves levels. These improvements are seen as important ones, given the country's prior resistance to paying obligations to concessionaires, contractors and suppliers, and a simultaneous increase in public debt (public debt as a percentage of GDP increased from 32.5% in 2007 to 41.6% in 2009). 
The country has also partnered with MIGA. In 2006 MIGA provided US$107.6 million in political risk insurance for the development of a toll road. The 30-year concession—the country’s first-ever highway licence—was awarded to Autopistas del Nordeste in 1999. More recently, in 2008 investors in the rehabilitation and extension of a toll road in the country, Grodco S.C.A (Colombia), have applied for a MIGA guarantee of US$15m .
</t>
  </si>
  <si>
    <t>A trend toward non-compliance with contractual agreements between the state and private operators has continued since 2008. The cancellation of Occidental Petroleum Company's contract in May 2006 was followed by the expulsion of a Brazilian construction company, Norberto Odebrecht, in October 2008. More recently, in July 2009 the government seized the Ecuadorean assets of a French company, Perenco, upon the government's attempts to claim unpaid windfall taxes. Ecuador's recent withdrawal from the ICSID will make compensation difficult to obtain, and international companies frequently complain of a lack of judicial and contractual security in the business environment, especially regarding contracts with the government. Contractual terms frequently change, as the turnover rate within government positions is high and changes with each new administration. As of May 2010 the country has partnered several times with the World Bank Group's Multilateral Investment Guarantee Agency (MIGA). In 2007 MIGA provided a US$102.6m guarantee for the development of a 150-mw barge power project in Guayaquil. The Economist Intelligence Unit assigned the country a sovereign debt risk rating of CCC in April 2010.</t>
  </si>
  <si>
    <t>In general, the federal government has a good track record and fulfils its obligations to PPP projects in a timely manner. In Mexico, the Fideicomiso is considered to be a separate entity managed by a bank trust, to which the government must anticipate the payment of a proportion of future subsidies. This scheme has drastically reduced illiquidity problems for federal and subnational entities. Although the record is more mixed on a subnational level, it has been improving recently, according to informants. The effects of the global crisis are likely to hurt government financing, but could make PPPs more attractive as strained budgets are diverted toward shorter-term needs and the government draws more on the private sector for long-term infrastructure projects. Indeed, the president sent draft legislation to bolster PPPs to the Senate (the upper house) in November 2009. The Economist Intelligence Unit's sovereign debt risk rating for the country was BB in April 2010.</t>
  </si>
  <si>
    <t xml:space="preserve">The Economist Intelligence Unit assigned a sovereign debt risk rating of CC in April 2010, unchanged from February 2009. Nicaragua's rating is constrained by a large public debt stock (despite huge debt relief) and low income levels. A recession-driven revenue shortfall (of 0.8% of GDP) has widened the fiscal deficit to 2.3% of GDP in 2009 and Nicaragua's already large public debt burden has risen to 65.6% of GDP, far above the median for heavily indebted poor countries (HIPC) of 28.6%. Institutional weaknesses persist in fiscal management, which tends to be highly politicised and where the executive is given significant leeway to increase expenditure. Given its thin local capital markets and restricted access to voluntary international finance, Nicaragua remains dependent on multilateral loans and bilateral aid to finance its deficits. The Multilateral Investment Guarantee Agency (MIGA) has not insured the equity investment of projects in the water or transport sectors or the electricity industry since 2002. </t>
  </si>
  <si>
    <t>Panama's government has a fairly good record of meeting obligations to its debt holders. Law 20 of May 2002 modified the use of Panama's Development Trust Fund (Fondo Fiduciario para el Desarrollo) and allowed the use of the proceeds from privatisations as payment for specific public works, in particular the Pan-American Highway. No Multilateral Investment Guarantee Agency (MIGA) guarantees have been implemented in the electricity industry or the water or transport sectors to date. The Economist Intelligence upgraded Panama's sovereign debt risk rating to  BBB in April, following better-than-expected fiscal and GDP growth results in 2009. Annual GDP growth rates averaging 4.2% in 2010-11 and tax reforms will help to consolidate the public finances in the medium term, although the public debt/GDP ratio will rise mildly in 2010 owing to sustained public investment. Panama's relatively high public debt/GDP ratio (of 45%) is mitigated by good access to financing.</t>
  </si>
  <si>
    <t xml:space="preserve">Risk of government non-compliance, or late fulfilment of financial obligations to concession projects, is moderate. Improvements, however, can be expected as government infrastructure plans now emphasise co-operation with the private sector, international standards and financial transparency (as detailed in the Ministry of Public Works' "New Strategic Infrastructure Plan 2008-2013"). Paraguay received a sovereign debt risk rating of B from the Economist Intelligence Unit in April 2010. </t>
  </si>
  <si>
    <t xml:space="preserve">Political support for PPPs in the water sector fell sharply following an unsuccessful PPP Interim Operating Agreement (IOA) for WASA in 1996-99, which resulted in little tangible improvement in service quality and has since been used widely by opponents of water privatisation as a reason not to attempt another such arrangement. The contract was allowed to lapse and was not renewed. Water and sewer services have been under public control since 1999, but with increasing corruption allegations being made against WASA management, there is a strong likelihood that the government will seek a new PPP arrangement that would cover the Authority's management. Nevertheless, the government of is working with multilateral agencies to create favourable conditions for such projects. Several new desalination plants are being planned under a PPP scheme contracted by WASA. NIDCO is also preparing several toll road projects for PPP agreements. Nevertheless, progress in this area remains uncertain and opposition from unions is likely.
There is political consensus surrounding the need to engage private partners through PPPs in the electricity industry, but implementation is slow, partly as a result of a reluctance to repeat past mistakes with similar arrangements (which have not produced stellar results). Previous attempts have failed to transform T&amp;TEC into a viable self-sufficient entity. 
There is also political consensus to expand the number of PPPs in transport infrastructure projects, as this features prominently in Vision 2020. Ongoing projects include a light rail system and extensive highway construction. Progress has been very slow, however, and there have been corruption scandals concerning construction contracts in recent years. </t>
  </si>
  <si>
    <t>The decision by the Supreme Court to allow Mr Ortega, whose party controls just 38 of 92 deputies in the National Assembly, to run for re-election in 2011, has heightened political tensions and changed the political outlook. The legality of the decision has been strongly criticised by a number of commentators, leading to a rise in social unrest. As Mr Ortega will now focus his efforts in securing his re-election in 2011, the opposition will seek to unite against him. Under this scenario, clashes between pro- and anti-government supporters are set to rise. Legislative activity and policy implementation will be hindered and progress on judicial and political reforms will come to a halt. Political institutions will remain corrupt and weak.
Nicaraguan politics is plagued by corruption and nepotism, and the inefficiencies these generate. It is reflected in the arbitrary judicial system, largely controlled and abused by the FSLN and PLC, and is perpetuated by the poor pay and incentives for the civil service. Enrique Bolaños (2002-07) was the first president to crack down on corruption—the conviction of Arnoldo Alemán (1997-2002) in 2003 represented an important victory. But Mr Bolaños's aim to dismantle the political pact in place between the PLC and the FSLN since 2000 failed, as it would have hurt the vested interests of both parties. Donors and international organisations are bringing some pressure to bear, but based on Mr Ortega's track record in the past two years, it is clear he will not make any effort to depoliticise state institutions during his presidency. (Economist Intelligence Unit, Risk Briefing, April 2010.)</t>
  </si>
  <si>
    <t>Although there is little danger that an opposition victory in general elections would result in a major shift in policy orientation, the political environment is volatile, and much opposition to the government is channelled into extra-parliamentary protests by highly mobilised groups. This can make for a volatile environment in some parts of the country. Since a constitutional crisis in 2000 following the flight from office of former president, Alberto Fujimori (1990-2000), transitions between elected governments have been smooth, but the shallow roots of Peru's democracy are evident in the persistently widespread popularity of radical anti-system politicians. Moreover, governments struggle to forge stable congressional majorities. The discredit of mainstream politicians and the weakness of institutions are contributory factors to a high level of social conflict. The armed forces do not pose a threat to stability.
Although enshrined in the constitution, there is no consensus on economic policy across the full political spectrum, making a change in policy orientation a possibility with every change in government, increasing unpredictability and reducing effectiveness. Economic policy will be inconsistent at times, with the government occasionally forced to dilute its orthodox aims with populist measures to satisfy Congress and quell unrest. Efforts to reduce bureaucracy have been minimal and decentralisation policies in the last decade have done little to contribute to a more effective administration. Corruption will remain an issue, particularly within the judiciary. (Economist Intelligence Unit, Risk Briefing, March 2010.)</t>
  </si>
  <si>
    <t>Trinidad and Tobago has a long history of democratic government and a stable, multi-party system, but politics is racially polarised; the ruling People’s National Movement (PNM) is generally supported by those of African descent, while the opposition parties, the United National Congress (UNC) and the Congress of the People (COP), tend to depend on the Indian vote. Despite these deep divisions, there is little difference in terms of policy orientation, which is generally business-friendly. At the last general election, held in November 2007, the PNM was returned to office for another term. Despite its victory at the polls, the PNM failed to win the two-thirds parliamentary majority needed to reform the country's constitution. In practice, the judiciary has demonstrated its independence on a number of occasions, but frequent clashes with the executive have undermined public confidence in the country’s institutions.
Government effectiveness is hampered by the ruling party's simple majority in parliament. While this will allow it to push through much of its legislative programme during the outlook period, it will lack the two-thirds majority necessary for reforms to the country’s constitution, hampering efforts to pass much-needed security legislation. Although policy administration is reasonably effective in most areas, serious concerns about corruption and mismanagement erode government effectiveness. Corruption is widespread at all levels and bureaucratic procedures delay court proceedings, reducing the accountability of public officials. Public pressure for the government to review procedures for public procurement and to improve the legal framework are likely to result in some progress in the outlook period, but the system of checks and balances is likely to remain insufficient to significantly reduce corruption. (Economist Intelligence Unit, Risk Briefing, March 2010.)</t>
  </si>
  <si>
    <t>The president, José Mujica, will encourage political stability by steering a centrist course through his five-year mandate. The continuation of a largely orthodox economic policy, along with substantial social support, will place him in the centre of the political spectrum. Uruguay's institutions provide checks and balances to executive power, limiting radical changes in policy affecting business. Elections are free and fair, and apart from the period of military rule (1973-85), Uruguay has a good record of stable democracy. The armed forces are politically weak and the abuses committed during that period are being investigated, with a view to closing that chapter of Uruguayan history. In his first month in office, Mr Mujica, a former Tupamaro guerrilla who spent over a decade in military custody, made clear his conciliatory approach toward the armed forces.
The government will pursue open, pro-business policies in order to attract foreign investment in key sectors, such as agriculture and forestry. Maintaining and potentially expanding the existing benefits of Uruguay's investment regime will also be necessary to attract private capital –both foreign and domestic– for a variety of projects in infrastructure improvement at the top of the president's agenda. However, government effectiveness will be constrained by a bloated public sector, which avoided the privatisation wave that hit most of Latin America in the 1990s. Although there is widespread consensus among political parties and the general public, a reform to improve the quality of the largely inefficient bureaucracy and reduce red tape has been postponed for a number of years. Although corruption among public officials is limited in Uruguay, the appointment and career structure of civil servants is a generally opaque process. Strong public sector unions limit the scope of action of government reform. (Economist Intelligence Unit, Risk Briefing, April 2010.)</t>
  </si>
  <si>
    <t>Although a rebound of growth is expected in 2010, partly reflecting a recovery in the important agriculture sector after a drought-affected 2009, policy stimulus is stoking inflationary pressures, which, combined with the likelihood of further confidence-sapping populist policies and heightened risk of political instability in the run-up to next year's presidential election, means fixed investment will remain below potential and growth is likely to slow again in 2011. A sustainable increase in potential growth will not come until the medium term, on the assumption that a more business-friendly administration comes to power and begins to address long-standing legal and regulatory problems. In the meantime, the risks to growth stemming from heterodox policymaking and political confrontation will remain high. Policymakers will seek a weaker real exchange rate, as export competitiveness has been eroded, but managing the process without overshooting will prove challenging. (Economist Intelligence Unit, Risk Briefing, March 2010.)</t>
  </si>
  <si>
    <t>Improved policies have stabilised macroeconomic variables and reduced Brazil's vulnerability to external shocks. Adherence to an inflation-targeting regime has been instrumental in stabilising prices. Greater stability and deepening credit markets lay the basis for a broadening of growth, which has resumed after Brazil's 2008/09 recession, and should reach 5.5% in 2010 before decelerating in 2011 amid weaker external demand. The current-account deficit will widen to 3% of GDP as imports rise, making Brazil more vulnerable to sudden stops in capital flows. A large cushion of foreign reserves helps to contain currency overshooting, although the elections may cause some volatility. Still high, albeit declining, lending interest rates, mainly reflecting a still-large public sector borrowing requirement, will continue to constrain investment. Proceeds from recent oil finds, once these come on-tap in the next five years, pose challenges for budget and macroeconomic management. (Economist Intelligence Unit, Risk Briefing, April 2010.)</t>
  </si>
  <si>
    <t xml:space="preserve">The Economist Intelligence Unit's sovereign risk rating for Jamaica was CC in April 2010. A domestic debt swap in January has reduced debt-service due and hence eased pressure on public finances; it has also unlocked access to funds from the IMF (including a 27-month, US$1.3bn front-loaded standby arrangement) and other multilateral creditors. Even after factoring in this progress, Jamaica's solvency ratios will remain critically high, and there is a risk that the demanding targets under the IMF programme will prove unattainable, weighing on creditworthiness. The country's massive external debt burden also remains a serious vulnerability.
A US$145m guarantee from the Multilateral Investment Guarantee Agency (MIGA) has been proposed to insure the Jamaica Water Supply Improvement Project for fiscal year 2010, which, if granted, would buffer them against risk of government non-payment. 
</t>
  </si>
  <si>
    <t>Dollarisation in 2000 has mostly brought inflation down to developed-country levels, but the failure to advance structural reforms has also exposed an underlying lack of competitiveness. High dependence on oil revenue, in particular to finance fiscal needs, increases the economy's vulnerability to external shocks and threatens dollarisation in the medium term. We still expect dollarisation to endure, in spite of lukewarm official support and lower oil prices. However, aside from increasing productivity, the only means of regaining competitiveness would be deflation, a major depreciation in the dollar, or the adoption of a new national currency. The export base is dominated by a few primary products: oil; bananas; shrimp; tuna; and cut-flowers. For dollarisation to become permanently embedded, the authorities would have to instill predictability and discipline in the management of the public finances, and improve the economy's competitiveness. (Economist Intelligence Unit, Risk Briefing, April 2010.)</t>
  </si>
  <si>
    <t>Meeting the fiscal targets under a three-year IMF standby agreement signed in March will prove challenging. The deal provides some room for countercyclical measures (financed by official loans), before targeting more of a fiscal adjustment in 2011 to avoid jitters over debt sustainability. El Salvador's main structural weaknesses include a reliance on the US (for trade, investment and remittances) and a high level of public sector indebtedness. After contracting in 2009 GDP growth will recover in 2010, but only mildly. Private consumption growth will pick up, reflecting a recovery in remittances, and investment will recover. The Dominican Republic-Central American Free-Trade Agreement (DR-CAFTA) will give El Salvador preferential access to the US and Central America. Stronger average commodity prices than in 2009 will put pressure on the external accounts and inflation. A return of the sovereign to the international capital markets in late 2009 will help lower crowding-out on the domestic markets and provide new financing for local companies. (Economist Intelligence Unit, Risk Briefing, May 2010.)</t>
  </si>
  <si>
    <t xml:space="preserve">With a public debt burden that has been reduced from previous years, the government is well positioned to meet its payment obligations to concessionaires. Peru has been a net creditor in international capital markets since 2003 and it holds a sizeable amount of international reserves to meet any difficulties in upholding its short-term payment obligations. The country's sovereign risk is rated at BBB by the Economist Intelligence Unit as at April 2010. The government has a good track record for meeting payment obligations to concessionaires in a timely manner. </t>
  </si>
  <si>
    <t>Trinidad and Tobago has a high sovereign debt risk rating by regional standards and is among the most reliable Caribbean governments in financial terms. However, falling prices for the country's major export commodities led the government to announce cuts in spending for fiscal year 2009, and the budget has gone into deficit. Nonetheless, sovereign risk remains on a "stable" outlook, despite the global economic slowdown and sharp declines in energy prices. The country received a sovereign debt risk rating of BBB from the Economist Intelligence Unit in April 2010.</t>
  </si>
  <si>
    <t xml:space="preserve">In the last five years, Uruguay's government has worked well with the private sector and has had a good track record of making payments on time, contrasting with the earlier part of the decade, when the effects of the Argentinean crisis hampered the ability of the authorities to meet concessionary agreements. The Tabaré Vázquez administration (2005-10) was been particularly intent on improving the country's roads and bridges, which has led to the government taking over certain concessionary projects after their contracted expiration date. The Uruguayan economy experienced a number of years of strong growth that peaked in 2008, and successfully avoided recession amid the international financial crisis in 2009. Uruguay has also received several Multilateral Investment Guarantee Agency (MIGA) guarantees since 2005, although these have mostly been in sectors outside electricity, water and transport (the one project in solid waste management guaranteed by MIGA is currently not active). The country's sovereign debt risk rating from the Economist Intelligence Unit was BB in April 2010. </t>
  </si>
  <si>
    <t xml:space="preserve">Venezuela has a mediocre credit rating, which has worsened as a result of lower oil prices, a weaker economy, failing banks and the reluctance of the private sector to invest in the economy. External guarantee agencies, such as COFACE, which insure payments for commercial transactions award Venezuela a low score for fulfillment of payment obligations. The Economist Intelligence Unit gave the country a CCC sovereign debt risk rating in April 2010. </t>
  </si>
  <si>
    <t xml:space="preserve">Argentina's private pension funds, invested mostly in the country's stock-exchange and government issued bonds, were nationalised by Ms Fernández de Kirchner in December of 2008. While proponents claim that the move pumps cash into the state treasury to finance infrastructure projects, opponents believe it bodes poorly for infrastructure finance as it introduces political discretion in the administering of long-term finance investments. With the possibility of efficient government infrastructure financing reduced, one top private investment company became the first to create a 100% private trust to finance infrastructure projects for a municipal government in the province of Cordoba. This was a first in Argentina for any municipal, provincial or national entity, and has already been replicated several times, making it an alternative means of financing for economically viable municipal and provincial governments in the absence of solvent federal government. There are no real exchange rate and interest rate hedging instruments in Argentina, despite chronic inflation and cyclical changes to the exchange rate regime. </t>
  </si>
  <si>
    <t xml:space="preserve">Brazil has deep and liquid capital markets. Firms can issue long-term bonds in local and foreign currency. The amount of debt securities issued by corporates in the domestic market totalled US$7.5bn at end-June 2009, compared to US$6.5bn at end-2008 and US$7.8bn at end-2007, according to the Bank of International Settlements. The country's institutional investors are important players in the secondary markets, and reforms passed in recent years have spurred the development of insurance and private pension funds, although substantive reforms to the pension system remain the subject of legislative strife. Total pension-fund assets, including the public servants' pension funds and the complementary pension system, amounted to R472.29bn (around US$270bn) at end-June 2008, according to the most recent statistics from the Ministry of Pension Funds. Interest-rate and exchange-rate hedging instruments are increasingly available in the local markets. The National Bank for Economic and Social Development (Banco Nacional de Desenvolvimento Econômico e Social-BNDES) is the major source of medium- and long-term federal credit for companies operating in Brazil and has made a commitment to financing privatised infrastructure in telecommunications, petroleum, and electricity. Both domestic and foreign-owned firms are eligible for BNDES financing. </t>
  </si>
  <si>
    <t>There is a deep and liquid capital market for debt and equity instruments. Hedging instruments are reasonably readily available and developed. The local capital markets slowed considerably as a consequence of the international financial crisis, but this is expected to recover in 2010. Private construction projects halted in the aftermath of the crisis resumed in early December 2009, signalling the beginning of economic recovery. Chile has developed a real estate investment fund industry that facilitates obtaining capital for infrastructure projects.</t>
  </si>
  <si>
    <t xml:space="preserve">Institutional investors with the capacity to invest in medium and long-term debt instruments in local currency exist in the country, but large infrastructure projects usually require supplementary foreign investment. Although the global credit crunch initially reduced financing options for major infrastructure projects in early 2009, this is expected to gradually improve over the next year. In March 2009, with the support of the Corporación Andina de Fomento (CAF, Andean Development Corporation) and the Inter-American Development Bank (IDB), private investors in Colombia created an infrastructure fund with initial capital of US$250m, with plans to raise up to US$750m by the year's end. There are also some hedging instruments against exchange rate risks, albeit these are of short-term maturity. The hedging market and instruments aimed at reducing the risks of "project completion" are still very limited. The Colombian pension system was part-privatised in 1994, but remains conservative with its portfolios and lacks incentives to invest in riskier long-term infrastructure projects. </t>
  </si>
  <si>
    <t xml:space="preserve">The capital market in Costa Rica is small and incipient. The majority of funds accumulated in complementary pensions and investment institutions are invested in public instruments, bank debt and foreign securities. Local companies make bond issues in Costa Rica, but these remain a minor portion of total trading volume on the Bolsa Nacional de Valores (National Stock Exchange). There are 18 registered trading companies with the national stock market and some 400 issuers, although few use it as a regular financing source. In the first eleven months of 2009, private sector debt instruments totaled US$244m, making up 6.5% of total debt issued, and a mere 0.6% of total volume traded (US$42.6bn) on the Costa Rican stock market. As a result, infrastructure projects in Costa Rica are generally executed and financed by the public sector, with funds from multilateral financial institutions or development banks. </t>
  </si>
  <si>
    <t xml:space="preserve">There is no domestic capital market with the resources to provide any significant financing for the medium term. Private pension funds do exist in the Dominican Republic, but their accumulated resources are still small (US$2.49bn at end-October 2009) and because of prudential regulations, the funds are not heavily invested in the corporate debt or capital markets. The local banking system plays a limited role in the medium-term financing of projects. No market for project risk hedging instruments exists. </t>
  </si>
  <si>
    <t>Colombia's widening fiscal deficit leaves it exposed to fall-out from the global recession. That said, a precautionary Flexible Credit Line approved by the IMF and set to be extended until May 2011, as well as US$3.8bn in international bond issues since mid-2009, serve to bolster the sovereign's position and stabilise the currency. Colombia has limited room to pursue countercyclical fiscal policies and we expect prioritisation of macroeconomic stability over growth, notwithstanding the 2010 elections. Monetary easing, which began in December 2008, has been aggressive, and we expect some tightening to begin during the second half of this year, but this will depend on inflation and currency risks. The banking system is relatively well placed to weather the downturn, given adequate provisioning and capital ratios and little exposure to OECD toxic assets. That said, should the recovery in the global economy prove weaker than expected, Colombia's prospects would be hit. (Economist Intelligence Unit, Risk Briefing, May 2010.)</t>
  </si>
  <si>
    <t>Macroeconomic risk is set to decrease in 2010-11 as international conditions improve and the economy gains momentum after contracting in 2009. However, the economy remains constrained by the size of the external deficit, internal debt stock and high dollarisation of the banking system, which act as a drag on GDP growth and make the economy vulnerable to changes in investor sentiment. Since 2008, the Banco Central de Costa Rica (the Central Bank) has began to change the exchange rate framework from crawling-peg adjustments to a more flexible mechanism, although a complete move to a free-float, which would enable better control of inflation, is unlikely in the forecast period. A reduction of the fiscal deficit in recent years and the adoption of a regime of exchange-rate bands since 2006 have helped to reduce interest rates. However, the fiscal balance has turned to deficit as a result of the 2009 crisis, and continued high fiscal spending, especially in 2010, will raise public debt. (Economist Intelligence Unit, Risk Briefing, April 2010.)</t>
  </si>
  <si>
    <t>Growth fell sharply after the escalation of the international financial crisis in the third quarter of 2008, and with global trade flows disrupted, was barely positive in 2009. Growth is set to rise steadily to around 3.7% per year in 2010 and 3.1% in 2011. The depreciation that the peso underwent in the final quarter of 2008 has been reversed in 2009, and broad stability is forecast in the outlook period. Inflation will remain at the upper limit of the 3% to 7% target range set by the Banco Central de Uruguay (BCU, the Central Bank), in line with still-firm commodity prices and firm domestic demand. The public debt burden will continue to be a drain on fiscal resources, and is set to remain at a high level in 2010-11 as the fiscal deficit falls only slowly. Since prepaying its IMF debt in 2006 the government has not needed an agreement, but a return to an IMF lending facility has not been ruled out, given the poor revenue performance in 2009. (Economist Intelligence Unit, Risk Briefing, April 2010.)</t>
  </si>
  <si>
    <t xml:space="preserve">Political and social attitudes toward private participation in infrastructure investment have suffered since the 2001-02 crisis, for which the blame has largely been placed on the privatisation and deregulation of the 1990s. Latinobarometro surveys show that within Latin America the notion that privatisation has been beneficial to the country is rejected more by Argentina than any other country, with 75% disagreeing, compared with a regional average of 53%. Resistance to private participation in the water system is particularly strong, with 86% of respondents believing that water should be solely in the hands of the state, compared with a regional average of 82%. These attitudes have become prevalent despite the fact that some ongoing PPP concessions undertaken in the 1990s are considered a success, such as a PPP concession for water services in the north-western province of Salta. The current government has shown a preference for public sector projects, and has been unwilling to resolve legacy issues arising from the 2001-02 crisis, including tariff freezes in the electricity industry, which would provide a more favourable environment for private participation. Fiscal constraints could make PPP more attractive to the government, but this would require a political turnaround that we believe is unlikely in the run-up to a presidential election in October 2011. </t>
  </si>
  <si>
    <t>Political will for the realisation of PPPs in infrastructure has been mixed. Although interest among government circles has increased, political considerations often still prevail over technical considerations. Political will for concessions to the private sector has been stronger toward the water and transport sectors than toward electricity (which is a politically more sensitive area). According to a survey by Latinobarometer, most Brazilians think that private enterprise is indispensable for development and that a market economy is best for the country; however, around 60% of the population think that the management of electricity and drinking water should remain in the state's hands.</t>
  </si>
  <si>
    <t xml:space="preserve">There is a long track record of political support for PPP infrastructure projects in all sectors, especially in transport infrastructure. There is consensus on the issue among the two main coalitions; the Concertación, which was in power for 20 years (until March 2010) led initiatives to modernise Chile's infrastructure through build-operate-transfer (BOT) concessions and privatisation of ports and airports. The current government is expected to continue on the same path, in particular as rebuilding after the February 2010 earthquake gets under way. </t>
  </si>
  <si>
    <t xml:space="preserve">The Uribe government "countercyclical fiscal plan" in 2009 to help boost the economy during the downturn centred on public-private infrastructure investment. A total of US$23.5bn was invested during the year in infrastructure projects, of which US$13.7bn (or 58% of the total) was through private concessions. The private sector invested around US$6.5bn in mining and energy, US$1.5bn in transport and US$500m in water through concessions. Significant investments in infrastructure will continue to be needed in Colombia and the government planning departments recognise the importance of PPPs. </t>
  </si>
  <si>
    <t xml:space="preserve">The government of Laura Chinchilla (2010-14) has pledged to encourage the participation of the private sector in infrastructure projects. However, implementing PPP policies will be much more difficult. Although there is strong political will to develop PPPs in the transport sector, Costa Rica's constitutional checks and balances will slow the process. Moreover, privatisation of the electricity industry and the water and sanitation sectors faces widespread popular opposition (as demonstrated by the difficulties in ratifying the Dominican Republic-Central American Trade Agreement, DR-CAFTA, in 2008), making it much harder for the government to grant concessions to the private sector. </t>
  </si>
  <si>
    <t xml:space="preserve">The Dominican government has opened some concessions for transport investment, but some political and civic groups continue to oppose private participation in water and electricity projects. The government has been control of all of the country's power distributors for the past few years and has had a mixed record with the private generators (the government ran up more than US$500m in arrears with the generators in 2009). This has complicated any PPPs in electricity. There has similarly been little enthusiasm for private investment in water. This is not the case in transport, however. The government has actively promoted private investment in the construction of highways, roads, trains and ports in recent years. </t>
  </si>
  <si>
    <t xml:space="preserve">Under the government of Mr Correa, privatisation plans in all sectors have been halted, while the business environment has deteriorated in line with Mr Correa's abrasive style toward private companies and plans to increase the role of the state in key areas of the economy. In the electricity industry and the water sector, Mr Correa has clearly stated plans to exclude private participation completely, while the government has been reluctant to encourage PPPs in the transport sector. The construction of a new airport in Quito (the largest infrastructure project in the country), originally a private project, is facing delays as the government seeks to renegotiate the contract to allow for greater state involvement. </t>
  </si>
  <si>
    <t xml:space="preserve">After two decades of ARENA government policy, which actively encouraged the role of the private sector in the economy, differences have developed since 2009 under the new government between Mr Funes's own moderate centre-left policies and the ruling FMLN's more radical anti-private-sector rhetoric. Although the FMLN has become more pragmatic in recent years, resistance from FLMN leaders is set to slow advances in PPPs in infrastructure. The government has pledged that major privatisations under ARENA, such as in telecoms and energy, will not be turned back. And it is possible that other state assets, for instance the water and sewage sectors, may eventually be opened up on a concessionary or PPP basis, but progress in the short term will be slowed by FMLN resistance. </t>
  </si>
  <si>
    <t xml:space="preserve">The attitude of Guatemala's political and business elite toward private participation in infrastructure projects is generally favourable and there is little in the way of leftist social movements that could soften this tendency. However, political bickering, widespread corruption, institutional instability and excessive bureaucracy severely limit the effectiveness of policy implementation, in effect discouraging private involvement. </t>
  </si>
  <si>
    <t xml:space="preserve">There is palpable political will for PPPs under the new Lobo Sosa government, although advances at the outset are being overshadowed by the overriding policymaking focus, namely bolstering the fiscal and financing outlook with the backing of an IMF programme, which will probably be agreed in the third quarter of 2010.
PPPs are most fluid in the electricity industry where the government recently successfully carried out an auction to supply the electricity grid with 250 mw of supply, in which around 40 private hyrdoelectrical companies participated.
In telecoms, there is an interest in extending the network of at least one mobile telecoms company already operating in Honduras. In other sectors the government is open to PPPs  and discussions are underway, albeit with limited public consultation at this stage. 
There will however be some resistance to PPPs coming from state workers especially in the water and sewerage sector.
</t>
  </si>
  <si>
    <t>Although private participation is considered to be an important financing strategy to help relieve government of the full economic burden of providing water and sanitation to the population, traditionally private sector participation has been limited owing to restrictions on private ownership of natural resources and existing infrastructure assets. As such, the government has shown some reluctance to engage in PPP concessions. That said, some projects have been carried out in the transport sector, although the frameworks and processes are cumbersome.</t>
  </si>
  <si>
    <t xml:space="preserve">El Salvador does not have any live or concluded transport or water projects from which a track record can be measured. The country has, however, partnered with the World Bank Group's Multilateral Investment Guarantee Agency (MIGA) to insure projects in other sectors, such as a ten-year US$4m equity guarantee for an investment in a leasing company in 2006 and a US$1.8m guarantee for a methane-gas conversion project at a landfill site, also in 2006. The Economist Intelligence Unit assigned the country a rating of BB for sovereign debt risk in April 2010, unchanged from February 2009. Dollarisation in El Salvador protects the country against currency-fluctuation-induced debt crises. Also, a 15-month US$800m standby agreement with the IMF signed in September 2009 can be drawn on as a precautionary credit. The Funes has committed itself to servicing and repaying the public debt and has promised to maintain prudent fiscal policies. </t>
  </si>
  <si>
    <t>The Economist Intelligence Unit's sovereign risk rating for Guatemala has been broadly stable over the course of 2009 and 2010, and stays at BB in April 2010. The successful conclusion in mid-December 2009 of the second review of the IMF's 18-month standby arrangement will support the government's economic programme in 2010-11 and help to prevent stop-gap financing if severe difficulties arise (the deal entails a credit of US$935m). As of May 2010 the country has partnered several times with the World Bank Group's MIGA, although for projects which closed in 2000 and 2001. Furthermore, in the electricity industry the government has made significant efforts to sustain payments even when oil prices skyrocketed.</t>
  </si>
  <si>
    <t xml:space="preserve">The current administration has been ambivalent about government policy toward PPPs. Although the government has been open to private participation in some sectors, the poor policy outlook has discouraged private investment and hard-liners in the governing party oppose most private activity. With the help of the Venezuelan government, which has channeled off-budget funds to private companies close to the ruling party, large-scale energy projects (including renewable electricity) are being implemented. However, there is fear of unfair competition, while in other sectors (such as water and transportation), a clear government line in favour of PPPs does not exist. </t>
  </si>
  <si>
    <t>There is political support for PPP infrastructure projects from the current government (and the governments of the past two decades), which has made significant progress in implementing PPP concessions in all sectors. Yet when a particular sector is deemed "strategic" there is more widespread opposition to foreign or private investment, causing delays. There is no clarity as to what is considered strategic; the definition can vary depending on the particular interests of those who oppose a PPP concession. A recent example can be found in the modernisation of ports, when the government issued a decree modifying the conditions for the concession of the main port, Callao, by including the state-owned ports enterprise, Enapu, as a mandatory partner for any private investor. After much outrage, the state backtracked, but this strategy is common in other sectors. Nevertheless, recent reforms have been oriented toward reducing bureaucracy in the project approvals process and should reduce delays.</t>
  </si>
  <si>
    <t xml:space="preserve">There is virtually no national market for long-term debt in Guatemala. As elsewhere in Central America, Guatemala’s private finance companies generally make loans to domestic companies within the economic group to which the finance company belongs and are generally not a source of lending for foreign-owned firms. The country’s capital markets offer investors a limited number of instruments, and the exchanges do little actual equity trading. Neither is there a currency or interest-rate hedge market for projects. Most activity is limited to primary issues of government instruments and commercial paper and to secondary trading of these instruments. 
Pension savings also remain very limited in Guatemala. The public sector Instituto Guatemalteco de Seguridad Social (IGSS, the Guatemalan Social Security Institute) is responsible for health insurance and pension payments for a large number of public and private employees, although it is heavily debilitated by mismanagement and corruption. It gained greater autonomy as a first step toward privatisation of state insurance and pension provision. However, the privatisation plan has been stalled since 2001 because of public resistance to the sale of state assets. The current government has not made any concrete plans to move forward with privatisation. Guatemala does not have legally constituted mutual funds (unit trusts). Collective investment funds of all types have only a small presence in the local financial market.
</t>
  </si>
  <si>
    <t>The transition to multiparty democracy is recent and institutions created under the highly centralised seven-decade monopoly on power held by the Partido Revolucionario Institucional (PRI) prior to 2000 are proving inadequate to an environment in which governments no longer command absolute majorities. Although fraught relations between government and opposition will impede the progress of reforms needed to improve competitiveness, there is little likelihood of a major shift in policy orientation should the opposition come to power. There is little possibility of the Partido de la Revolución Democrático (PRD) winning the presidency in 2012, and if the PRI were to do so there would be broad continuity on most policies. Although radical supporters of the PRD leader, Andrés Manuel López Obrador, will continue to engage in disruptive protests, their impact will be weakened by the PRD's internal divisions. Foreign policy tensions pose no serious threats to stability, but tighter immigration controls in the US will add to economic pressures in Mexico, given the scarce opportunities for new entrants into the labour market.
A shift in 2000 from a system in which power was highly concentrated in the presidency to one in which the legislature has been empowered has exposed institutional weaknesses that impair political effectiveness. The politics of compromise is in its infancy in Mexico, and a more fragmented party spectrum means governments now contend with opposition-dominated legislatures. Mr Calderón, who took office at the end of 2006, will struggle to advance his reform agenda after the PAN lost substantial ground to the PRI, the main opposition party, in mid-term legislative elections held in July 2009. Advances have been made in cutting bureaucracy, but weaknesses in the judiciary obstruct efforts to tackle pervasive corruption. Widespread allegations of human rights abuses raise questions about the military's role in combating violent crime. The political clout of interest groups continues to distort the business environment, despite various efforts to promote a more level playing field. (Economist Intelligence Unit, Risk Briefing, March 2010.)</t>
  </si>
  <si>
    <t xml:space="preserve">The fragmentation of political forces in the unicameral legislature hampers governability. Álvaro Colom of the Unidad Nacional de la Esperanza (UNE) took office in January 2008, the country's first left-of-centre president since the peace accords of 1996. However, he lacks a working majority in Congress, and therefore needs to build and maintain an unwieldy coalition from a fragmented party spectrum, which weighs on governability and impedes reforms. Dissent within his own party further undermines his position. Soaring violent crime rates and widespread corruption will continue to test the authorities. In addition, dealing with pressure groups such as those opposed to mining activities in indigenous areas will become increasingly problematic. Rising social tension amid a lack of progress on cutting crime rates and a lack of action on addressing the concerns of pressure groups could lead to social unrest.
Government effectiveness has been eroded by the pursuit by successive administrations of their own interests when in power and by endemic corruption and cronyism. This has complicated policy formulation and the implementation of programmes. Despite a tightening of the mechanisms for appointing qualified personnel to the top posts of key institutions, an improvement in government effectiveness is hampered by the president's limitations in mustering the level of political support in Congress necessary for institutional strengthening. Indeed, Mr Colom is at risk of becoming a lame-duck president in the second half of his four-year term. Progress is also slowed by scarce fiscal resources. Financial reforms and international assistance will help improve supervision and regulation in the banking sector, but concerns persist over enforcement capability. Addressing corruption, which remains widespread, and tackling rising crime are formidable challenges. (Economist Intelligence Unit, Risk Briefing, March 2010.)
</t>
  </si>
  <si>
    <t xml:space="preserve">The government of the president, Mauricio Funes of the left-wing Frente Farabuno Martí para la Liberación Nacional (FMLN), who assumed the presidency in June 2009, has secured a majority in Congress following the defection of members of the opposition Alianza Republicana Nacionalista (ARENA) party, bolstering stability. Mr Funes, a moderate leftist, has so far managed the radical leftist FMLN leaders well, but challenges will emerge, particularly if his popularity wanes amid economic difficulties, as expected. Despite differences over certain policy areas, we expect that pragmatism will continue to bind Mr Funes and the FMLN together ahead of the 2012 legislative elections. Although he is still enjoying an extended honeymoon period, Mr Funes faces serious challenges, ranging from the prospect of a weak recovery from recession to a rise in violent crime. Public frustration could generate a rise in social unrest. Rapidly easing inflation and frustration with privatised utilities, which largely reflect a failure of these companies to reduce prices as expected, could do the same.
Following splits in the Opposition, the government formed a new alliance controlling 57 seats (out of 84), sufficient to pass any legislation that requires a simple majority (43 votes), as well as a two-thirds majority (56 votes). This means that securing approval for foreign budget financing, which requires an absolute majority and has been difficult to attain in the past, will no longer be held up. This is the first time the FMLN has controlled the national government (it has run municipalities, including the capital, San Salvador, for many years), but so far it had done well in formulating policy, having agreed an IMF standby deal in March 2010. Adjustment measures will be complicated by corruption and nepotism, which are widespread in the civil service. Public sector employees are poorly paid and politicians exert influence over the justice system. El Salvador has had an uneven human rights record since the end of the civil war in 1992 and the security forces have been accused of contributing to the high murder rate. (Economist Intelligence Unit, Risk Briefing, May 2010.)
</t>
  </si>
  <si>
    <t xml:space="preserve">Despite some isolated cases of corruption in recent years, the country's long-standing political stability (it has the strongest democratic tradition in Latin America) is safe. Although the number of political parties has increased in the past decade and dissatisfaction with the political class has risen, widespread respect for representative political institutions and for the transfer of power is unlikely to be challenged, as demonstrated by the recent election of Laura Chinchilla from the Partido Liberación Nacional (PLN). A more fragmented Congress, however, has meant that the passage of reforms and consensus-building is slow. The government's main focus of policy in the near future will concentrate on restarting the economy and reducing unemployment, diversifying the country's trade structure and maintaining good relationships with the US and other Central American countries. Relations with Nicaragua have been strained over illegal immigration, but we expect the two sides to resolve the issue peacefully.
Government effectiveness risk is moderate, with legislative paralysis a common complaint. The government generally espouses open, liberal and pro-business policies, and has actively encouraged foreign investment. However, there will continue to be exceptions, such as a general antipathy to privatisation. The slow nature of the passage of legislation is Costa Rica's main weak point, and the lack of a PLN majority in Congress exacerbates this issue. (Economist Intelligence Unit, Risk Briefing, April 2010.)
</t>
  </si>
  <si>
    <t xml:space="preserve">Political risk has declined after the re-election in April 2009 of the radical left-wing Mr Correa, but will remain high in 2010-11 as the economy remains weak and social tensions rise. Although the Correa administration is popular among a broad section of the public, particularly the low-income demographic, public dissatisfaction will increase on the back of corruption allegations and Mr Correa's confrontational governing style. Although the ruling Alianza País party has lost its majority in the legislature and internal bickering is set to rise, the opposition is still relatively weak and fragmented. Policymaking will shift further to the left, with harsher operating conditions for foreign companies in Ecuador. However, Mr Correa will promote some pragmatic policies when necessary for maintaining support. Strong rivalry between coastal and highland political and economic elites, and demands for regional autonomy, especially in Guayaquil, will also undermine stability.
Party politics are volatile and unpredictable. Mr Correa's position has been bolstered by consistently high popularity and his re-election in April 2009, although his party's lack of a legislative majority and rising public discontent with his government will increase tensions and complicate legislative activity. Bureaucratic procedures are generally cumbersome. Corruption is widespread, and many government appointments are made on the basis of personal connections, rather than competence. Generally, law enforcement is weak or politically motivated. Amnesties for past misdeeds are also relatively common, and often granted according to political expediency. As the judiciary is subject to political pressure, court proceedings are a common means of obstructing government legislation. (Economist Intelligence Unit, Risk Briefing, April 2010.)
</t>
  </si>
  <si>
    <t xml:space="preserve">Despite the high level of security risk, the political system functions adequately and the mechanism for transfers of power is well established. The president, Álvaro Uribe, enjoys high approval ratings, owing to improvements in public security and strong leadership, but attempts to hold a referendum this year to allow him to stand for a third term in May 2010 were overturned by the Constitutional Court. The ensuing presidential election has stoked political tensions among rival parties, but the campaigns have been professional and peaceful. Accusations of abuses by the military against civilians emerged in October 2008, but for most Colombians the army's credibility has improved since the 1990s and the government's democratic security strategy is legitimate. Ideological differences between the Colombian and Venezuelan governments will impede the co-ordination of measures to curb border incursions by Colombian rebels into those countries. The US continues to provide military financial aid to Colombia, although this will be gradually reduced.
Government effectiveness is low. Although political institutions are well established and stable, weak accountability and the illegal drugs trade contribute to corruption, impunity and cronyism in some regions. Several congressmen allied to the Uribe government have been indicted over past links with paramilitaries. The trend in recent years is toward more open government that is less prone to manipulation. But other than those overseeing economic policy, institutions are inefficient. Corruption and spending inefficiencies are a problem in some regions, particularly those receiving oil royalty transfers from central government. Despite the enhancement of the security forces capabilities under Mr Uribe, a conclusive military victory against the guerrillas remains unlikely, although a settlement in the medium term is a possibility. Mr Uribe's efforts to change the constitution via a referendum and run for a third term risked stifling the political process, but the bid was overturned by the Constitutional Court. (Economist Intelligence Unit, Risk Briefing, May 2010.)
</t>
  </si>
  <si>
    <t>Brazil is a stable democracy. Since two decades of military rule ended in 1985, transitions between elected governments have generally been smooth. In January 2007, the president, Luíz Inácio Lula da Silva, began a second four-year term. Influential segments within his leftist Partido dos Trabalhadores (PT) advocate a bigger role for the state, but cross-party support for disciplined fiscal and monetary policies is firm. Although politicians are discredited, institutions are strong; however, reforms are needed to improve effectiveness and transparency. Corruption scandals have periodically helped put political reform back on the agenda, but momentum is generally weak and far-reaching changes are not expected. Executive power is checked by a strong legislature. Brazil has a professional diplomatic corps and enjoys generally good relations with its neighbours and global trading partners.
As is always the case with Brazilian administrations, the ruling coalition in the Lula government comprises a range of generally undisciplined political parties and this will likely be the case under the next government. This means that reforms will often need to be diluted or exchanged for concessions elsewhere. The level of competence among senior officials is high, but lower down the civil service is often inefficient. The government is attempting to upgrade skills in the civil service by hiring better-qualified staff, but fiscal constraints will restrain progress. Political appointments by the PT have made inefficiencies worse in some areas; bureaucracy increases the cost of doing business. Clientelism and a lack of accountability foster corruption at all levels, creating inefficiency, lack of trust and an uneven playing field for business. The police lack the resources to tackle crime and human rights abuses are concerns. Measures taken so far to tackle these problems have been weak. (Economist Intelligence Unit, Risk Briefing, April 2010.)</t>
  </si>
  <si>
    <t>Argentina has suffered episodes of political instability in the recent past, usually triggered by economic stress. After setbacks since coming to power, the government is weak, and with testing political and economic challenges ahead, there is a rising risk of further instability, which could ultimately end the presidential term of Cristina Fernández de Kirchner prematurely (although this is not our baseline forecast). The Kirchners lost their congressional majority in March, but this has served mainly to raise political tensions, with the opposition determined to curtail the power of the government, and the government unwilling to rein in its authoritarian tendencies, despite its loss of political power. The Kirchners have relied in the past on powers of patronage, rather than personal loyalty to build support, and a further loss of popularity would weaken governability. The Kirchners’ tendency to concentrate power centrally raises concerns about transparency and the strength of Argentina’s institutions.
Weak institutions are a shortcoming of the political system. One by-product of a strong presidential system, reinforced by the dominance of the Peronist party, is weak congressional oversight of the executive. There is a long history of political interference with the Supreme Court, and the judiciary has issued contradictory rulings in key areas. Ample budget resources have given the Kirchners the upper hand in managing relations with the provinces, although these have the potential to be disruptive in Argentina's federal political system. The low quality of the bureaucracy, which will persist until long-awaited public sector reform is carried out, will hinder implementation of government policies. Increases in investment spending may have been poorly targeted. Political considerations will influence the design of social spending programmes, reducing their effectiveness. Concentration of decision-making in the presidential couple and a small inner circle heighten policy risk. (Economist Intelligence Unit, Risk Briefing, March 2010.)</t>
  </si>
  <si>
    <t xml:space="preserve">Trinidad and Tobago has minimal experience with PPPs for the transport and water sectors specifically. The government's risk allocation track record for similar PPP projects in other infrastructure sectors is mixed. For example, contracts in the telecoms sector were awarded successfully and led to a 40% annual growth in mobile contract sales and new investments of over US$600m in two and a half years. However, performance has been mediocre for fixed lines and Internet access. This is in part owing to the fact that the government has been unable to unbundle local loops, as too much power has been given to the incumbent company. Also, in the energy sector the government has not transferred any significant risk to the private sector, since it sells the natural gas and purchases all the energy generated. </t>
  </si>
  <si>
    <t xml:space="preserve">The four roadway and port concessions have transferred commercial project risk back to the state. The financial crisis triggered by Argentina's default in the early 2000s severely affected Uruguay, and created an external shock of enough magnitude to endanger the viability of the original schemes that were negotiated. The financial crisis led to the strengthening of CVU (Corporación Vial del Uruguay ) and reverted to the earlier private concession process. In the case of road projects, a net prevent value criterion was used in two projects to assign concessions, permitting the incorporation of demand risk factors. As is the case with the majority of countries in the region, projects have not used completion risk instruments to diversify project risk. In the case of the port and airport concessions, there has been less difficulty, and private operators have undertaken the required investments without claiming recourse from the government. In the electricity industry, UTE is taking all commercial risk in contracts for renewable energy and the private sector assumes operational and completion risk. </t>
  </si>
  <si>
    <t xml:space="preserve">The Concessions Law establishes two contradictory clauses. On one hand, it enables opportunism by the concessionaire by establishing a government obligation to maintain financial equilibrium in the face of unforeseeable changes in economic project conditions. On the other hand, the law explicitly states that it is the prerogative of the body responsible for leasing the public asset or service to establish a unilateral interpretation of the contract via an administrative act in cases of disagreement with the concessionaire. Furthermore, the law also allows unilateral modification of the contract for public interest reasons. In practice, the shaky independence of justice tribunals and the concentration of power at the central level tip the balance in favour of the government. This ensemble of factors has been systematically used to terminate contacts. </t>
  </si>
  <si>
    <t>According to data from the World Bank, from 1999-2008 Argentina has had a total of 28 projects in the electricity, water and transport sectors. Of the 28 projects, 11 were in the electricity sector, 12 were in the transport sector (and one of which closed in 2008) and 5 were in the water and sanitation sector. (Figures do not include management and lease contracts or divestitures. Please note that numbers do not necessarily match explanations for other indicators in this index owing to different counting methods and time frames).</t>
  </si>
  <si>
    <t>According to data from the World Bank, from 1999-2008 Brazil has had a total of 168 projects in the electricity industry and water and transport sectors. Of the 168 projects, 101 were in the electricity industry, 30 were in the transport sector and 37 were in the water and sewerage sector. Nine of the electricity projects, ten of the transport projects and seven of the water/sewerage projects reached financial closure in 2008. (Figures do not include management and lease contracts or divestitures. Please note that numbers do not necessarily match explanations for other indicators in this index owing to different counting methods and timeframes).</t>
  </si>
  <si>
    <t>According to data from the World Bank, from 1999-2008 Chile has had a total of 44 projects in the electricity industry and water and transport sectors. Of the 44 projects, six were in the electricity industry, 27 were in the transport sector and 11 were in the water and sewerage sector. Four of the transport projects reached financial closure in 2008. (Figures do not include management and lease contracts or divestitures. Please note that numbers do not necessarily match explanations for other indicators in this index owing to different counting methods and timeframes).</t>
  </si>
  <si>
    <t>According to data from the World Bank, from 1999-2008 Colombia has had a total of 41 projects in the electricity industry and water and transport sectors. Of the 41 projects, one was in the electricity industry, 17 were in the transport sector and 23 were in the water and sewerage sector. One transport project reached financial closure in 2008. (Figures do not include management and lease contracts or divestitures. Please note that numbers do not necessarily match explanations for other indicators in this index owing to different counting methods and timeframes).</t>
  </si>
  <si>
    <t>According to data from the World Bank, from 1999-2008 Costa Rica has had a total of ten projects across the electricity industry and the water and transport sectors. Of these ten projects, five were in the electricity industry and five were in the transport sector. However, these reached financial closure between 1999 and 2007. (Figures do not include management and lease contracts or divestitures. Please note that numbers do not necessarily match explanations for other indicators in this index, owing to different counting methods and timeframes).</t>
  </si>
  <si>
    <t>According to data from the World Bank, from 1999-2008 the Dominican Republic has had a total of ten projects across the electricity industry and the water and transport sectors. Of these ten projects, three were in the electricity industry and seven were in the transport sector. However, these reached financial closure between 2000 and 2006. (Figures do not include management and lease contracts or divestitures. Please note that numbers do not necessarily match explanations for other indicators in this index, owing to different counting methods and timeframes).</t>
  </si>
  <si>
    <t>According to data from the World Bank, in 1999-2008 Ecuador had a total of 12 projects in the electricity industry and the  water and transport sectors. Of these 12 projects, three were in the electricity industry, eight were in the transport sector and one was in the water and sewerage sector. (Figures do not include management and lease contracts or divestitures. Please note that numbers do not necessarily match explanations for other indicators in this index, owing to different counting methods and timeframes).</t>
  </si>
  <si>
    <t>According to data from the World Bank, in 1999-2008 El Salvador had only one concessions project, in the electricity industry. (Figures do not include management and lease contracts or divestitures. Please note that numbers do not necessarily match explanations for other indicators in this index, owing to different counting methods and timeframes).</t>
  </si>
  <si>
    <t>According to data from the World Bank, in 1999-2008 Guatemala had a total of seven projects across the electricity industry and the water and transport sectors. Of these seven projects, six were in the electricity industry, and one was in the water and sewerage sector. (Figures do not include management and lease contracts or divestitures. Please note that numbers do not necessarily match explanations for other indicators in this index, owing to different counting methods and timeframes).</t>
  </si>
  <si>
    <t>According to data from the World Bank, in 1999-2008 Honduras had a total of five projects in the electricity industry and the water and transport sectors. Of these five projects, two were in the electricity industry, two were in the transport sector and one was in the water and sewerage sector. (Figures do not include management and lease contracts or divestitures. Please note that numbers do not necessarily match explanations for other indicators in this index, owing to different counting methods and timeframes).</t>
  </si>
  <si>
    <t>According to data from the World Bank, in 1999-2008 Jamaica has had a total of two projects across the electricity industry and the water and transport sectors; however, both were exclusively in the transport sector. (Figures do not include management and lease contracts or divestitures. Please note that numbers do not necessarily match explanations for other indicators in this index, owing to different counting methods and timeframes).</t>
  </si>
  <si>
    <t>According to data from the World Bank, in 1999-2008 Mexico had a total of 69 projects in the electricity industry and the  water and transport sectors. Of the 69 projects, 21 were in the electricity industry, 36 were in the transport sector and 12 were in the water and sewerage sector. One new electricity project and three new transport projects reached financial closure in 2008. (Figures do not include management and lease contracts or divestitures. Please note that numbers do not necessarily match explanations for other indicators in this index, owing to different counting methods and timeframes).</t>
  </si>
  <si>
    <t>According to data from the World Bank, in 1999-2008 Nicaragua had a total of four projects in the electricity industry and the  water and transport sectors. Of the four projects, three were in the electricity industry and one was in the transport sector. (Figures do not include management and lease contracts or divestitures. Please note that numbers do not necessarily match explanations for other indicators in this index, owing to different counting methods and timeframes).</t>
  </si>
  <si>
    <t>According to data from the World Bank, in 1999-2008 Panama had a total of four projects in the electricity industry and the water and transport sectors. However, these were exclusively in the electricity industry and reached financial closure between 2000 and 2007. (Figures do not include management and lease contracts or divestitures. Please note that numbers do not necessarily match explanations for other indicators in this index, owing to different counting methods and timeframes).</t>
  </si>
  <si>
    <t>According to data from the World Bank Private Participation in Infrastructure data base, between 1999 and 2008 Paraguay did not complete any electricity, water or transport concession projects. The last project, in the transport sector, reached financial foreclosure in 1998. (Figures do not include management and lease contracts or divestitures. Please note that numbers do not necessarily match explanations for other indicators in this index, owing to different counting methods and timeframes).</t>
  </si>
  <si>
    <t>According to data from the World Bank, in 1999-2008 Peru had a total of 24 projects in the electricity industry and the water and transport sectors. Of these 24 projects, six were in the electricity industry, 16 were in the transport sector and two were in the water and sewerage sector. One of the transport projects recently reached financial closure in 2008. (Figures do not include management and lease contracts or divestitures. Please note that numbers do not necessarily match explanations for other indicators in this index, owing to different counting methods and timeframes).</t>
  </si>
  <si>
    <t>According to data from the World Bank, in 1999-2006 Trinidad and Tobago had only one build, own and operate project. This was in the water sector. Across the four major infrastructure sectors (that is, water, transport, energy and telecoms), this project represented 25% of all projects. (Figures do not include management and lease contracts or divestitures. Please note that numbers do not necessarily match explanations for other indicators in this index, owing to different counting methods and timeframes).</t>
  </si>
  <si>
    <t>According to data from the World Bank, in 1999-2008 Uruguay had a total of four projects in the electricity industry and the  water and transport sectors. Of these four projects, three were in the transport sector and one was in the water and sewerage sector. (Figures do not include management and lease contracts or divestitures. Please note that numbers do not necessarily match explanations for other indicators in this index, owing to different counting methods and timeframes).</t>
  </si>
  <si>
    <t>Out of 28 projects in the World Bank PPI database for the transport sector and water and electricity industries from 1999-2008, Argentina had five cancelled or distressed projects, for an overall distress rate of 17.9%.</t>
  </si>
  <si>
    <t>Out of 168 projects in the World Bank PPI database for the transport and water sectors and the electricity industry in 1999-2008, Brazil had five cancelled or distressed projects, for an overall distress rate of 3%.</t>
  </si>
  <si>
    <t>Out of 44 projects in the World Bank PPI database for the transport and water sectors and the electricity industry from 1999-2008, Chile had no cancelled or distressed projects, for an overall distress rate of 0%.</t>
  </si>
  <si>
    <t>Out of 41 projects in the World Bank PPI database for the transport and water sectors and electricity industry from 1999-2008, Colombia had three cancelled or distressed projects, for an overall distress rate of 7.3%.</t>
  </si>
  <si>
    <t>Out of ten projects in the World Bank PPI database for the transport and water sectors and the electricity industry in 1999-2008, Costa Rica had no cancelled or distressed projects, for an overall distress rate of 0%.</t>
  </si>
  <si>
    <t>Out of ten projects in the World Bank PPI database for the transport and water sectors and the electricity industry from 1999-2008, the Dominican Republic had one cancelled or distressed project, for an overall distress rate of 10%.</t>
  </si>
  <si>
    <t>Out of 12 projects in the World Bank PPI database for the transport and water sectors and the electricity industry in 1999-2008, Ecuador had no cancelled or distressed projects, for an overall distress rate of 0%.</t>
  </si>
  <si>
    <t>The World Bank PPI database only indicates one concession project, in the electricity industry. It did not experience distress or cancellation.</t>
  </si>
  <si>
    <t>Out of seven projects in the World Bank PPI database for the transport and water sectors and the electricity industry in 1999-2008, Guatemala had no cancelled or distressed projects, for an overall distress rate of 0%.</t>
  </si>
  <si>
    <t>Out of five projects in the World Bank PPI database for the transport and water sectors and the electricity industry in 1999-2008, Honduras had no cancelled or distressed projects, for an overall distress rate of 0%.</t>
  </si>
  <si>
    <t>Out of 69 projects in the World Bank PPI database for the transport and water sectors and the electricity industry in 1999-2008, Mexico had three cancelled or distressed projects, for an overall distress rate of 4.3%.</t>
  </si>
  <si>
    <t>Out of four projects in the World Bank PPI database for the transport and water sectors and electricity industries from 1999-2008, Nicaragua had no cancelled or distressed projects, for an overall distress rate of 0%.</t>
  </si>
  <si>
    <t>Out of four projects in the World Bank PPI database for the transport and water sectors and the electricity industry in 1999-2008, Panama had 0 cancelled or distressed projects, for an overall distress rate of 0%.</t>
  </si>
  <si>
    <t>The World Bank PPI database indicates no concession project in the electricity industry or the transport or water sectors.</t>
  </si>
  <si>
    <t>Out of 24 projects in the World Bank PPI database for the transport and water sectors and the electricity industry from 1999-2008, Peru had one cancelled or distressed project, for an overall distress rate of 4.2%.</t>
  </si>
  <si>
    <t>According to the World Bank PPI database, Trinidad &amp; Tobago's sole water concession project in 1997-2006, run by the Desalination Company of Trinidad &amp; Tobago, was distressed. (Figures do not include management and lease contracts or divestitures. Please note that numbers do not necessarily match explanations for other indicators in this index, owing to different counting methods and timeframes.)</t>
  </si>
  <si>
    <t>Out of four projects in the World Bank PPI database for the transport and water sectors and the electricity industry in 1999-2008, Uruguay had one cancelled or distressed project, for an overall distress rate of 25%.</t>
  </si>
  <si>
    <t>Out of four projects in the World Bank PPI database for the transport and water sectors and the electricity industry in 1999-2008, Venezuela had one cancelled or distressed project, for an overall distress rate of 25%.</t>
  </si>
  <si>
    <t xml:space="preserve">The country does not have much experience with PPP projects that it can use to develop a detailed rationale for this indicator; however, the track record for using economic criteria to designate projects has been poor, and, overall, regulators only occasionally use efficient variables to award projects. Net present value analysis for future revenue of long-term road contracts has been used for project awards in one case. The new concession programme includes at least three toll roads to connect the triangle plan with important traffic, the Paraguay-Parana Hydro-way and at least the Asunción and Ciudad del Este airport. Total private investment could reach US$600m if the programme is developed. All these projects in principle will be self-financed by fee collection from users and the present value of revenue will be used as the allocation criterion for roads, according to documents from the Ministry of Public Works. </t>
  </si>
  <si>
    <t xml:space="preserve">Bidding processes are generally competitive and transparent. Economic award criteria are used in most cases, effectively reducing political discretion in the decision-making process. The factors used in deciding awards have varied; recently, net present value of revenue has been used for transport projects, although the lowest subsidy and other such traditional criteria have also been used on occasion. Political pressure is sometimes a factor after an award has been made and can affect the development of projects. The recent allocation of projects in airports, the sewage treatment plant, toll roads and electricity projects does show progress in the proper managing of project bidding processes. The recent use of the present value criterion represents a better risk-allocation scheme, since the term of the concession varies according to revenue. </t>
  </si>
  <si>
    <t>There is little experience in water or transport concessions, although Trinidad and Tobago has been able to incorporate private investment in other areas, such as electricity and telecoms. In the telecoms sector, the country had initially fallen behind other English-speaking Caribbean countries on regulatory reform. Nevertheless, it was able to resolve some critical bottlenecks by establishing a technically qualified and independent regulator with a policy of promoting competition and increasing service coverage. Although some pending challenges remain, this action shows that the country has the capacity to promote private sector participation in infrastructure with reasonable levels of efficiency once political obstacles are removed.</t>
  </si>
  <si>
    <t xml:space="preserve">The four roadways and port concessions were awarded by a competitive bidding process, although the criteria to award bids have not been consistent. In some cases, a multitude of criteria have been used, weighing both economic and technical considerations. In other cases, the net present value of revenue of the concession has been used as the sole criterion. The Mega Concession scheme constitutes a direct transfer of almost 2,000 km worth of roads to CVU's jurisdiction (rather than undergoing a bidding process). This state firm operates more like a private firm than a public one in terms of the process used to award projects and obtains financing, despite the fact that the firm itself is funded mostly through public budgets. Tocaf legislation allows the direct award by public entities of infrastructure concessions in exceptional situations. Nevertheless, it is not advisable to utilise PPP schemes for urgent infrastructure development, given the long-term nature of the contracts and the need to have well-thought-out projects. Also, CND could obtain concessions by direct negotiation and transferring them to the private sector without having to abide by public purchase transparency requirements. </t>
  </si>
  <si>
    <t xml:space="preserve">Although the Concession Law requires bidding and economic evaluation of projects for awarding contracts, in practice, political discretion is the norm. A bias against foreign investor and operator participation also exists. The process of project selection is mostly political. </t>
  </si>
  <si>
    <t>The myriad of difficulties faced by Argentinean concession projects, including continuous renegotiations, conflicts, and even project crisis, demonstrate the inadequacy of risk distribution efforts in concession contracts to date. Argentina renegotiated 34 out of 40 of its transport concessions and 11 out of 14 of its water and sanitation sector concessions from the mid 1980s-2000 (Guasch 2004). This was largely explained by poor contract design that allowed ex post opportunism by the contractors and regulators alike. The later currency devaluation again forced renegotiation of concession contracts, albeit for different reasons. In Argentina both concessionaires and the government tend to renegotiate contracts. Concessionaires renegotiate whenever market conditions change and use arguments related to financial equilibrium, which ultimately leads to continuous adjustments in service levels for end-users. The government tends to initiate renegotiations based on political considerations and attempts to change the terms of government compensation to concessionaires. In summary, a proper risk-allocation methodology and system does not exist, a situation that has been exploited by both the state and by the private sector.</t>
  </si>
  <si>
    <t xml:space="preserve">Concession renegotiations have been initiated in the past by both the state, to reduce tariff and service levels, as well as by the concessionaires in response to adverse economic situations. From the mid-1980s through to 2000, 28 out of 50 transport concession projects were renegotiated and 42 out of 50 water and sanitation concession projects were renegotiated (Guasch 2004). Changes to project details initiated by either party are anticipated in original contracts. Furthermore, the metrics used to award contracts (lowest tariff offered, without guaranteeing minimum traffic levels), do not create internal mechanisms that allow for risk of demand fluctuation. Financial instability created by long periods with high interest rates has also affected projects and caused renegotiation of investment agreements. This has exposed the potential inadequacy of contract award mechanisms and risk allocation rules. Risks derived from unilateral government contract modifications should also be treated differently from those originating from commercial factors. On the positive side, however, a focus on cost-recuperation and conservation of infrastructure limited the renegotiation costs and increased projects' profitability. Currently, there is a capital market deep enough to cover different types of project risk (although the use of the available instruments has been limited). The economic equilibrium concept should also take lower precedence in the new generation of concession projects, since the 2004 law was passed, as it encourages a better allocation of risks ex ante and ex post. The reforms of the electricity industry since 2004 have created incentives for changing the energy matrix with private investment in thermoelectric generation. This represents an improved approach to shortage risks in the electricity industry. </t>
  </si>
  <si>
    <t xml:space="preserve">IIn the transport sector, a contractual system has been formed in which the state limits demand risk by guaranteeing minimum traffic levels. The demand risk is undertaken first by capital contributors, and then by the state through an explicit guarantee in the contract. Long-term bonds for US$5bn have been issued with private credit enhancement in order to access the local capital market. Use of the present value of future revenue as an economic criteria limits demand risk for capital contributors, as well as ex post renegotiation incentives. Although traffic guarantee mechanisms have been used in order to sustain capital profitability for projects that were not profitable, this practice was recently eliminated.
The past risk of excessive project renegotiation has nonetheless been high in Chile. According to a study by Engel et al., of the 50 concessions initiated in Chile under the MOP concession law, bilateral renegotiations were three times the number of concessions (if arbitration is counted as renegotiation). This number is comparable with that of Spain, which experienced close to four renegotiations per contract on average in highway concessions, eventually forcing a change in the country's concession law to specify clearly renegotiation criteria. The recent renegotiation of prisons with cost overrun over 50% echoes this poor prior performance. Nevertheless, the approval of the new law is expected to reduce the incidence of unnecessary renegotiations and lower post-contractual risk.
</t>
  </si>
  <si>
    <t xml:space="preserve">Although contracts have been designed in an attempt to limit the transfer of commercial risk from the private sector to the state, in practice contracts have been modified when costs exceed one-third of the original cost. From the mid 1980s to 2000, 28 out of 44 transport projects in Colombia were renegotiated, although none of the seven water or sanitation concession projects was renegotiated (Guasch, 2004). Such renegotiations have been conducted on the basis of amicable arbitration proceedings, as a result of low resistance from the state and by leveraging the concept of maintaining a concession's economic balance. This is also the case for airport concessions where, despite the fact that contracts' tariffs were the sole source of concessionary income, all contractors had to be compensated for their income loss as a result of the economic crisis. In keeping with this track record, the Ruta del Sol highway concession was allocated with only preliminary engineering and incomplete environmental studies so that bidding and award would take place before the incumbent government left office. This makes it very likely that the concessionaire will ultimately end up transferring project completion risk to the government. </t>
  </si>
  <si>
    <t>The existence of a clause establishing financial balance for concessions alters what is established by the tender conditions and in contracts. It induces litigation and a transfer of commercial risks to the state. The experience of the concession of the San José airport is an important case, because ultimately the contractor did not fulfill their promises and the concession was annulled. This created a poor reputation for an otherwise important project. The state also assumes part of the risks for highway projects by guaranteeing 70% of the expected value of traffic. However, it is unclear whether such high guarantee levels reduce financial risks or merely safeguard financial creditors. The cancellation of the concession of the Juan Santa Maria airport in 2009 demonstrates how ambiguous risk allocation established in contracts leaves room for conflict during a concession's implementation</t>
  </si>
  <si>
    <t xml:space="preserve">The state assumes all project risks, both commercial and financial, for PPP projects formulated and awarded. Projects are structured as a concession so as to avoid accounting for the investment as a deficit, and the higher costs of financing are not offset by transferring the risks to private persons or bodies. In the case of the CORAL fast motorway concession, the government paid the private contractor as the work progressed, similar to the way the government would finance a public project. The revenue from tolls is minor compared with the minimum guarantee from the government, which in practice implies a hidden implicit subsidy. In the electricity industry the government has not been able to implement a system where the private sector has the incentive to provide efficient services. Providing efficient services require sinking significant investment, but political and expropriation risk is inhibiting such investment. </t>
  </si>
  <si>
    <t>In general, PPP projects have been granted under a regulatory framework in which the concession's financial equilibrium must be maintained beyond what is established in the contract. The incentive to renegotiate based on the general principle of keeping the financial equilibrium has caused constant modifications to tariffs and service levels after a project is launched. This has frequently resulted in risks normally undertaken by the private sector to be transferred to the state. This was the case for the Pan-American Highway and Quito airport projects. After the Constitutional reform, the expropriation risk for any private investor in public utilities has increased drastically, and government authorities have changed their willingness to bear these risks and even comply with terms specified in concession contracts. In 2008 the international Manta Port operator unilaterally ended the contract as a result of supposed non-compliance by the state. The government nevertheless charged the operator with a US$7m fine in 2010 for non-compliance.</t>
  </si>
  <si>
    <t>El Salvador has been able to attract investment into the telecommunication sector and the electricity industry. In the latter, the recent oil price surge resulting from dependence on inefficient diesel generation led to government intervention in electricity prices. After the public became concerned with spot price setting by generators, regulations were changed so that price quotes had to be used instead of marginal cost pricing. Credibility is critical to promoting more efficient investment in the electricity generating segment and the new government will have to attract private investment. It is striving to convince the private sector to invest in much-needed generating capacity. In the transport and water sectors El Salvador does not have any live or concluded projects from which a track record of risk allocation effectiveness can be measured. However, the government has improved the schemes for managing risk in public works. For example, it has eliminated arbitration based on equity because this scheme promoted litigation and ex post contractual opportunism.</t>
  </si>
  <si>
    <t>Under the existing highway concession, the contractor is responsible for conservation and operation, and does not assume any significant risks associated with financing the investment. There have been no instances to date of risk hedging for projects. No new project has yet been developed from which it would be possible to assess an improvements in transport infrastructure risk allocation methods. In the electricity industry the government has assumed subsidies for end-users through the state-owned hydroelectric company, reducing the interference on tariffs received by private operators and consequently lowering perceived political risk.</t>
  </si>
  <si>
    <t xml:space="preserve">The airport concession project in Tegucigalpa was plagued by conflicts and negative perceptions. In retrospect, it is clear that the contract did not effectively assign risks to the parties involved and that management of these risks was insufficient to protect the public interest. In the last few years, there has been a complete paralysis in the efforts to expand the private sector's role in infrastructure projects. </t>
  </si>
  <si>
    <t xml:space="preserve">In the case of the country's primary road concession project, the government eventually assumed financing and interest rate risk. It is not clear how cost overruns resulting from delays will be distributed. Local capital markets are not well developed and do not permit the financing of large or complex projects. Nor are there useful instruments for mitigating project risk. There is, however, free and easy access to international capital markets and financial instruments. In the road-building industry, the government continues to serve the debt obligations of the private toll road concession, despite the fact that financial obligations by the concessionaire have not yet been paid. In the electricity industry, the state-owned company is developing renewable energy projects, but as it does not put its own capital at risk when doing so (as private actors would), project design and costs are notably subject to less discipline. </t>
  </si>
  <si>
    <t>Experience with the first generation of concessions has shown that the state has not been able to transfer commercial risk to the private sector as it should. The economic and bidding design used for the first generation of toll roads was poor, as projects set very high tolls without mitigation schemes for reduced traffic levels and at the same time the government overinvested in free transport alternatives. According to a World Bank study of infrastructure concessions renegotiations in Latin America between the mid-1980s and 2000, Mexico renegotiated 46 out of 91 transport concession projects and 46 out of 58 water and sanitation projects (Guasch, 2004). This outcome was also influenced by the financial crisis of the mid-1990s and the need to maintain projects' financial equilibrium. Economic elements of contract design are still wanting; in the newer wave of road-building concessions, the present value criterion has not been used, despite the fact that this would reduce demand risk. Rather, the state has established the highest payment to the government or the lowest government subsidy proposed by the bidder as award criteria  and does not guarantee income for a minimum traffic level. Nevertheless, after the subprime crisis new schemes of risk sharing are being designed, including minimum-traffic guarantee schemes. Taking the present value of revenue is also being considered as a possible criterion, which would reduce macroeconomic risk for concessionaires.</t>
  </si>
  <si>
    <t>There is not enough experience to evaluate risk-allocation effectiveness. Nicaragua has not granted concessions of transport and water infrastructure. In the energy sector, where there has been private participation in electricity generation, the risk of indirect expropriation through price freezing is deterring private investment.</t>
  </si>
  <si>
    <t>In the past, the private sector has often transferred commercial risks to the state, rather than take responsibility for financial losses. International firms that have undertaken concessions have financed their projects with external funds. Risk-hedging instruments have been used in a few cases. The current agreement to rescue the Ingenieros Civiles Asociados (ICA) and Pycsa road concessionaires demonstrates that an uneven assumption of risks between the state and the private sector persists. The public perception of abuses by private concessionaires will be increased after this massive "bail out" with social security money. In the electricity industry, the allocation of risks has been more reasonable and in line with regional standards.</t>
  </si>
  <si>
    <t xml:space="preserve">Paraguay does not have much experience with PPP projects; however, the country's one transport project during the 1997-2007 period was not cancelled or distressed. The score is based on the country's performance in related areas, particularly the inadequacy of risk allocation considerations in the legal framework and the low project preparation capacity, which makes the need for contract renegotiations more likely, although there are laws in place to limit the scope of such changes. </t>
  </si>
  <si>
    <t xml:space="preserve">In the transport sector, public bidding mechanisms for PPP investment projects are used at the federal level. The variables for awarding a contract are principally economic in nature, although well-regarded measures such as the present value of revenue are not used. Not using these measures increases the need for renegotiation. Fixed terms imply lost profits when demand is lower than expected and excessive profits when demand is higher than expected. In the case of recent bids for toll highways, such as the Fideicomiso de Apoyo al Rescate de Autopistas Concesionadas (FARAC) project, the unusually high prices and profits demonstrate insufficient planning capacity during bidding. Nevertheless, the government has been working to better prepare the bidding for other FARAC programmes, among other measures reducing the size of each package in order to increase competition. The FARAC project represents an effort to transfer back to private operators all the concessions that had to be phased out during the financial crisis of the mid-1990s (most of the toll roads ended up in the hands of state banks). Provided the process remains competitive, it is sound practice to bring them under private management. 
Experience with the first generation of concessions has shown that the state has not been able to transfer commercial risk to the private sector as it should. The economic and bidding design used for the first generation of toll roads was poor, as projects set very high tolls without mitigation schemes for reduced traffic levels and at the same time the government overinvested in free transport alternatives. According to a World Bank study of infrastructure concessions renegotiations in Latin America between the mid-1980s and 2000, Mexico renegotiated 46 out of 91 transport concession projects and 46 out of 58 water and sanitation projects (Guasch, 2004). This outcome was also influenced by the financial crisis of the mid-1990s and the need to maintain projects' financial equilibrium. Economic elements of contract design are still wanting; in the newer wave of road-building concessions, the present value criterion has not been used, despite the fact that this would reduce demand risk. Rather, the state has established the highest payment to the government or the lowest government subsidy proposed by the bidder as award criteria  and does not guarantee income for a minimum traffic level. Nevertheless, after the subprime crisis new schemes of risk sharing are being designed, including minimum-traffic guarantee schemes. Taking the present value of revenue is also being considered as a possible criterion, which would reduce macroeconomic risk for concessionaires.
</t>
  </si>
  <si>
    <t xml:space="preserve">Throughout the 1990s, Chile improved its project formulation and preparation capacities. However, the MOP-Gate corruption scandal caused a reduction in project preparation funding and capacity to develop effectively pre-investment contracting stages clearly deteriorated. Although capacity at MOP has increased since 2006, the ability to control operations provided under concession contracts remains weak. Sanitary companies' regulatory capacity is still insufficient and information on operations and management is difficult to obtain, despite the fact that development plans must be redefined every five years. The Ministry of the Treasury serves as an effective counterpart that evaluates contingent liabilities. Although there is a good, long track record of public investment evaluation, its importance in formulation of contracts has weakened. Also, value for money evaluations are not carried out for project concessions. Nevertheless, difficulties with prison concessions (where one concession had to be cancelled after two years of paralysis, and another two suffered significant cost overrun and delays) have led the Ministry of the Treasury to begin developing methodologies for comparing public investment options with concession investment options. </t>
  </si>
  <si>
    <t xml:space="preserve">The Instituto Nacional de Concesiones de Colombia (INCO, the National Institution of Concessions) has limited skills and experience in preparing projects, which has led the institution to abandon the policy of calling for general bids. Currently, the institution proposes projects in which only preliminary engineering and environmental studies are developed prior to bidding, leaving the remainder for the concession stage. This means that environmental studies and land acquisition are the responsibilities of private persons. INCO does not have specialised financial or contracting skills, or any project follow-up capabilities. The Treasury has developed some competencies aimed at evaluating the risks and contingent liabilities of concession projects and establishing reserve funds for such liabilities. The allocation of the US$2.6bn Ruta del Sol Highway concession to be developed during a period of ten years with only conceptual engineering in areas of complex topography does not show an improvement of the way INCO is preparing concession projects. Nevertheless, it seems that the Design Built Operate and Transfer (DBOT) contracts are allocating more risk to the concessionaires. In the electricity industry, the Ministry of Mines and Energy and the regulator have reasonable capacity to plan and oversee the sector. </t>
  </si>
  <si>
    <t>Responsibility for the concessions management process is excessively concentrated in the hands of the executive secretariat of the National Concessions Council. However, this secretariat has limited technical capacity, its directors are frequently changed and it has few qualified personnel. This results in poorly prepared projects that generate conflicts with concessionaires in the long-term. For example, the concessionaire of the international airport had to be changed in 2009 owing to severe disputes over the fulfillment of contract commitments between the Concession Council and the operator, with the intervention of the Office of the Comptroller (Contraloría). In the case of the Caldera Route, the Contraloría has again intervened owing to the negative environmental impact of the project that became apparent during construction. These problems in the few concessions in operations are a signal of limited oversight capacity of concession projects.</t>
  </si>
  <si>
    <t xml:space="preserve">There is limited capacity at the planning offices of the Secretariat for Transport and Public Works when it comes to formulating PPP project plans. Nevertheless, the Viadom programme involves a concession of a network of highways and places great emphasis on recouping and maintaining the quality standards of the roads, which is always a significant issue in the country. This is a well-designed project and is tailored to actual demand. However, serious restraints exist regarding the financial aspects of the contract. One big bottleneck is that most projects are propelled by OPRET, a unit that reports to the presidency. It has recently suggested and called tenders for the concession of a new line of the metro without any prior reasonable technical studies concerning demand. The first line of the metro in the capital, Santo Domingo, transports one-third of the forecast demand. This is exemplary of the lack of technical capacity of OPRET and the bodies involved in many of the country's proposed projects. The capacity to plan infrastructure projects is very poor. The new metro line initiated operation with a level of traffic less than 40% of estimated demand. Despite the low performance, the government insists on building a new line that will be much more expensive; only the financial crisis and lack of access to financing is preventing the development of the project. </t>
  </si>
  <si>
    <t xml:space="preserve">Government officials exhibit reasonable capacity for preparing the technical aspects of projects and any necessary expropriations. However, skills are inadequate in the areas of handling financial planning and certain contractual matters, such as contract supervision and design. Nevertheless, financial capabilities are slowly developing, as evidenced by the growing size of the Red Solidaria funds, which have been financed through international sources and will be used to fund basic infrastructure projects. If the new government does decide to enter into PPP contracts for ports and toll roads in the near future, a minimum level of technical capability to structure these deals and to allocate risk between private and public sector will need to be developed. </t>
  </si>
  <si>
    <t xml:space="preserve">The government's capacity for preparing and implementing concession projects is very limited. The concessions unit of the Secretariat for Communications and Transport does not have the staff necessary for establishing a concessions programme in the sector, nor do the finance and planning authorities have the capacity to provide a necessary counterweight. It remains to be seen if, with the new legislation, these capacities will be further developed. </t>
  </si>
  <si>
    <t xml:space="preserve">The Ministry for Public Works and Transport has limited capacity for project preparation and implementation. That said, the existence of the Superintendency implies that there is some capacity for contract monitoring and investigation. For example, the Superintendency exercised its oversight role when it actively applied fines to the original airport concessionaire. On the other hand, the initiative to transform the port of Puerto Cortés into a post-panamax port using a traditional, state-operated scheme with public investment is unsound. In almost all the successful experiences of container terminals around the world, the projects have been structured as concessions in a single-operator scheme. </t>
  </si>
  <si>
    <t>The National Investment Bank has the experience to oversee bidding processes and international participation. Regarding the technical aspects of projects (engineering, economic analysis, environmental studies), the weakest area is in the water and sanitation sector. There is also limited capacity in the transport sector, although the EU and multilateral agencies have been supporting improvements among the entities that have regulatory and implementation responsibilities. There have also been important bilateral efforts at technical co-operation to strengthen the capability of the OUR and the FTC.</t>
  </si>
  <si>
    <t xml:space="preserve">There is low transparency surrounding the bidding and selection processes, and contract awards are often decided by political factors. There is an inadequate level of skills in the public sector to handle the technical details of project preparation, selection and planning. With support from multilateral organizations however, the Ministry of Energy is enhancing its planning and promotion capabilities, with a special focus on renewable energy. </t>
  </si>
  <si>
    <t xml:space="preserve">Panama's three highway projects have been poorly prepared from an engineering, environmental and land-planning standpoint. The government has little capacity for project preparation and even less competence in properly awarding projects. This has forced concessionaires to carry out management, permit and planning studies, with the support of the Ministry of Public Works. The incentives for concessionaires to conduct their own planning studies in a well-thought-out manner are low, because it is easy to renegotiate contract terms after the project has begun. The creation of the National Road Company may increase planning capacity, nevertheless as was the case in Uruguay, it is likely that the role of the private sector will be reduced in the road sector. </t>
  </si>
  <si>
    <t xml:space="preserve">The concessions law assigns responsibility for project preparations to the relevant body (ministry, municipality, etc) involved in the infrastructure sector. But without a centralised advisory capacity or proper cost-benefit and fiscal risk analysis, public sector lessors are incentivised to make projects more attractive to the private sector at the expense of future fiscal contingencies and economic profitability. Although a formal national investment system exists, the government does not have the experience or capacity to operate it very efficiently. However, in order to be able to develop the transport concession programme announced by the government, project planning capabilities are being enhanced. With regard to the electricity industry, the capability of ANDE to plan and undertake investment projects is very limited, a weakness that has been used as an argument for involving the private sector in electricity projects. </t>
  </si>
  <si>
    <t>Even though PPP legislation does not yet exist, there are some initiatives that include private participation in traditionally state-run activities and that are worth mention; Trinidad and Tobago has undertaken privatisation of key public sectors since the 1990s, including some electrical power generation, telecommunications and the postal service. Nevertheless, in the water and the transport infrastructure sectors, the state is the key operator and investor, and as a result capacity for developing concessions have not been put in place. In 2010 the government promoted private-sector investment for the cargo-handling operations of the Port Authority of Trinidad &amp; Tobago as a first step before involving the private sector in developing the Port of Spain sea port. Creating capabilities for PPP structuring at NIDCO is also an option open to the government.</t>
  </si>
  <si>
    <t xml:space="preserve">Venezuela developed preparation, evaluation and management capacities for projects in the late 1990s. These have resulted from the country's experience with numerous large public and private projects. Nevertheless, these capacities are being lost or falling into desuetude. The government has difficulties in attracting high-level professionals for planning and project preparation roles. The blackout crisis that struck the electricity industry in 2007 was mostly the result of a lack of proper planning, as droughts are a factor that has yet to be incorporated in a mostly hydroelectric industry. </t>
  </si>
  <si>
    <t>Criteria used to award lease contracts are mainly economic, although technical criteria (for example, quality of engineering and architectural design) are also considered. However, the bias in favour of economic criteria, such as rate quotes for services or short-term subsidy offers to end-users, is not necessarily the most effective method, especially in the case of highways and airports. Another problem is that firms selected for a second round of bidding may engage in tenders that are conducted aloud in an auction style after economic offers have been submitted in writing, reducing the transparency and objectivity of the bids established through the latter method in the first round. In the electricity industry, distribution companies are obligated to call for bids for long-term contracts, which has created a market mechanism that stimulates and orients new investment in generation.</t>
  </si>
  <si>
    <t xml:space="preserve">In recent years, the Contracting General Co-ordinating Office has used the net present value criteria as the single variable for awarding contracts in the transport sector, once experience and technical quality requirements have been met. Despite the limited supervision of contract renegotiations, the selection of higher-quality project bids over those with larger economic offers to the government and better political sway prevents project complications to some extent. The contract awarding mechanism is very transparent, and contracts and contract modifications are adequately publicised. A similar situation exists in the sanitary and port sectors, where records of project bidding schemes and process transparency are spotless. The new concession law improves the methods and criteria for awarding projects, although its full implementation and application remain to be seen. </t>
  </si>
  <si>
    <t xml:space="preserve">Tender criteria have evolved in Colombia from a minimum tariff or subsidy to the use of expected revenue calculations (with flexible deadlines) to award concessions. However, for recent projects, flexible deadlines for revenue calculations have forced renegotiation of a large proportion of the total work. This negatively affects the integrity of tender processes; however, the recent allocation of the Ruta del Sol concession based on the present value of revenue, including government subsidies, shows an improvement over prior schemes. In the electricity industry, there is scope for private investment in generation based on efficiency grounds; private generators could sell energy to commercialisation companies, or in the wholesale market. The number of private players acting as commercialisation agents and in the wholesale market generates a reasonable level of competition, which will attract private investment on efficiency grounds. </t>
  </si>
  <si>
    <t>Costa Rica's Public Works Concessions Act of 1998 establishes reasonable criteria for awarding projects. Unlike other legal frameworks in the region, a primary criterion to be used is the project's present value of revenue, which is the best way to handle awards, especially for highway and airport projects. However, a minority of projects have been tendered out using this criterion. Tariffs have also been used a as criterion, as well as state participation levels, both with fixed durations. Although these are not the best variables, they are nonetheless objective ones that generate reasonable levels of transparency during the tender process.</t>
  </si>
  <si>
    <t xml:space="preserve">As part of the DR-CAFTA agreement, in 2006 the Dominican Republic modified the legal framework for public purchases, contracting of public works and concessions. It did this by establishing new transparency and public bidding requirements. Unfortunately, these have not been well-implemented in the past few years, as the enforcement of this new legislation has been especially weak in the infrastructure sector. Nor are the award criteria established in the Public Purchases Law optimal for highway concessions. For example, the present value of revenue is not included and the award mechanisms are arbitrary and opaque. For the sole highway project in which the government estimated minimum traffic to guarantee a project, subsidy transfers ended up being at least three times higher than the toll revenue. In the electricity industry, direct negotiation for awarding hydroelectric projects by the government has been the rule. </t>
  </si>
  <si>
    <t xml:space="preserve">Concession tenders in most infrastructure sectors have been negatively affected by low transparency and the arbitrary choices resulting from the non-economic and non-technical factors that play a key role in decision-making. This is especially the case for port projects. It is common for negotiations to be held after the tender in order to determine the conditions of the concession. Generally, there has been little competition during bidding processes. Furthermore, the selected bidder is usually involved in a long process of negotiation on economic and service conditions. In part, this is owing to the insufficiency of the studies presented during the bidding process. Since 2008 the process continues to lack transparency and shows a highly political character. </t>
  </si>
  <si>
    <t xml:space="preserve">El Salvador has yet not had any experience in transport or water concessions. Tender processes and mechanisms have low transparency despite the fact that public purchasing law requires tenders to be conducted in a competitive manner. For example, financing discussions with the Japanese government for a project proposed in September 2007 to renovate El Salvador's international airport was still underway as of early December 2008, even though the French government had already financed the master plan with US$500m. The bidding process for carrying out the expansion is not expected to conclude until 2011. The new government is planning the first-ever concession of a toll road in 2011. The forecast traffic for the road justifies the level of investment being planned (around US$50m). </t>
  </si>
  <si>
    <t xml:space="preserve">Tender processes do not create the conditions for fair competition; they are highly subjective and lack transparency. In the case of tenders for the ring-road project around Guatemala City and the Northern Strip, the deadlines for submitting bids were inadequate to generate proper competition. The new PPP law limits significantly the government's discretionary freedom in awarding projects. Nevertheless, recent actions taken by the government regarding public works projects show that transparency is still missing across sectors. The electricity industry is better governed, and benefits from a more open and transparent market. </t>
  </si>
  <si>
    <t xml:space="preserve">Although Honduras has made progress by enacting a public purchase law, a Competition Law, and mandating competitive bidding and openness to foreign investment, in practice there is a local political culture of low transparency with big projects. The recent allocation of the Nacaome concession to a private consortium with the approval of Congress and despite the opposition of the Italian government (the main project donor) shows that the proper methods to handle project selection and award are lacking. In the electrical industry, ENEE also agrees upon contracts with private operators in a discretionary manner. </t>
  </si>
  <si>
    <t xml:space="preserve">Although the law requires that economic variables be evaluated as part of the bidding process, in practice a great degree of political discretion is used. Indeed, negotiations after the bidding process with the preferred party reduce the discipline of the bidding process drastically. Road projects, where the auction was based on a minimum subsidy from the government, have been renegotiated many times. In the electricity industry, a more competitive environment for private participation in electricity generation has been created, and could improve the efficiency of investment. </t>
  </si>
  <si>
    <t xml:space="preserve">The judiciary is highly politicised and bribery is a major problem. Property rights are protected by legislation, but enforcement is weak. There is effectively no competition or anti-trust law enforcement. Regulators are subject to political pressure, a phenomenon that has been worsened by the new constitution's concentration of power in the executive branch. The new constitution also establishes through Article 422 the authority to disregard international court rulings on contractual or commercial controversies between the state and private legal bodies. As a result, foreign companies are taking legal action against the government, claiming that unfair decisions and unilateral contract cancellations have damaged them. The government is now defending itself in six major arbitration cases. The potential size of claims has led the IMF to warn Ecuador that it must consider setting funds aside to cover compensation costs. However, the Ecuadorean authorities are playing down the threat of possible legal defeats in the ICSID. As of March 2010 there were six active cases filed against the government of Ecuador in the ICSID. The most recent one filed in December 2009 is the concessionaire of Quito airport. As of May the president is threatening the expropriation of private petroleum operations, further increasing the vulnerability of private operations in key public services. </t>
  </si>
  <si>
    <t xml:space="preserve">The courts have a reasonable degree of independence in both commercial and civil matters, to ensure the rights of the state and private persons and bodies. Over US$1.4bn has been invested in the past 12 years by the private sector in electricity generation. Conflicts did not arise until prices skyrocketed owing to external (non-project-related) factors. The 1996 reform of the electricity industry has been implemented with reasonable predictability and sound risk allocation among different players, although government-induced price distortions have sometimes increased indirect expropriation risk. For transport infrastructure projects, the system of obtaining rights of way and resolving environmental problems in public works functions fairly efficiently; no major legal difficulties have arisen in the past, and public officials have dealt promptly with permit and access to land issues. This is an uncommon strength in the region, given that the main obstacle in many Central American countries is securing the right of way for land acquisition in order to construct new works for concessions. </t>
  </si>
  <si>
    <t xml:space="preserve">Guatemala's courts have limited independence, and resolving conflicts is long, drawn out and unpredictable. Nonetheless, the courts upheld the contractor's right in the case of the only highway concession in operation, despite some political pressure. Ensuring rights of way and resolving environmental conflicts are two key areas where the legal system moves at a slow and unpredictable pace. Typically, a contractor must secure the rights of way, conduct studies, and obtain whatever environmental permits are necessary. The arbitration mechanism established in the PPP law lowers the legal risk for PPP projects. The new law introduces arbitration proceedings based on law and contract, with the possibility of appealing to international courts and establishing guarantees against political risk by partnering with multilateral bodies. Once fully implemented, these changes will represent an important step forward. The jurisdiction of the administrative courts is preserved for cases in which there are administrative decisions by authorities that could affect the rights of the concessionaire, as required by the Constitution. In the electricity industry, the regulator has a record of using technical criteria to determine rulings and the courts have in general supported the objective non-political opinion of the regulator against more populist views expressed by different groups, creating reasonable legal security for the private sector. </t>
  </si>
  <si>
    <t xml:space="preserve">The judicial process is slow, as criminal trials clog the court system and delay commercial dispute resolution. A special commercial court was introduced as early as 2001, but it must be upgraded and streamlined to speed up the processing of cases and to facilitate greater specialisation in the field of commercial and financial law by lawyers and judges. Property and contract rights are upheld, but, in the event of a dispute, resolution is a slow and costly process. Foreign investors, who in general are on a level playing field with domestic businesses, can also refer disputes with local partners for international arbitration. Utility and financial regulation has been strengthened in recent years, as have the powers of the FTC. In the electricity sector the OUR has been having a pro active role to establish a competitive and a level plain field for private energy generation companies given the disproportionate power of the JPSCo. </t>
  </si>
  <si>
    <t xml:space="preserve">The general legal framework and the constitution protect property rights, requiring compensation in cases of expropriation for reasons of public interest. Tribunals have enough prestige and independence to secure reasonable protection for investors. There are general laws that regulate the termination of contracts with the state and which generate a reasonable level of legal security. Mexico has developed a system called Fideicomiso, which protects creditors’ rights in case of non-compliance by operators or the state in a particular contract. Transfer mechanisms for concessions are complicated and do not allow an expedited exit from a contract for investors. Regulations for obtaining rights of way for road or other infrastructure projects are extremely bureaucratic and often lead to legal paralysis and opportunism by property owners. Environmental and social issues often generate political conflicts that filter through the judicial system, triggering cumbersome and frustrating legal procedures. The use of judicial procedures to delay projects and increase the value of compensation for property owners is widespread Nevertheless, reforms to the Public Works and Acquisition Laws in 2009 separate discussions of monetary compensation from land acquisition discussions, which should reduce the level of  hold-up risk for road concession projects. </t>
  </si>
  <si>
    <t xml:space="preserve">The judiciary is inefficient and highly politicised, which means that contractual agreements are often not respected and the protection of property rights is limited. Despite the implementation of the new criminal code at the end of 2002, the judiciary remains politicised-the judicial career law was amended in such a way by the legislature as to justify the control of the judiciary by the Frente Sandinista de Liberación Nacional (FSLN) and the Partido Liberal Constitucionalista (PLC). The Supreme Court's judges are affiliated to one of these two main political parties. Bureaucracy is pervasive and likely to remain a constraint on investment. There also exists a high risk of political conflict that paralyses litigation. However, mechanisms to obtain rights-of-way for public works projects are obtained easily, which implies that land owners cannot trust the courts to protect their property rights. The Road Concessions Law does not permit the transfer of rights, nor does it establish mechanisms to handle previously agreed upon contract terminations. The establishment of the Sistema Interconectado Electrico Para America Central (SIEPAC, regional electrical transmission project) between Guatemala and Panama with interconnection with Mexico will integrate Nicaragua into a regional market, making the electricity industry more efficient and reducing political risk. </t>
  </si>
  <si>
    <t xml:space="preserve">The process for granting land ownership is extremely complex judicially, and this creates serious difficulties for designing concession projects. Environmental laws have evolved and currently require comprehensive environmental impact studies, and this is a bureaucratic process subject to long delays. Tribunals exist, but their independence is limited and they play a secondary role in securing concessionaires' rights. Concessionaires often use direct and closed-door negotiations with the executive branch to protect their interests and resolve disputes. The risk of expropriation is limited, but delays often occur because of government decisions that are arbitrary and not transparent. During its political campaign, the new government made claims that it would reduce electricity prices by up to 30%, reconfigure the electricity market model to avoid spot market price surges, review current Power Purchase Agreements (PPAs) and promote renewable energy development. These statements have cast some doubts on the stability of the existing institutional arrangements critical for private sector investment; nevertheless, the expectation is that the government of the president, Ricardo Martinelli, will change spot market regulation so as to secure competitive pricing and to be in line with existing best practices in very concentrated markets. </t>
  </si>
  <si>
    <t>Law No 1618 states that a concession can be terminated upon mutual agreement by the private and public parties involved. In such an instance, the public body can only agree if the creditors who have guaranteed project financing give prior approval. The concession contract includes the conditions and quality of construction of the service and the devolution of the work upon termination of the concession. As part of the evaluation and bid awards process, the profitability of a project in net present value terms is considered and calculated in accordance with the established specifications of the presented offers. No central concessions authority exists, and projects, in theory, can come from the state through its ministries, municipalities or departments; experience with such projects is, however, often quite limited. In general, private property has been protected as a fundamental right in Paraguay. However, there have been select cases of uncompensated and unjustified expropriation of land in the past few years.</t>
  </si>
  <si>
    <t xml:space="preserve">The judicial system is ineffective and many judges are open to bribery. Rulings by domestic courts can often show a bias in favour of a particular party (either public or private), and are unpredictable in many cases, according to informants. A judicial reform commission was set up in 2004, but its recommendations have largely been ignored. Increased spending in the system has brought little result. Judicial tribunals have a reasonable degree of independence from the executive branch. Ambiguity remains in the use of tribunals in arbitration matters, mainly because of the tribunals' role in resolving disputes originating from administrative decisions. In general, property rights are respected, as are contract rights, and securing rights-of-way is a fairly straightforward process. Litigation to recover debts can cost up to half the amount being contested, leading businesses to prefer trusted suppliers and customers, and discouraging competition. Litigation related to concessions has moved very slowly. Contract terminations are permitted as long as technical requirements are upheld and depending on the stage of the contract. The risk of implicit expropriation of electricity generators through price-setting has been eliminated by the reform of 2006, which allows generating companies to enter into long-term contracts with distribution companies. </t>
  </si>
  <si>
    <t xml:space="preserve">Generally speaking, there are no restrictions or disincentives for private investment. Property rights are protected under the constitution and common-law practice. Secured interests in property are recognised and enforced. Private foreign and domestic entities have the right to establish and own business enterprises and engage in remunerative activity. Under the Companies Ordinance and the Foreign Investment Act, a foreign investor may purchase shares in a local corporation, incorporate or set up a branch office in Trinidad and Tobago, or form a joint venture or partnership with a local entity. Private enterprises and public enterprises are treated equally with respect to access to markets, credit, and other business operations. No expropriation actions have been taken by the government since the 1980s. All prior expropriations were compensated to the satisfaction of the parties involved. There is no indication of policy shifts that might lead to expropriation in the future. The judicial system in Trinidad and Tobago upholds the sanctity of contracts and generally provides a level playing field for foreign investors involved in court matters. However, owing to the backlog of cases, there can be major delays in the process. This risk of excessive delay is also high for arbitration, and the process is costly. As a result, it is imperative for those investing to sign enforceable contracts and to use local attorneys. The slowness of the process often dissuades companies from using the courts to resolve issues unless really necessary; companies often prefer to speak with the NMSIO as a first option when there is a contract breach or problem. In the electricity industry, the existence of the Regulated Industries Commission (RIC) has not prevented direct political interference in price setting. </t>
  </si>
  <si>
    <t xml:space="preserve">Uruguay has a judicial system with a reasonable degree of independence from political influence. Processes are slow, however, and there is no capacity within the judiciary to handle technical PPP issues that arise during conflicts over concessions. The Concessions Law does not establish an arbitration mechanism, which means increased legal risk for these projects. Creditors' rights are not well protected in case of a failure on the part of the concessionaire. Nor are step-in rights established in legislation. Nevertheless, Law No. 17.703 established the mechanism of a financial trust that could be used to improve the position of creditors, separating specific assets for the repayment of determined debt obligations. In practice, the Uruguayan government has had a track record of respecting investors' rights. </t>
  </si>
  <si>
    <t xml:space="preserve">In the past few years, Venezuela has terminated, expropriated and limited private concession projects. These cancelled projects have been of both domestic and international ownership, in a wide variety of areas: petroleum exploration; mining; electricity; telecommunications and more. In this context, renationalisation of all industrial sectors seems likely. Recently, the government announced the centralisation of the administration of ports, airport and roads for the entire country; previously, these had been administered independently by regional governments. This measure is based in the Ley Orgánica de Descentralización, Delimitación y Transferencia de Competencias del Poder Público, approved in the past year by the National Assembly. The national tribunals have not had the independence required to protect investors' rights subsequent to these changes. This sets the precedent for the central government to block any roads concessions planned by state and municipal administrations. Expropriation risk is very high in Venezuela since the government is deepening the transfer to state ownership of all industries declared to be strategic by the president, Hugo Chávez, at his discretion. </t>
  </si>
  <si>
    <t xml:space="preserve">Contractors and regulating agencies have moderate planning, preparation, and supervision capacities. They also boast the experience of having developed one of the largest private concessions processes in the developing world (in terms of magnitude of investment and diversity of sectors). Nevertheless, this capacity has deteriorated in the last few years as political factors play an increasingly important role in decision-making. </t>
  </si>
  <si>
    <t xml:space="preserve">The main factor limiting the development of PPP projects is the reduced technical capacity at federal, state, and municipal levels. In order to address the limited project development capacity, the Banco Nacional do Desenvolvimento (BNDES, the National Development) has acted as a consultant to the government on project preparation since 2007. Supervision capacity at the Agência Nacional de Transportes Terrestres (ANTT, the National Transport Regulating Entity) is modest; the oversight capability of ANEEL is more significant. </t>
  </si>
  <si>
    <t xml:space="preserve">Although the Supreme Court is regarded as being reasonably independent, the judiciary is weak and prone to corruption. The national business lobby has won tax and regulatory concessions and overt discrimination against foreign companies is uncommon. The entry into force of the Dominican Republic-Central American Free-Trade Agreement (DR-CAFTA) in March 2007 provides increased protection against such discrimination. However, on a more general level, the risk that a contract will not be enforced remains moderate, making it difficult to enforce PPP contracts with the state. Nevertheless, in the case of the concession of the highway to Samaná, in spite of a very high traffic guarantee, the contractor was able to charge the government for the tariff gap. The government also complied with its contractual obligations despite the fact that the project was fundamentally funded with a minimum traffic guarantee far in excess of real traffic volumes (which resulted in a hefty ex post contract subsidy). However, in this example the concessionaire had a MIGA (Multilateral Investment Guarantee Agency)-backed guarantee on government obligations, which is not always the case. In the case of the highway concession San Pedro to La Romana, important conflicts have arisen related to the obligations of both public and private parties and have caused postponement of committed investment. In other areas, such as electricity, companies have had difficulty recuperating service costs and as a solution have resorted to what is known as "financial rationing", because the generators only dispatch what is actually paid by the electricity generating companies. The courts have not endeavored to enforce such contracts, which is a reflection of the country's moderately poor contract enforcement environment. The government compliance with the minimum traffic guarantee in the Samaná toll road is a good sign that political risk will not obstruct future concessions. In the electricity industry, political risk and intervention have been very high; the intervention of multilateral agencies could improve the situation in the industry. </t>
  </si>
  <si>
    <t xml:space="preserve">The Concession Law created a Concessions Committee that is responsible for preparing and executing bidding procedures, as well as inspecting and supervising awarded contracts. Furthermore, sectoral laws mention different agencies in charge of planning and oversight of service quality. Despite this design, the system has not functioned properly in practice. The concession system has been dismantled since the government has begun taking over ports, airports and roads. </t>
  </si>
  <si>
    <t xml:space="preserve">There is a long history of political interference with the Supreme Court, and the judiciary has issued contradictory rulings in key areas. A neutral appeal system for rulings by concession regulators does not exist. There is much need for an effective appeal and arbitration system, as the state has repeatedly altered prices and service levels in areas like water, electricity, gas and roads. Moreover, major currency devaluation at the beginning of the decade and the subsequent rate freezing caused nearly all contracted projects to enter into crisis. This led to modifications in the regulating mechanisms that allow public investment in leased highways and to the cancellation of important potable water and sanitation contracts. In 2008 Argentina had to face multiple indemnity claims in the ICSID. 
Currently the risk of expropriation of sunk-in private sector investments remains high. After the expiration of nine toll road concessions in 2008, the government could not grant new concessions until 2010 when most of the investment will be financed by the state. This resulted in more than US$4bn being transferred from the federal government to toll road projects. 
The energy sector is also confronted with supply constraints owing to perceptions of high risk (largely a result of tariff price freezes). New investment has been financed with resources of the Fondo Para Inversiones Necesarias Que Permitan Incrementar La Oferta De Energía Eléctrica en el Mercado Eléctrico Mayorista (Foninvemem, a government-managed fund). Private participants will only be responsible for operation and maintenance, an atypical situation that exemplifies how perceptions of high risk force the government to finance new investment. </t>
  </si>
  <si>
    <t xml:space="preserve">Brazilian courts have supported the rights of private concessioners as established by laws and contract. The PPP legal framework from 2004 allows the use of arbitration as a mechanism to resolve controversies between the state and the private sector. The law specifies that contract violations by the private sector will lead the state to recuperate the assets through early termination of contracts. However, early termination for public interest reasons will lead to compensation to creditors. Termination owing to reasons related to the public interest can also occur while maintaining indemnity rights for the contractor and a public authority's unilaterally terminating the lease may be appealed. Because creditors' step-in rights have not been established contracts have become more complex in order to protect creditors appropriately. International jurisdictions are not accepted, although Brazil has signed the New York Convention on Dispute Resolution. The Federal government established a Guarantee Fund in law 2.546 of 2004 to reduce the risk of default on government obligations to private concessionaires (which consequently reduces likelihood of disputes). </t>
  </si>
  <si>
    <t xml:space="preserve">There is little risk of political interference in the judicial process, whether from government or private interest groups. Contract rights are generally upheld and the judicial process is usually efficient. Neither the courts nor the government tend to favor domestic companies over foreign ones, and there has been no expropriation of foreign assets. Any alteration to investment recovery rights resulting from acts of excessive government authority may be appealed against and are compensated in arbitration courts, which fully guarantee these rights. Early termination of contracts may occur by mutual agreement or if there is a grave noncompliance with the contract, the new law has also established public interest as a factor for early termination with proper compensation. Contracts can be transferred without obstacle to facilitate company exits when necessary. In general, works are not started until a large part of rights of way is secured for the project. The procedure to obtain right of way is reasonably fast, as an expropriation law allows reasonable resolution of differences that may arise between the state and the property owner. However the State Defence Council faces restrictions in that it cannot commission studies by private law firms to defend the State as the lessor of infrastructure. The new concession legislation established a faster mechanism for terminating problematic concessions and provides a more precise compensation mechanism. Expropriation and hold-up risk will also be reduced under new regulation, by making it easier for the government to exit a failed concession. </t>
  </si>
  <si>
    <t xml:space="preserve">In Colombia the legal system is reasonably well able to ensure private persons' rights, as well as resolve conflicts. The laws do not permit contracts to be assigned to others, making it difficult for international investors to extricate themselves from a project should that become desirable. There are no compensation clauses in the event that a contract should expire. So far, the Colombian system has shown great flexibility to accommodate the renegotiation claims of the private sector. This was the case in the concession of airports and in toll roads. Currently, hold-up risk is higher than expropriation risk for transport projects in Colombia. However, in the electricity generation segment, the role of the regulator reduces the risk of unfair competition by state-owned companies. </t>
  </si>
  <si>
    <t xml:space="preserve">Uruguay has not created an institutional framework that can facilitate competitive or efficient private investment in infrastructure. The port industry is the most developed, albeit with an inconsistent institutional framework. Port authorities concession out specific terminals and encourage private competition for the right to provide services. However, the Port Authority of Montevideo has been transformed into a firm whose shares can be sold to the private sector (up to 40% of total value). This confuses the firm’s role as a regulator for the sector with its role as the main service provider with monopoly power. In the transport sector, the Corporación Vial del Uruguay, a public firm was created to control a significant share of the road network; like the Port Authority of Montevideo, it can incorporate private capital and is not subject to a regulatory counterweight. Once completed, the roadway concessions now taking place may be incorporated into the Mega Concession system. The Mega Concession company is controlled by the Corporación Nacional de Desarrollo, (CND, the National Development Corporation), a quasi-fiscal entity created by the government, which means that it can obtain funds and subsidies from government budgets but its debt is not counted as public debt. This form of off-balance-sheet financing reduces fiscal accountability and discipline. The restructuring of the CND will create an Infrastructure Agency that will eventually enhance private investment in infrastructure through public-private partnership (PPP) schemes. The recently elected government is considering reducing the role of the CND as a provider of infrastructure and turning it into a facilitator of private sector investment. 
The Ministry of Transport and Public Works consolidates various responsibilities under its authority, as it must set policies in the sector, execute public investment for projects and regulate transport services. In the drinking water industry, the private concessioning process has been discontinued, and OSE and the municipality of the capital, Montevideo, have the responsibility for all water services throughout the country. The powers of the Unidad Reguladora de los Servicios de Energía y Aguas de Uruguay (URSEA, the electricity industry regulator) have been extended to water in the hope that this body will exercise a supervisory role for service quality. In the electricity generation segment, the restructuring of 1997 (Law No. 16.832) allows private investment in generation and regulates the segment in a fashion similar to those of other Latin American countries. Nevertheless, as UTE has not divested its generation capacity, the segment remains vertically integrated. </t>
  </si>
  <si>
    <t xml:space="preserve">All privatisation decisions must go through the National Management and Strategic Investment Office, instead of the Divestment Secretariat. Previously, the Divestment Secretariat reported to a minister and then to the prime minister, but currently the National Management and Strategic Investment Office reports directly to the prime minister. The office is not independent, as its mandate is to represent the government and uphold government policy. However, the office does partner with independent consultants during the bidding and selection process. The enactment of the Fair Trade Act in 2006 created some additional checks and balances on government decisions. Yet the underdevelopment of proper concession processes and agencies is the main challenge for PPP development in Trinidad and Tobago; furthermore, the numbers and size of potential concession projects may not be sufficient to motivate the development of the appropriate design, evaluation and oversight capacities. The establishment of the Regulatory Industry Commission as the price-setting agency for the electricity industry, as well as the involvement of the state-owned company in transmission and distribution, have improved the functioning of the industry by leaving room for private investment in generation. Nevertheless, the government usually does not respect the prices set by the Commission, demonstrating that some weaknesses remain in the institutional framework. </t>
  </si>
  <si>
    <t xml:space="preserve">In principle, Peru has the necessary checks and balances in its institutional framework for infrastructure concessions. However, these systems do not always work well. ProInversión, which is responsible for transactions and project promotions at a federal level, does not play an effective role in supporting regional projects. (Fonace handles ProInversión's role for public firms.) The transport regulator is responsible for evaluating service quality agreed to in the contract, although its role could be strengthened if it helped to define these standards. The Superintendencia Nacional de Servicios Sanitarios (SUNASS, the Superintendency of Sanitation Services) has been created to supervise the operation of concessions (particularly service quality). There is an important concession in the water sector in Tumbes, and there are possibilities of expanding the system. The Ministry of Housing and Urban Works is developing the capacity to advise regional and municipal entities in this area. The legal changes introduced in 2008 are aimed at reducing the bureaucracy that delays the concessions process. However, the Law of Administrative Silence, which automatically grants investment approval if an authority does not issue a response within a specified period, reduces the ability to influence the selection and adjustment decisions for projects. Furthermore, despite the existence of checks and balances, the modification of contracts has still seemed to take on an arbitrary character. The supervision of the technical project aspects during preparation and execution phases is handled by the sectoral authority. Since 1998 the supervision of service levels and tariff adjustments for transport infrastructure have been overseen by OSITRAN and SUNASS oversees these aspects of water and sanitation. The oversight of these different institutions has been less efficient than expected; lack of co-ordination and rotation of leadership has limited the ability to develop the concession agenda of the government. In the electricity industry, the policy and planning role is play by DGE and regulated independently by OSINERGMIN. The transmission and most of the generation and distribution is privately provided. The centralised dispatch system operates based on marginal costs, which allows for efficient operations. Since 2006 (Law 28883), electricity generators bid for long-term contracts with distribution companies. </t>
  </si>
  <si>
    <t>The Mexican institutional system is highly fragmented; each sector and level of government is responsible for planning, implementing and supervising projects. There is no council at the ministerial level that establishes policies and oversees the entire system. Until recently, there was no agency to advise on financial or contractual issues, nor is there specialised separate supervision of service standards and economic regulation for PPS infrastructure. In the transport sector, federal law grants supervisory roles to the departments within the Ministry of Transport. However, the Ministry of Finance must approve federal level projects. The Ministry of Finance is developing evaluation procedures for fiscal risks, contingencies and the efficiency of expenditure. The Ministry of Finance is in charge of the national investment system, and exercises a certain disciplinary role in project supervision and selection. The proposed PPP legislation would not modify the extremely fragmented organisational framework, however, and a lack of checks and balances for enforcing contracts will remain. The Fondo Nacional de Infraestructura (FONADIN) is playing an advisory role, although its responsibility is mostly to provide financial support to PPP projects. In the electricity industry, the role of the Comisión Reguladora de Energía (CRE, the energy regulator) is undermined by the power of the CFE, since all purchases of energy must in practice be agreed upon by the CFE, which also competes with private providers and has been resisting the opening of the sector.</t>
  </si>
  <si>
    <t xml:space="preserve">Developing concessions for infrastructure services, specifically transport and water, is not a government priority. This explains the relative underdevelopment of the institutional framework. Planning and project preparation is to be done at the sector level by the agency responsible for providing the services. There is a need for a centralised advisory capacity and a board at a ministerial level whereby relevant ministries are involved in strategic decision-making. An external regulator is needed to assume the responsibility of overseeing the fulfillment of the service quality commitments and checking that the contract modifications do not transfer rents to the concessionaire or cause indirect expropriation of the concession. The institutional framework of the electricity industry was built along the same lines as the reforms promoted by multilateral organisations in the 1990s, but it has been criticised as inadequate. The creation of the Ministry of Energy was a mechanism to give more power to the state. Nevertheless, recently signals from informants and media sources have been that Nicaragua will maintain its current regulatory and institutional framework, keeping transmission in public hands and continuing to promote private investment in generation and distribution. </t>
  </si>
  <si>
    <t>The Ministry of Public Works has a wide range of responsibilities and powers. It is responsible for planning, preparing studies, contracting, constructing and monitoring projects. Although other sectoral institutions exist, none is important enough to serve as a counterweight to the Ministry. For example, there is an entity in charge of supervising concession contracts, the Dirección Nacional de Administración de Contratos. The Ente Regulador de los Servicios de Panama (ERSP, a multisectoral regulator), regulates the services and activities of the largest water supplier, IDAAN. The Autoridad Nacional del Ambiente (ANAM, the National Environment Authority) regulates the use of water in river basins. The government has been more successful in generating an institutional framework more conducive to long-term efficiency in the electricity industry. Reforms vertically unbundled the industry, established a technical regulator and enabled long-term contracts between electricity generation and distribution companies. Nevertheless, there still exists significant political interference in the setting of electricity prices and there is pressure to involve the state in electricity generation.</t>
  </si>
  <si>
    <t xml:space="preserve">The concessions law establishes that the lessor, depending on the type of work or service being concessioned, will award each step of the contract. The auditing entities will be named by the leasing body, and this agency will have the responsibility for overseeing the development of projects, works, services and, when needed, the process of expropriation and control of acquisition of goods by the concessionaire. There is no council or other supervising body with the responsibility for overseeing the delegation process. There are no independent auditors for monitoring concessioned services; the auditors are typically associated with the entity that leases the service or asset. Only very recently has the Ministry of Public Works begun to create a concession project portfolio of significance. It is expected that technical assistance will ultimately define a new regulation that creates a system of checks and balances among different agencies. 
In the electricity industry, the institutional design does not allow private participation and competition in generation, since there is no separation between the role of the state as a regulator and provider of services. Potential changes to this institutional arrangement remain uncertain. </t>
  </si>
  <si>
    <t>Bidding processes for concessions are handled by the National Investment Bank, an institution whose mandate is to guarantee proper transparency and promotion in the bidding and proposal process. Institutions such as the FTC and the Corruption Prevention Commission generate a certain degree of counterbalance that also improves the transparency of bidding processes. Nevertheless, selecting a preferred bidder in the second phase of the process, where conditions are negotiated, indicates a failure to meet minimum required levels of transparency. The Ministry of Housing and Water and the Ministry for Transport and Public Works are responsible for planning and investment decisions. The Ministry of Transport and Public Works created and oversees three national regulatory authorities for concessions: the Toll Road Authority, the National Airport Authority and the National Port Authority. Planning responsibilities fall to the Ministry, whereas these decentralised entities focus on administrative and investigative functions for contracts. For example, the Toll Road Authority has oversight responsibility with regard to quality of services, users' rights and enforcing tolls agreed under contract. The interaction between the Ministry and each sector regulator generates a certain degree of counterweight for regulation and administration. In the water sector, there are several bodies, state companies, and ministries with overlapping or confusing regulatory, policy, planning and operational responsibilities. The law that separates functions and streamlines regulation has been awaiting approval for several years. Mechanisms for private participation in transport are regulated in an ad hoc manner in respective sectoral laws. The Ministry of Finance and Planning has an important role in defining proposed projects and evaluating their fiscal impact. However, politically motivated decisions by the ministries are fairly common, which ultimately render regulatory and institutional setups less effective. The increasing independence and technical development of OUR, the watchdog for the electricity industry and the  telecommunications and water sectors, is improving the checks and balances in the regulated sectors. Nevertheless, an unbundling of JPSCo would be necessary in developing a more competitive electricity generation segment.</t>
  </si>
  <si>
    <t xml:space="preserve">The Ministries of Public Works and Transport and of Housing are responsible for planning formulating policies and directives in their respective areas, as well as selecting specific services for concession projects. These ministries are also the principals in any concession contracts. Official highway boards, the Comisión Ejecutiva Portuaria Autónoma de El Salvador (CEPA, the Executive Port Commission) and the Administración Nacional de Acueductos y Alcantarillados (ANDA, the National Aqueducts Agency) are responsible for the development of services in their sectors. A law must be passed to authorise a particular concession project before these bodies are allowed to tender services out for private contracting. For each sector, the execution and regulation of projects falls under the responsibility of one entity; however combining these responsibilities in the hands of one entity reduces accountability. All public investment must be registered in the national investments system, which centralises basic project information and, in theory, aids the evaluation and supervision of projects. Finally, the Treasury has significant power to supervise ministerial decisions as long as they involve a fiscal commitment. 
In the electricity industry, the country has a proper institutional design with clear separation of roles between the regulation, oversight and the entrepreneurial role of the state. Furthermore, service provision is disintegrated across distribution, transmission and generation in order to enhance competition. The Superintendencia de Electricidad y Telecomunicaciones (SIGET, the Superintendency of Electricity and Telecommunications) oversees the functioning of the industry. 
</t>
  </si>
  <si>
    <t xml:space="preserve">Guatemala has a unit in the Secretariat for Communications and Transport that supervises concession contracts. It was created to administer the Palin-Escuintla concession, a highway project, and the national post office. The unit promotes new concessions, especially for highways. It was involved in both the ring-road project around Guatemala City and the Transversal Strip of the North; neither of these projects was well conceived or materialised as a concession, as the process was heavily politicised. The Secretariat for the Treasury does not play a significant role in this area, nor is there a well-structured social evaluation process. The new legislation has established a new institutional regime for transport projects, however. A National PPP agency has been created to oversee the system, leaving day-to-day contract management, as well as planning and technical design, to sectoral agencies. The Ministry of Finance has to approve each bidding proposal. 
In the electricity industry, there is reasonable separation of the regulatory and entrepreneurial role of the state. Nevertheless, the government still subsidises consumers using the government-owned hydroelectric generator. By doing so, the government reduces the level of accountability in the system and weakens incentives for private participation. 
</t>
  </si>
  <si>
    <t xml:space="preserve">In principle, specific roles have been established for the government entity that contracts out a public service, the Superintendency of Concession. This role exists independently of the granting agency that is responsible for overseeing the fulfillment of the contract. The Ministry of Finance has more of an advisory role and directs relevant parties in the use of concession contracting mechanisms. It does not have the power to approve each project at different stages. The finance ministry has not developed a formal evaluation scheme for financial risk and contingencies. In the electricity industry all the power is in the hands of the ENEE and Honduras is one of the few countries that have not developed independent regulatory capacity (apart from the state-owned companies themselves). </t>
  </si>
  <si>
    <t xml:space="preserve">Decision-making processes and negotiations are highly politicised. The same public contracting framework that defines general level procedures for public contracts and works also governs infrastructure concessions. This makes it difficult to generate the minimum capacities and design necessary for a PPP institutional system to function properly and ensure efficient investment activities and procedures. The Secretariat of the Treasury attempts to act as a counterbalance to the existing PPP planning and supervision system, but these attempts have lacked political clout. Law 240 of 2006 created a new Secretary of Economy and Planning to provide at least some checks and balances within the government. However, the biggest issue is now enforcement, as the Secretariat’s project evaluation responsibilities are mostly nominal. Nevertheless, the government has sent a PPP bill to Parliament that would substantially improve the institutional framework and would give more responsibility to the Secretary of Finance. It is doubtful whether the country will make progress in terms of establishing checks and balances in the infrastructure sector, since the Oficina para el Reordenamiento del Transporte (OPRET, the reorganization institution that undertakes “emblematic” projects, such as the metro), remains outside the supervision of the Ministry of Public Work and report directly to the presidency. The Ministry of Finance and Planning has to strengthen technical capability and political influence in order to exert more discipline on government decisions regarding PPP and public financing of infrastructure. 
In the electrical sector, the Corporación Dominicana de Empresas Eléctricas Estatáles (CDEEE, the holding corporation for state electricity companies) now owns stakes in several companies. This implies that the government owns more than 70% of distribution, 100% of transmission, and almost all the hydroelectric generation capacity and operations. The overwhelming political power that this company holds transformed the role of the Comisión Nacional de la Energía (CNE, the National energy Commission) and the SEI into an almost symbolic one. This institutional distortion will prevent the development of private participation in the industry and will also increase the cost of production, since it prevents market discipline from being imposed on new public investments. 
</t>
  </si>
  <si>
    <t>The Ministry of Transport's concessions unit, the Instituto Nacional de Concesiones de Colombia (INCO), plans, carries out studies, administers and supervises transport concession contracts. There are no institutions that provide a counterbalance to this unit; contracts or any modifications to them are not published and there is no independent regulatory body to oversee service quality. Neither the Treasurer, nor the Budget Office or the Planning Board plays a significant oversight or filtering role in sector initiatives. In the electricity industry, the Superintendency and CREG play an oversight role. Nevertheless, the entrepreneurial role of the state in the electricity industry reduces accountability and distorts competition and efficiency. The state-owned enterprises still control most of the transmission and distribution and 40% of the generation capacity.</t>
  </si>
  <si>
    <t>Powers and attributions of PPP bodies in Costa Rica are not clearly assigned, despite the fact that the institutional set-up and design would suggest a satisfactory framework. This generates vacuums, conflicts of interest and co-ordination problems between agencies. For example, the National Highways Council does not take part in formulating road projects, awarding them or controlling construction. However, it is the only principal with the power to expropriate land. Meanwhile, the National Concessions Council controls and supervises contracts. Furthermore, regulatory bodies must ensure that tariffs are correctly applied, but they cannot judge the reasonableness of tariff changes for additional works. On the other hand, the Comptroller, who is responsible for making sure that stakeholders abide by public acts, is involved in questioning aspects concerning policies or management. In the electricity industry, the vertical integration and lack of price signals in allocating resources combined with the overwhelming role of state-owned companies generates an institutional framework with limited accountability, inefficiency and government discretion in decision-making.</t>
  </si>
  <si>
    <t xml:space="preserve">The Ministry of the Treasury plays an active role in the evaluation of a project’s potential fiscal impact and publishes information on long-term fiscal commitments resulting from the contractual management of public works in public budget documents. There is also a periodic evaluation of contingent liabilities. The Sistema de Empresas (SEP, National Council) that supervises state-owned companies also introduces some discipline on local port companies that contract out infrastructure services. 
In the electricity industry there are clear, distinct roles for different institutions in planning, rate-setting and service quality oversight. The Superintendency of Electrical services controls quality services. The Ministry of Economy has regulatory responsibilities in the water sector, as well as in the electricity industry, approving tariff changes for water concessions and electrical distribution companies. Although permanent expert panels in the electricity industry have been effective in resolving differences between the comptroller and contractors, their use has not been extended to the water sector. However, the Superintendency of Sanitary Services establishes rates and controls service quality in the water sector; this institution has some technical competence and has experienced increasing autonomy.
Institutional frameworks also have some deficiencies, as the current institutional setup lacks necessary checks and balances, limiting transparency. This is especially true with regard to service standards compliance, as there is no independent assessment of the fulfillment of contract service requirements. Excessive power is also concentrated in the Ministry of Public Works’ General Contracting Co-ordinating Office; this entity promotes projects, co-ordinates their preparation, and supervises project construction and operation. It is even the manager and granting agency for projects from other ministries and municipalities. Because Chile’s sectoral regulators are concentrated as a single regulator (instead of multiple commissions), they do not have sufficient independence in their role. They are also appointed and fired by sectoral ministers, although the selection of a short list is done through an independent office.  
</t>
  </si>
  <si>
    <t xml:space="preserve">Foreign and domestic investors are generally treated equally. But starting in January 2009, in light of the global financial crisis, domestic firms were granted advantages over foreign ones for bidding. Political interference often stymies the bidding process and obscures transparency. Multiple factors are considered in contract awards, reducing efficiency and increasing the risk of non-compliance after a contract is signed. Contract renegotiations are allowed, but they are not regulated. Government discretion and political interference is not restricted or addressed by any laws. The Tocaf also allows direct negotiation of concessions. 
One of the problems that severely affects public bidding processes is the opportunistic utilisation of mechanisms that paralyse bidding processes. In light of this, the government has decided to utilise state-owned companies and create new companies under private law and put their shares out for tender, since bidders that participate in the process cannot paralyse the allocation process. This scheme is generally not appropriate for awarding infrastructure concessions, however, and should be used only for more standardised projects. 
The government is opening removable energy generation to the private sector in a transparent and competitive manner, with UTE making international calls for the presentation of projects. </t>
  </si>
  <si>
    <t xml:space="preserve">Currently, the playing field is not level for all firms in sectors where the state plays a large role. Even when the law established certain criteria to protect investors, in practice decisions exhibit a high degree of political discretion and a clear bias against private investment. As a result, the decision process is not technical in nature, with precedence given to companies that are closer to the government. Limited foreign investment is permitted under rigorous terms, although the government has swept away much of the 1990s-era oil-sector opening (referred to as the "Apertura") through forced renegotiation of the contracts made with private companies. The tightening of the exchange rate control system over the last two years is creating serious difficulties for repatriation of dividends, which require specific authorisation. This is a significant change to the conditions for investments. </t>
  </si>
  <si>
    <t xml:space="preserve">Law 1299 allows the use of arbitration for resolving concession disputes. Argentina is also a member of the International Centre for Settlement of Investment Disputes (ICSID), which allows foreign investors to make claims against arbitrary actions by the government. However, in 2004 an unprecedented ruling by the Argentinean Supreme Court determined that any arbitration related to Argentina's "public policies" may be appealed at domestic courts, even if the parties have explicitly waived the right to appeal. This damaged the credibility of dispute resolution systems in place to resolve disagreements between the state and contracting companies. It also increased the risk that domestic politicians and judges will be hostile to international arbitration agreements. Argentina has a large number of cases (around 50) currently being considered by the ICSID. Most of these have been filed in the last five years and many correspond to infrastructure projects that were affected by the frozen service tariffs from 2001. </t>
  </si>
  <si>
    <t xml:space="preserve">Law 11079/04 establishes the possibility of arbitrating disputes according to the arbitration regulations established in Law 9307 of 1996. The 1% limit on fiscal payments to concessionaires imposed by law on government agencies could help in restricting renegotiations. However, laws do not regulate arbitration proceedings, allowing these to follow a free-flowing, consensus-based path that could transform the process into a discretionary and subjective one. Not surprisingly, a tendency to resolve contract disputes bilaterally exists, using arbitration rulings merely to validate, rather than oversee, informal agreements. In addition, other pre-court settlement mechanisms are only at an incipient stage. Finally, courts do not handle cases in a predictable way and appeals are not uncommon, as this option is not limited to extraordinary situations. Dispute-resolution mechanisms do not incorporate pre-judicial technical settlement schemes, such as having a permanent dispute-settlement board that would take decisions on technical engineering, architectural and quality matters relating to projects. </t>
  </si>
  <si>
    <t xml:space="preserve">New legislation will further improve an already effective arbitration system for PPP disputes put in place by Chile's contract laws. A streamlined system resolves disagreements between the state and the private sector with reasonable speed. There also exists a conflict resolution mechanism that can be used prior to taking disputes to court. In this system, an arbitration panel offers the possibility of reconciliation between the parties before serving as a tribunal. The panel also manages the reconciliation phase prior to the legal arbitration phase. Collusion risk for contract adjustments has been drastically reduced with the establishment of a permanent Technical Dispute Resolution Board, which, prior to arbitration, will propose conflict resolution based on technical criteria. This reduces the risk of contractors seeking to obtain opportunistic compensation post-contract. Moreover, the arbitration mechanism was changed from equity grounds to arbitration according to law and contract, which will reduce incentives for opportunistic litigation. The aforementioned changes will also protect the integrity of bidding procedures and guarantee fairness for all participants. In conclusion, the establishment of a permanent independent panel of experts as a pre-court conciliation scheme and a mechanism to base arbitration on law and contracts (owing to the new law), will strengthen transparency and respect for tendering conditions. </t>
  </si>
  <si>
    <t xml:space="preserve">In Colombia, the Supreme Court is impartial and well respected, while the lower levels of the judiciary and civil service are susceptible to corruption and intimidation. The concession mechanism (Act 80) establishes arbitration proceedings to resolve conflicts between concessionaires and the state. This scheme, together with the obligation to keep concessions financially balanced in the event of unforeseen economic conditions, has created a very favourable and flexible system for contractors. Nevertheless, in practice it has enabled a project’s commercial risks to be passed on to the state, irrespective of what has been explicitly established in contracts. The system lacks any sort of technical dispute resolution system. 
In the electricity industry, CREG plays a reasonable technical role in solving project controversies, disputes related to the quality of services and tariffs, countering to some extent the power of state-owned companies. 
</t>
  </si>
  <si>
    <t xml:space="preserve">The legal environment in Costa Rica is favourable to business. The judiciary is independent, and it is highly unlikely that future governments will violate this well-established provision of the Constitution. However, the problems of the slowness and complexity of the judicial process are not expected to be solved soon. Controversies between the state and concessionaires must be resolved by national courts and the alternative mechanisms established in 1997 by Laws 1707 and 7715. These laws set up dispute resolution mechanisms to be used prior to going to court. Once the arbitration option has been chosen, only extraordinary appeals may be made, although the law also establishes that only matters concerning technical issues may be submitted to arbitration. To challenge unilateral actions by the government, the use of national courts is mandatory. Although arbitration mechanisms are consistent with international proceedings, they follow equity grounds and are flexible in nature, creating the possibility of resolving conflicts through amicable deals between the concessionaire and the state. This method is not appropriate for settling conflicts that originate from a public tender process. In the electricity industry, the overwhelming power of ICE creates conflicts of interest vis a vis private operators and mitigates its regulatory role, making it unlikely that the regulator could play an unbiased reconciliation role between ICE and private operators. </t>
  </si>
  <si>
    <t xml:space="preserve">The Public Purchases Law establishes several stages for dispute resolution. A primary stage of direct negotiations is indicated, and then arbitration and finally appeal to the administrative contentious courts is made. Arbitration systems must also be specified in each contract. There exists scant independence of administrative courts and no mechanism for arbitration proceedings is explicitly defined. Without schemes for formal conciliation and direct negotiation between disputing parties, collusion risk between investors and the government agency exist, which could damage public interests or increase the likelihood of expropriation of the contractor's interests. If the new framework legislation is approved, it will improve the dispute resolution mechanism. </t>
  </si>
  <si>
    <t xml:space="preserve">The Modernisation Act of 1993 establishes the possibility of commercial arbitration. It also makes courts responsible for handling matters derived from "acts of the Administrative Authority" (that is, government-imposed fines, elimination of toll booths, or early termination of a concession). The new constitution establishes that arbitration proceedings between the state and private parties should be confined within the law, with a prior announcement by the attorney-general. In addition, the new constitution prevents international arbitration between the state and private persons and bodies. Ecuador has already rejected the World Bank's dispute-resolution body, the International Centre for the Settlement of Investment Disputes (ICSID); instead, it proposes to work through the Centre for Arbitration and Mediation in Santiago, Chile. Mr Correa has argued that ICSID is biased against the interests of developing countries, and he has proposed the creation of a South American Union (Unasur) arbitration centre. According to the ICSID, private sector demands against the Ecuadorian government exceed US$10bn, and most cases claim that their investor rights and assets had been expropriated. </t>
  </si>
  <si>
    <t>Because no specific laws or regulations related to PPPs exist (except those of a general nature established in the Constitution and Acquisition Act), the details of the process for resolving state and private sector controversies must be established by each individual project contract. However, the Acquisitions Act does state that any litigation between the state and private bodies and persons must be resolved by direct negotiation in the first instance. Any unresolved issues shall be submitted to an amicable mediation process. This applies to public works and it can be considered as the basis for concession contracts. The risk of collusion under the existing scheme remains high, owing to limited checks and balances and the frequency of direct negotiations between the parties involved in projects .</t>
  </si>
  <si>
    <t xml:space="preserve">The Constitution requires that any disputes resulting from unilateral actions by the government be submitted to the administrative courts. Technical matters may be addressed through amicable commercial mediation proceedings. The courts generally do not have the capacity, independence or speed to resolve complex technical problems. Commercial mediation proceedings (for example, through the Chamber of Commerce) can be faster, but may pose risks to public interests. The new PPP legislation for has established an arbitration scheme that provides reasonable guarantees to all parties. The new law establishes that projects could also be subject to the Multilateral Investment Guarantee Agency (MIGA) to enforce arbitration ruling. </t>
  </si>
  <si>
    <t>The law that regulates concessions also establishes the opportunity for investors and operators to take disputes with the state to arbitration, which is regulated by the code of civil procedures. Recourse to judicial tribunals is possible in extreme cases. The Ley de Promoción y Desarrollo de las Obras Públicas y la Infraestructura from 1998 guides these procedures and requires that dispute resolution involve a conciliation effort by the Superintendency in the first instance. Only after this step has been exhausted can investors and operators bring their case to the courts. The official process for resolving controversies between investors, operators and the state is adequate, but in practice it does not always work well. Investors do have recourse to the International Centre for Settlement of Investment Disputes (ICSID).</t>
  </si>
  <si>
    <t>Specific laws for each sector do not establish explicit arbitration mechanisms. Nevertheless, there are no obstacles under the Common Law to prevent the state from using national or international arbitration mechanisms to reconcile disputes. Jamaica has been a signatory to the ICSIS since 1965. Jamaica has also used the Overseas Private Investment Corporation (OPIC), a US government agency, to offer political risk insurance to investors. Dispute resolution through justice tribunals is slow and does not provide an adequate means for resolving disagreements between the state and infrastructure contractors/operators. OUR and the Fair Trade Commission (FTC) are also playing an increasingly important role in fair trade issues.</t>
  </si>
  <si>
    <t>By constitutional requirement, disputes between the federal government and private sector must be resolved by the Contencioso-Administrativo tribunals, which enjoy a degree of independence. Only technical issues, such as disputes over construction techniques, quality of engineering, cost factors, and the quality of demand measures, can be brought to arbitration. Nevertheless, there has been ambiguity over whether certain disputes belong to the courts or to arbitration, especially for decisions that involve political and judicial risk for government officials. Conciliation schemes to guarantee equity and transparency have not been put in place, and in practice disputes have often been resolved by direct negotiations between parties, which avoids the use of tribunals. Nevertheless, the reform to the Acquisition and Public Works laws from  2009 represented a step to introduce conciliation and arbitration schemes for project dispute resolution. If approved, the new legislation will establish a more extensive arbitration procedure that follows best practice. Mexico is a signatory of the International Centre for Settlement of Investment Disputes (ICSID).</t>
  </si>
  <si>
    <t xml:space="preserve">Concessions laws do not obstruct the use of arbitration to resolve disputes between the private sector and the government. However, arbitration procedures are not regulated. No legal framework exists to protect creditors or to ensure their rights to concession revenue. In May 2005, only a few years after concessions were put in place, Law 512 was passed establishing the Reformed Rural and Urban Property Institute; although general in nature, this law would have allowed for mediation and arbitration rules that could be used for concessions disputes. However, the reform was never implemented and was declared unconstitutional in January 2008. General bankruptcy laws are not adequate to protect long-term investors. Potential investors must also carefully verify property titles before making purchases. Over 300 entities were sold under the administration of Violeta Chamorro (1990-96) and the Sandinista government of the 1980s confiscated thousands of homes, businesses and tracts of land without compensation. The resolution of these cases remains a divisive issue in Nicaragua. Comprehensive judicial reform designed to improve legal procedures and enhance enforcement of contracts and property rights is proceeding very slowly. When the state is obliged to compensate investors, disputes must be resolved by local courts that lack competencies and independence. Nicaragua is a signatory of the International Centre for Settlement of Investment Disputes (ICSID) and the New York Convention for Dispute Resolutions. In a positive step, the government of the president, Daniel Ortega, reached an agreement with Union Fenosa (a Spanish company whose concession was suspended after the blackouts) that would involve additional investment by Union Fenosa and cancel their case with the ICSD. </t>
  </si>
  <si>
    <t>The arbitration mechanisms available for public and commercial disputes are also available for concessions. Nevertheless, the modification of public purchase laws in 2006 left legal ambiguity over the role of justice tribunals during litigation that may determine state compensation to the concessionaire, although certain acts of authority must be resolved by specialised courts. There are no specific laws dealing with nationalisation or expropriation. Panama's constitution gives the government the right to nationalise property for the public interest, but it must do so through the judicial process and with prior compensation. The government also has the right to intrude on private property without compensation in time of war or other major disturbances, but only for limited periods. No nationalisation of either type has occurred since 1972. Arbitration systems establish a pre-judicial resolution phase, although a lack of transparency can undermine the effectiveness of the mechanism. Panama is a signatory of the International Centre for Settlement of Investment Disputes (ICSID).</t>
  </si>
  <si>
    <t xml:space="preserve">Concessions Law No 1618 stipulates that both tender proposals and the concession contract itself must identify potential causes of revisions to the economic terms and conditions. If these are not foreseen, the economic terms of the concession cannot be adjusted post-contract. This law also indicates that a dispute-resolution process must be followed for all controversies or claims that could result from the interpretation, application or execution of the concession contract. Arbitration only follows if a resolution cannot be found. The bidding documents for each project will stipulate the process of dispute resolution, including all rules of procedure and choice of referee. The 1991 law guarantees non-discriminatory treatment of foreign investors. This law also allows the possibility of international arbitration for conflicts between the public and private sectors. Paraguay has been a signatory of the International Centre for Settlement of Investment Disputes (ICSID) since 1982. It is expected that the regulatory reforms currently being considered will ultimately establish better dispute resolution mechanisms. </t>
  </si>
  <si>
    <t xml:space="preserve">The private sector has the right to arbitration for technical disputes, but disputes involving unilateral government actions must be handled by tribunals. There are no ad hoc pre-judicial resolution mechanisms. The perceived lack of technical competency and independence of the tribunals, as well as their mismanagement, generates much risk for projects. Peru is a signatory of the International Centre for Settlement of Investment Disputes (ICSID) and the New York Convention for dispute resolutions. OSINERGMIN, the electricity regulator, plays a role of arbitrator in price setting and service quality determination in the electricity industry. It has independence and professional prestige. </t>
  </si>
  <si>
    <t>There is no explicit dispute resolution system for PPPs. However, in Trinidad &amp; Tobago the High Court of Justice has jurisdiction over all matters involving sums in excess of TT$15,000 (US$2,370) and can grant equitable relief such as acclamation injunctions and public law remedies. A full reform was approved in 1999 to the Civil Procedures in order to make the civil judicial system more efficient and to expedite processes. Case management provisions and procedures for tracking civil matters (docketing) came into effect in September 2005. Trinidad and Tobago is a signatory of the International Centre for the Settlement of Investment Disputes (ICSID), which facilitates reconciliation and arbitration of investment disputes between contracting states and nationals of contracting states. Trinidad and Tobago has also ratified the New York Convention on the Recognition and Enforcement of Foreign Arbitral Awards, which facilitates the registration and enforcement of foreign arbitral awards between contracting states.</t>
  </si>
  <si>
    <t>Uruguay's concessions law and Tocaf do not establish arbitration as a mechanism for resolving controversies. Justice tribunals must be used to resolve disputes with the state, and although these tribunals have reasonable levels of independence, processes are slow.</t>
  </si>
  <si>
    <t xml:space="preserve">To resolve conflicts, the law specifies conciliation mechanisms and arbitration with the support of expert judgment for matters of different technical character (such as construction techniques), engineering and financial issues. The local tribunals are not independent of the executive and do not fully respect local or international arbitration rulings, despite the fact that Venezuela is a signatory of the International Centre for Settlement of Investment Disputes (ICSID). Confronted with the direct or indirect expropriation of their assets, various companies have been forced to reclaim these from the Venezuelan government using ICSID. This was the case with the concession of the Caracas-La Guaira viaduct. Venezuela withdrew from the ICSID in 2007; nevertheless, contracts drawn up prior to the 2007 withdrawal are still being brought in front of the international arbitration entity. </t>
  </si>
  <si>
    <t>Public bidding procedures are required for all concession contracts, and these are reasonably fair and transparent. There is no discrimination against foreign companies. However, various international studies note that corruption is a problem and can interfere with the contracting process. Mechanisms for contract renegotiation are not adequately defined and do not set transparency and fairness standards; a lessor can increase the size of the project for reasons of public interest during the contracting period as long as the expansion does not exceed 10% of the total value of the original contract. The law explicitly states that any modification of the terms of the concession can only be done by the same body that authorised the concession. Independent supervision of the renegotiation process and contract changes is not required. A more active role for finance authorities is expected in the future, however, in order to serve as a check on decisions made by the Ministry of Public Works.</t>
  </si>
  <si>
    <t xml:space="preserve">In general, PPP projects are assigned after a bidding process has been undertaken to consider a set of weighted economic factors. Publication and advertisement of contracts and their modifications is part of this bidding process. Foreign companies generally do not face discrimination. Limits to contract adjustments have been established. Legislative Decree 1014 (May 16th 2008) fosters private investment in public services, primarily water/sewage, electricity, natural gas and telecommunications, by reducing bureaucracy. Title III of the Law states that permits for building, expanding or maintaining public services will be granted within 30 days. This clause is linked to the Administrative Silence Law (Law 29060, July 7th 2007) that states that permits and other requirements for investment are automatically granted if the corresponding authority does not issue a response, positive or negative, to the requests within the specified period (that is, if it adopts administrative silence). The government’s policy of administrative silence, combined with extremely short decision-making periods, reduces the effectiveness of the contributions made by bodies such as the Ministry of Finance and the Economy and other sectoral agencies, especially since the supervisory authority does not have the power to offer an opinion when changes in the contract are proposed. Also, the Organismo Supervisor de la Inversión en Infraestructura de Transporte de Uso Público (OSITRAN, the transport infrastructure regulator), plays no significant role the design of quality standards in bidding proposals. 
Recent bids for regional airports nevertheless show significant competition levels and bidding processes were successful in awarding contracts. The Paita port concession was also finally completed after significant controversy. </t>
  </si>
  <si>
    <t>Argentina has the main institutional components required for an efficient concessions system. According to the country's various concession laws, the entity that is legally responsible for providing the public service also becomes the granting agency that legally authorises the concession and is in charge of the tendering process. National regulating entities have been consolidated to unite previously scattered capacities in each sector and to centralise oversight responsibility for ensuring the quality of services. Approval requirements for fiscal authorities are also established. In the electricity industry specifically, Argentina established a model institutional framework. The Secretaría de Energía (the energy secretariat SENER) is responsible for policy setting, while ENRE is (an independent organism within the Energy Secretariat) has the responsibility of enforcing the regulatory framework established by Law 24,065 of 1991. ENRE is in charge of regulation and overall supervision of the industry under federal control. However, the authority of regulatory agents has been hampered by the lack of administrative and financial independence plaguing their institutions. Within a larger context of low service sustainability in the short and medium term, Argentina's institutional design is ultimately weakened.</t>
  </si>
  <si>
    <t xml:space="preserve">A ministry-level council must approve all federal-level projects and their tendering. This council has a PPP executive unit at the Ministry of Planning, which chairs the council. Sector ministries are responsible for presenting the projects and their corresponding studies to the council for approval. The Ministry of Finance has created a unit to evaluate each project’s fiscal impact and contingencies, guaranteeing that fiscal allocations are established properly and that limits are set on future fiscal commitments. Once tenders are launched, responsibility for project-bidding, execution and operation supervision falls to the sector-regulating entity, which is the ministry or department responsible for providing the service. 
At the federal level, there is a national regulator for the transport sector and the electricity industry. These regulators play an important role in overseeing both areas. The reform of the electricity industry in 1996 set the ground for a very dynamic development of private investment in generation, transmission and distribution, separating the entrepreneurial role of the government from the regulatory role. After electricity shortages in 2001 further reforms established bidding schemes for long-term contracts that made private investment in the industry more attractive and competitive. </t>
  </si>
  <si>
    <t>Regulations do not discriminate between bidders according to nationality. Although laws do establish procedures for the concession projects to the private sector, they do not specify the need for competency and transparency. Laws do allow for the possibility of modifying contracts and compensating concessionaires for additional works by granting public lands. The process for adjusting tariffs and contracts is unregulated and is left to the discretion of the Ministry of Public Works. Projects are often modified without adequate consideration for the public good. As modifications are often arbitrary because of a lack of regulation, the field is generally uneven for private bidders. Law 127 that was approved in mid 2010 follows the recommendation of multilateral banks for improving award mechanisms for big projects. At the same time, and unrelated to this development, the conclusion of external audits of the North and South Corridor have shown that the concessionaires will not be able to recoup the investment at 10-12% return and urgent investments are needed to maintain the project. This led the new government to buy back a proportion of the shares of the two road concessions. To this purpose, a National Road Company is being established and will hold 51% of the shares of the North Corridor and 100% of the South Corridor. Nevertheless, the existing concessionaires will continue operating under a management contract and will have to undertake new investments in the corridors with government financing. More generally, the project rescue operation lacks minimum market accountability and transparency and raises serious concerns regarding the signals sent to future concessionaires. The fact that 50% of the operation will be financed using the reserve fund of the Caja de Seguro Social (pension money), will endanger the political credibility of the system. The total cash compensation to the concessionaire amounts to US$555m, plus the assumption of private debt which will imply a total amount committed of over US$1.4bn.</t>
  </si>
  <si>
    <t xml:space="preserve">The Ministry of Economy and Finance and the Planning and Budgeting Office have responsibility for supervising the public investment process. The process of planning, prioritising and evaluating public investment is in the early stages of development; only in the last five years has a public investment system, the Nacional Plan de Inversiones (NIP) been created at a national level, allowing for project and investment evaluation schemes to be standardised. Currently, concession projects do not undergo a rigorous evaluation process and are not subject to comparisons with public investment alternatives. Accounting for contingent liabilities and for deferred payments has not been harmonised with general public investment accounting practices. The structures of quasi-state entities, such as the National Road Corporation, have worsened fiscal accounting practices, since investments carried out with the support of the state are considered outside the government budget (as off-balance-sheet items). Water and electricity have remained as public investment. Renewable energy is an exception, as UTE is calling for bids that are generating significant competition. </t>
  </si>
  <si>
    <t xml:space="preserve">During the first half of the 1990s a national investment system was developed to improve public investment decisions. A process of incorporating the private sector into the provision of services was introduced to reduce the political aspects of decisions and to impose some economic rationale to investments. The 1999 law created a Concessions Committee that is charged with the task of preparing and executing the concessions process, as well as inspecting and auditing awarded contracts. However, the central government has begun to take decision-making power away from the committee, effectively rendering it irrelevant for investment decisions. In the last few years, no concession has been granted now that most infrastructure industries have been classified as strategic ones, leading to diminished involvement of the private sector in infrastructure. </t>
  </si>
  <si>
    <t xml:space="preserve">Previously, bidding for highway contracts was conducted simultaneously (that is, all the toll road concession contracts were assigned at the same time), increasing the risk of collusion among private sector companies. For the most part, bids only included domestic companies. Law 1299 of 2000 mandated public tendering for projects, but also limited foreign capital participation to 51% of total investment, compelling non-domestic firms to associate with local companies
Decrees 966 and 967 of 2005 established procedures whereby companies submit proposals and the government has 60 days to determine whether the project qualifies as being “in the public interest”. If so, the government may then organise a tender to choose a private sector partner. If the price difference between bidders is less than 5%, the firm that submitted the initial proposal has priority. If the original firm is not selected as the private-sector partner, the government is required to compensate the firm for the expenses associated with developing the proposal. </t>
  </si>
  <si>
    <t xml:space="preserve">The 1988 Constitution established the power to contract public services to the private sector. However, the country's legal framework establishes preferential treatment for Brazilian companies and restricts the percentage of foreign workers in a company so that in practice foreign companies must associate with local companies in order to tender for projects. This counteracts positive developments in the legal framework, such as the use of value-for-money analysis for projects. The GCP publishes information on proposed PPP projects and also details their stages of development, but PPP laws do not establish limits for contract changes, nor do they establish bidding requirements for additional works. Nor is it required that an external agency evaluate the cost estimates for additional works beyond those submitted by the private sector operator. </t>
  </si>
  <si>
    <t xml:space="preserve">Tendering processes use transparent contracting methods and employ efficient economic criteria to award projects. For any additional, important works, construction is tendered separately and the Ministry of the Treasury independently evaluates changes in project contracts. The treasury ministry has also established a council of external board members that recommends contract changes to the Minister of Public Works. The additional transparency requirements (bidding for additional significant works) for renegotiating concessions and improvement in dispute resolution mechanisms that were introduced by the new 2010 law will reduce the extent of renegotiations. This is also expected ultimately to improve the quality of competition during the initial project bidding phase. </t>
  </si>
  <si>
    <t xml:space="preserve">Although the law compels projects to be put out to tender, tendering has recently been split into two parts. One part is made up of a "basic component," which is put out to tender, and a second, "progressive component", which is negotiated directly once demand justifies the additional investment. Such direct negotiations, combined with the option of enlarging works using the "Private Initiative Scheme" under the 2008 regulations issued by the Ministry of Transport, could enable a scenario whereby concessions get expanded significantly without proper market competition. In the electricity generation segment, private bidders compete openly for new generation capacity and the mechanism for obtaining concessions and permits are fair and reasonably speedy. Colombia has also made important progress in the World Bank's Cost of Doing Business 2010 index, specifically related to facilitating investment in the electricity industry. Nevertheless, the role of the state in the industry distorts competition by maintaining subsidies to inefficient public enterprises, providing cross subsidies and financing an otherwise unsustainable state undertaking in electricity generation and transmission. </t>
  </si>
  <si>
    <t xml:space="preserve">Changes in laws in the last four years established new requirements for public bidding; specifically, law 240 from 2006 established new norms of transparency for public purchase, public works and concessions projects. Even though this law does lay out transparency rules, in practice processes remain opaque. Publication of contract modifications is not necessary. The rules of reciprocity and rules on promoting national industries established by the Law of Public Purchases effectively restrain participation by foreign companies, and national companies tend to form consortiums. In practice, most public investment and concession projects are awarded by means of a bilateral negotiation process, which stands in the way of transparency. Investments in hydroelectric generation that were directly negotiated with the infrastructure suppliers have resulted in costs of over US$5m/mw, which is outside the international benchmarking for these types of projects. </t>
  </si>
  <si>
    <t>The new constitution establishes that the state will encourage domestic and international investments and it will implement specific regulations for each sector. However, the new constitution gives precedence to domestic investment (Article 339), and foreign direct investment (FDI) is subject to the National Development Plan. Strategic sectors could receive financing through public-private companies in which the state holds a majority stake (over 50%). In exceptional cases, the state may allow companies to be privatised, although not in the case of the water sector, which can only be managed by the state. Regardless of any changes to the legal framework for concessions, previous efforts to bring in investors or to award contracts for other infrastructure areas (such as electricity and telecomunications) have failed repeatedly. Attempts by the last several administrations failed because of political resistance, legal difficulty or simply lack of investor interest.</t>
  </si>
  <si>
    <t xml:space="preserve">The public works tender system and the Acquisitions Act establish general requirements of non-discrimination and transparency during project tenders. Sector or concession-specific rules governing tender processes do not exist, however. The general rule of public bidding on public acquisition should apply to concessions projects. In the electricity industry the bidding for long-term contracts by distribution companies is mandatory and was developed after the industry was restructured. </t>
  </si>
  <si>
    <t>Laws establish requirements for tenders and transparency, although these are rarely complied with. In general, the infrastructure sector has a low level of transparency with regard to contract awards. Foreign investors, however, do not face discrimination. The new regulation establishes clear rules for contract changes and bidding mechanisms for significant additions to existing contracts. Yet the new law provides for a representative of the domestic constructor association to sit on the National PPP council, which raises fears of undue interference in the selection of PPP projects. 
Bids for the long-term contracts for energy are reasonably transparent. The establishment of a long-term contract between a generator in Guatemala and a distribution company in El Salvador is a sign of openness new to the region.</t>
  </si>
  <si>
    <t xml:space="preserve">Official bidding for concessions explicitly requires proper publication and transparency. The Ley para la Defensa y Promoción de Competencia, Legislative Decree 357/2005 created a special commission to monitor economic concentration in different sectors and ensure competition. This Comisión para la Defensa y Promoción de la Competencia (Commission for the Defence and Promotion of Competition) was set up in mid-2006 after the law came into force. In 2007 it responded to reports of anti-competitive practices and was supposed to help open up both state-dominated markets and private monopolies; in practice, however, Honduras lacks proper transparency in public works tenders and bids and by end-2009 the commission had not made significant progress in improving competition levels. As a requirement for entering the Dominican Republic-Central American Free-Trade Agreement (DR-CAFTA), Congress passed legislation to override a previous law that required firms to be at least 51% Honduran-owned in order to participate in government-procurement activities. However, it is common for foreign firms to partner with local companies to bid. In theory, there is independent supervision of contract compliance. Overall, the development and regulation of concessions has been poor, especially for airport projects. For example, the newly elected Congress in February 2010 voted to revoke the prior approval of the Nacaome hydroelectric concession granted three month earlier. This also shed light on weaknesses in the regulatory system for overseeing the legality and transparency of projects. </t>
  </si>
  <si>
    <t xml:space="preserve">In 2001 and again in 2008 Jamaica improved its procurement procedures for public purchases of goods and services with policies in its "Handbook of Public Sector Procurement Procedures". This framework addressed traditional public works, but did not directly reference processes meant for PPP projects. Jamaica has eliminated regulatory clauses that establish preferences for domestic firms over foreign ones. Indeed, projects of a certain size and complexity are pursued through international appeals, and foreign companies are often the primary bidders. Under the Anglo-Saxon legal system, the renegotiation process is not regulated, a fact that introduces an enormous amount of flexibility and government discretion into the process. To guard against excessive political discretion, agencies and laws-such as the Fair Competition Act (1992) and the Corruption Prevention Act (2003)-have been created. Concessions in the road-building, port and airport industries have progressed with the help of improved supervisory capabilities in bodies separate from, but linked to, the Ministry of Transport and Public Works, which is responsible for supervising these entities. The high cost of new electricity projects raises doubts on the openness and fairness of the system for new private generation projects. </t>
  </si>
  <si>
    <t xml:space="preserve">Mexico requires that all federal-level projects be tendered, although large projects are negotiated directly in cases where there is only one bidder. In general, the bidding process involves ample public notification, even though contracts and their modifications are not always public. There is no obligation to tender or bid out contract adjustments, although the PPS legal structure prevents additions to PPS contracts. In the case of concessions, additions are financed with contributions from users, although tariff conditions can be modified without the use of independent mechanisms to ensure transparency. The public-comptroller’s office conducts audits, but staff members often do not have the technical knowledge to investigate contracts from a regulatory perspective. The Comisión Federal de Eletricidad (CFE) has some discretionary power to select private purchasing agreements with providers in the electricity industry. The 2009 reforms to the Public Acquisition Law also established the possibility of setting a bigger bias in favor of local providers, which may reduce competition and transparency. </t>
  </si>
  <si>
    <t xml:space="preserve">Regulations are not explicitly biased against foreign investors, neither in the road concessions law nor public contract law. All sectors require public bidding for projects of a certain size and complexity. However, in the port industry, the country has had difficult experiences with concessions, and one project failed owing to insufficient technical competency. The public works sector does not benefit from good credibility in terms of transparency, and the private contracting companies tend to be severely undercapitalised, which leads to a complex relationship with the state. The electricity industry has been affected since 2002 by government price controls after the increase in oil prices. The price intervention affected the viability of electricity distribution companies. Revenue losses in the electricity industry  are high owing to the difficulties in enforcing households' electricity payments. Nevertheless, there are indications that the government may pass legislation that would provide tools for distribution companies to reduce losses, and tariff adjustments since the 2006 electricity crisis have reduced pressure on providers. </t>
  </si>
  <si>
    <t xml:space="preserve">Costa Rica has an investment-planning system that each government undertakes seriously. The National Development Plan defines the strategic objectives of economic, social and sector policies. In general, cost/benefit analysis is used in decisions concerning investments in public infrastructure. No formal comparison of concessions with public investment options is required. However, there is enough clarity and technical agreement concerning which projects qualify for a concessions scheme. These are high-traffic highways, ports, airports and water and drainage services in high density and urban areas. There is no formal accounting system for contingent liabilities used by the Treasury. However, until now the state has effectively awarded and managed guarantees for transport PPPs; a majority of projects are sustained by traffic guarantees by the government that represent 70% of expected future traffic revenues. Deferred investment payments are not accounted for in a manner consistent with public investment accounting. The projects that have been awarded as PPP contracts are for transport infrastructure, mainly ports, airports and toll roads. The choice of projects for concessions in this sector seems sound in term of generating value for money, since these projects have demonstrated significant cost recovery from users, significant demand and a scale that justifies the transaction cost of a PPP contract. Particularly important is the recent incorporation of private investment in developing a container port in Caldera. Plans for a private container terminal in Puerto Limon-Moin, desirable given the low efficiency of public ports in the Central American region, are well under way,. An improvement in the standard of Limon-Moin port and traffic concentration could significantly reduce the logistic cost of exports and imports. </t>
  </si>
  <si>
    <t>Recent reforms in the organisation of the state oblige the Secretariat for Economy and Planning to check the social implications of infrastructure projects. However, there is no obligation to compare concessions with public investments. Nevertheless, examinations of project implications on economic and social issues are not followed and the selection process is fundamentally political. A system does not exist for measuring contingent contractual liabilities associated with projects. The incorporation of a private operator into Caucedo Port is transforming this port into a regional hub for shipping to Europe from Central America and the Caribbean. The government's decision to undertake the Viadom toll road and the Punta de Cana projects as public investment instead of public-private partnership (PPP) projects have been sound from the perspective of a value-for-money evaluation, since the cost of attracting private investment does not compensate a hypothetical transfer of risk to the private sector in these specific cases, given the extremely high cost of private non-recourse financing. In the electricity generation segment, there is interest from the private sector in PPP projects for cool power plants that will significantly reduce the cost of generation; this would help restructure the segment. Nevertheless, the main problem is the extremely high loss in electricity distribution (over 40%), owing to political interference by the government. One of the electrical distribution companies was nationalised in 2009 as a result of its inability to continue operations under the current incentives for tariff collection. Therefore, bringing in experienced operators to run the nationalisation of distribution, with clear incentives to reduce losses, is a requisite for financial sustainability of the whole sector, since it is impossible to operate with distribution losses over 20% and the Dominican Republic has an average of over 40%.</t>
  </si>
  <si>
    <t xml:space="preserve">El Salvador has an investment evaluation system that guides public investment. However, concession decisions are the exception, as these are tied to political gerrymandering; political deadlock has prevented the development of water, port and airport concessions. Moreover, recent public investment in the Port of Unión is creating doubts as to the capacity of the public sector to select projects that will enhance economic and social welfare. Total container traffic in El Salvador is low, and given that there is already a port in Acajutla and another important Guatemalan port close to the border in operation, the government has not yet been able to attract private investors so to develop the remaining investment to make the Port of Unión operational. </t>
  </si>
  <si>
    <t xml:space="preserve">Concession projects are part of a highly political process. Generally speaking, there is no system of accounting for government contingent liabilities or comparative analysis of concession projects with public projects. Nor are the rules for accounting for deferred payments associated with investments in line with accounting for public investments. Nevertheless, the new PPP scheme improves accounting drastically and also requires a value-for-money evaluation of transport projects. 
The Planning Office is extremely weak and the Ministry of Finance has not developed the capability for overseeing the contingencies that are assumed for PPP projects. There are expectations that the approval of the law and a technical assistance grant from the Inter-American Development Bank (IDB) will help to improve capabilities for project selection. In the generation sector, the private sector takes the lead in project development. Nevertheless, environmental lobbies are making it very difficult to develop more efficient hydroelectric projects. 
</t>
  </si>
  <si>
    <t xml:space="preserve">Government regulations for evaluating public investments theoretically apply to concession projects, but in reality such considerations do not have a strong influence over decisions for PPPs. An established system for assessing passive contract contingencies does not exist, and subsidies for the investment component of concession projects are not allowed. The concession of four international airports had to be cancelled in 2004 after a five-year conflict between the Superintendency and the airport authorities. In 2005 a new concessionaire took responsibility for the concession in order to finalise the committed investment. The interim government’s allocation of a hydroelectric concession project to local firms financed with government money from Italy and Spain at the end of December 2009 also received severe criticism. </t>
  </si>
  <si>
    <t xml:space="preserve">The Ministry of Transport is the authority responsible for deciding on investment in the sector; even so, the Ministry of Finance and Planning plays a fundamental role in the selection of concession projects. In the early 1980s a national investment system was established and administered by the Ministry of Finance and Planning, which has been strengthened as part of the planning and proposal process. However, the evaluation processes are less standardised than in the most developed Latin American countries. In the case of key concession projects, such as the Highway 2000 programme (Kinston-Montego Bay), there is no proper economic evaluation of the full project, with the risk that some projects will become "white elephants". This risk remains, despite the creation of the NROCC. The first phase of the Highway 2000 project has enough traffic to justify the investment, and the social evaluation of the project is available online. The remainder of the programme is projected to have lower traffic volumes and very high construction costs, making a full feasibility analysis essential before undertaking it. For each project proposal, the Ministry of Finance and Planning only evaluates the budget impact over the next three years. There are no budgetary accounting standards to evaluate project contingencies, nor are such contingencies included in project considerations or planning. The state-owned petroleum company, PCJ, is investing in renewable energy projects (wind energy and hydroelectricity), despite the private interest in these projects in Latin America. </t>
  </si>
  <si>
    <t xml:space="preserve">Mexico has a national investment system that is overseen by the Ministry of Finance. The law requires cost-benefit analysis to be conducted when considering public investment projects and concessions. A methodology to compare public investment and service provision options with  private investment through PPPs (a public-sector “comparator”) methodology was established by the Ministry of Finance to conduct a value-for-money analysis; nevertheless, this approach has yet to be incorporated into routine PPP project evaluations. At the federal level, investments in infrastructure are planned for each presidential term. This process still has a political component that involves negotiation with state and local stakeholders, which reduces the profitability of investments. In the case of road concessions, free alternatives to expensive toll road systems lead to low project profitability. The public accounting system is biased against public investment, since debt from deferred payments for PPS is not accounted properly, although value-for-money evaluations are required for PPS contracts. Accounting benefits are often the fundamental consideration when determining investment modalities, rather than broader analysis regarding appropriateness of the project. In the electricity industry, the overwhelming power of the Comisión Federal de Eletricidad (CFE) undermines the attempts to introduce market-driven criteria in the project bidding and awards process. </t>
  </si>
  <si>
    <t xml:space="preserve">To a great degree, political factors influence decisions taken regarding concession awards. Although there is an evaluation system for investment in public projects, which the Secretary of the President oversees, this system has generally not been used for decisions regarding concessions. In theory, the electricity generation segment has a model whereby the private sector will invest if the potential return is attractive. However, investment in generation since privatisation in 2000 has been small and very inefficient (limited to mostly small diesel power plants). The government had to commit investments to the segment after an extensive blackout affected Nicaragua in 2006 and a 60-mw plant was financed by Venezuela to resolve the crisis. However, informants and media outlets indicate that the government is now trying to create incentives for private sector investment in generation. </t>
  </si>
  <si>
    <t xml:space="preserve">The Technical Secretariat of Planning is responsible for prioritising, monitoring and evaluating public investments in accordance with the government's economic and social strategy. This agency reports directly to the president, Fernando Lugo of the Alianza Patriótica para el Cambio (APC), and assists the National Economic Co-ordination Council. The secretariat's institutional capabilities are not well developed, however. Accounting practices are not appropriate and economic considerations, such as cost-benefit analysis and comparing private investment with public investment options, are occasionally considered, but are not required. In practice, decisions regarding infrastructure projects are politically motivated, with limited economic discipline. The Multilateral Investment Fund is currently providing technical assistance in the hope that it will improve public capacity to select and prepare PPP projects in the transport sector. </t>
  </si>
  <si>
    <t xml:space="preserve">All concession projects in Peru undergo a social evaluation process. This requires a value-for-money analysis, in which all delivery options are considered before a decision can be made regarding whether the PPP approach is the best. Private initiatives that do not require government guarantees are not required to use these evaluation methods. The government also published two laws on June 4th 2008 revamping the state's purchasing and acquisitions process. The Ley de Contrataciones del Estado; Legislative Decree 1017/2008 streamlines the way the state enters into contracts. Legislative Decree 1018/2008 created the Central de Compras Públicas (Peru Compras), which places all public procurement under one system. At the same time, the law limits the amount of fiscal contingencies that can be contracted as a percentage of GDP. This reduces political risk and assigns a higher opportunity cost to using PPP mechanisms with deferred investment payments, increasing the likelihood that this mechanism will be used only in cases where it is most appropriate. A mechanism has been incorporated into the fiscal responsibility law that requires the open publication of fiscal payments committed for the following three years. In conclusion, Peru has one of the best regulatory frameworks and creates proper incentives for sound project selection and development. Nevertheless, in practice the system still has problems of co-ordination in the decision-making process. </t>
  </si>
  <si>
    <t>The Ministry of Planning of Trinidad and Tobago, together with the Ministry of Finance, is strengthening the National Public Investment System as a mechanism to make sure that investment decisions are better aligned with the National Development Programme (Vision 2020). The goal is to improve the execution and the budgeting of capital expenditure and recurrent expenditure. The National Management and Strategic Investment Office reports directly to the prime minister for new investments and projects, and although this cuts some red tape, it also removes some transparency from the process. The decision to privatise remains in the hands of the cabinet. Trinidad and Tobago is far from having a decision-making process for investment based on rigorous analysis. The aforementioned office does not have the in-house resources to conduct due diligence on firms or cost-benefit analysis; this part of the process is outsourced to external consultants. One of the highest priorities when deciding on a PPP is the effect on employment and terms of severance for potential lay-offs, and because of this the government expends much effort to create contingency plans for severance payments and to enable new employment opportunities for any public-private ventures.</t>
  </si>
  <si>
    <t xml:space="preserve">The Instituto Nacional de Concesiones de Colombia (INCO, the Ministry of Transport’s concessions unit), incorporates PPP projects into the Public Investments Evaluation System only at the end of the decision-making process, and only if it is necessary to approve any future government commitments. This limits the involvement of the finance authorities in project risk assessment and selection. Deferred payments linked to concession investments are generally not accounted for properly. Therefore, there is a high risk that projects will be selected in order to improve the outlook on government budgets, rather than for technical and quality-related reasons. Nevertheless, Act 448 of 1998 establishes obligations for state bodies to finance a Contractual Contingencies Fund depending on which government resources are at risk and the likelihood of a contingency occurring. In an attempt to mitigate perverse incentives and encourage concessions, Act 1169 of 2007 requires each project involving a commitment of future funds to estimate “future fiscal expenditures” and submit them for approval by the Consejo Superior de Política Fiscal (CONFIS, the Higher Council for Fiscal Policy). The Council establishes maximum allocations for state bodies’ future annual expenditure and is obliged to report the size of fiscal resources committed in the budget for each year. These rules mean that any bias in the investment accountancy with a deferred payment can be corrected. Furthermore, the selection of public-private partnership (PPP) projects can be influenced by political considerations, as was the simultaneous bidding for the contract for a 1,000-km road in Ruta del Sol, with an investment of over US$2.6bn. This bidding took place before plans and studies were completed so that the contract would be signed before the election period.
Decree 4533 of 2008 sets out rules for unsolicited private initiatives. One inadequate feature of this regulation is the authorisation of an existing concession to unilaterally present private initiatives for extending the scope or size of the existing concession. This scheme will allow the extension of the existing concession in extremely favourable terms. In fact, the existing concessionaire, in addition to the premium on the bidding, has important information advantages compared with newcomers. These advantages will facilitate the extension of the concession well beyond the limits established in Act 80, limiting competition for the right to provide the service and affecting public interest. 
</t>
  </si>
  <si>
    <t>In Argentina contract decisions have been highly politicised. During the 1990s, when the majority of public services were contracted out, the government favoured maximising short-term fiscal revenue over other bidding criteria. For example, highway contracts set 12-year project terms, with payments to the government the main criterion for awarding projects. Toll charges, electricity and water tariffs were also frozen as a result of the currency devaluation and the deterioration in Argentina's investment climate. Frozen tariffs ultimately led to a general worsening of service levels. This service quality decline also had a spillover effect into other elements of concession projects, negatively affecting contract management decision processes especially. Furthermore, the Infrastructure Trust Fund originally created in 2001 to ensure future fiscal contingencies has been used only to grant compensations unrelated to concessions contingencies. Rather, compensation has been provided via politically motivated subsidies to consumers (as was the case with the public transport system). These price distortions, together with the general deterioration in the investment climate since the currency crisis, have paralysed federal-level private-public partnership (PPP) projects. Only projects financed by government funds are now seriously being considered, a development which is especially problematic in the electricity industry, given the impact of power generation and distribution on overall economic activity.</t>
  </si>
  <si>
    <t xml:space="preserve">The Ministry of Transport is responsible for planning and selecting PPP projects and carries out a social evaluation and comparison with public investment alternatives. As long as every state institution uses the 11079/04 legal framework, the transport ministry must conduct a value-for-money analysis in order to justify project leases. The executive branch also created a managing agency, the Comitê Gestor de Parceria Público-Privada Federal (GCP), which functions under the Ministry of Planning, Budget and Management. The agency has adopted the following criteria to judge the bid proposals: the lowest rate; the best technical proposal; and the lowest installment payments by the government or public sector entity. As a means to break ties, the government may require that bidders provide evidence of social responsibility. The Ministry of Planning also created a specialised unit at a national level to plan for future PPP fiscal contingencies. The 2004 concession law also established limits on future fiscal commitments through PPP projects at all levels of government. For any fiscal year, commitments should not exceed 1% of revenue. The Treasury is responsible for supervising the fulfillment of that obligation, and has the power to stop the execution of a new PPP project if the limit is exceeded. </t>
  </si>
  <si>
    <t>Chile has a well-structured investment evaluation system that is applied to transport projects; however, in recent years some concession projects have acquired a political element. No formal system exists for comparing concession-based project options to the public investment alternatives. Nor does the public accounting system consider deferred payments the same way it considers public investment in cases where little commercial risk was transferred to the private sector. 
The system for financing and allocating unsolicited initiatives has been improved under the new 2010 legislation. In the new concession regulation, a well-structured prequalification system with co-financing of engineering projects was established. Nevertheless, a bias remains, owing to the fact that fiscal accounting rules favour concessions investments and contractual mechanisms improve the government finances, potentially reducing value for money in public-private partnership (PPP) projects. 
The water sector and electricity industry fall under a different evaluation scheme than that of transport. In both cases, the private sector makes investment decisions and bears the main risk. The government often pledges only demand-based subsidies and, in some exceptional cases</t>
  </si>
  <si>
    <t xml:space="preserve">At the outset, various road concession projects were developed by leveraging the general framework established in public contracting laws. However, in 1999 a uniform, national-level framework was created for roads, ports, airports and water sanitation services (Law No. 5.394). This law outlined bidding mechanisms, rights of businesses and government rights during the concessions process. Concessionaires' rights outlined in the law include maintenance of financial equilibrium, where firms are allowed to solicit revisions to the economic conditions of a project and its term length. This clause allows for the free transfer of risks to the state beyond what is specified in a particular contract. Unfortunately, the current government has also set back the concession process by centralising road development efforts and freezing (and later eliminating) tolls, leaving its financial obligations for concession projects unpaid. In the drinking water and sanitation sector, the 2001 Ley Orgánica para la Prestación de los Servicios de Agua Potable y de Saneamiento was created to regulate the supply of these services through concessions and formulated a standard for auditing, monitoring and evaluating these services. The Superintendency for Public Services (La Superintendencia de Servicios Públicos) and the National Office for Drinking Water Development (Oficina Nacional para el Desarrollo de los Servicios de Agua Potable y Saneamiento - ONDESAPS), were made responsible for these tasks. In 2007 the law was changed to transfer the functions previously served by the National Office and the Superintendency to the Compañía Anónima Hidrológica (HIDROVEN, the state company). The clauses contained within this law apply to all drinking water and sanitation providers, regardless of whether these are public, private or a mix of both. In both the water and transport sectors, the government has pulled back from incorporating private capital since the last presidential election in 2007. Venezuela returned to a model that integrates service provision with regulatory responsibilities. In the electricity industry, Venezuela passed Law 5568 in 2001, which established a vertically disintegrated system with private operators in generation, transmission and distribution. The Comisión Nacional de Energía (CNE, the National Energy Commission) was established as the sector regulator. The government has kept prices artificially low, which has created a major disincentive for investment. A severe crisis in the electricity industry took place in 2007, with extensive blackouts, which led to the government declaring the electricity industry strategic and a subsequent nationalisation of the companies. The structure established in 2001 was dismantled and the Corporación de Electricidad Estatal (CEE, a state holding of electricity companies) was created. </t>
  </si>
  <si>
    <t>Peru is in the process of improving its regulatory and legal framework for public-private partnerships (PPPs). A public works concession law has been in place since 1996, and allows public works to be contracted out for highways, water sanitation projects and airports. The president, Alan García, signed the Regional and Local Public Investment with Private Participation Law (Law 29230, May 20th 2008), making it easier for the government to attract public investment by relaxing some of the conditions for approving disbursement of funds through the Sistema Nacional de Inversión Pública (SNIP, the National Public Investment System). The change facilitates the approval of water/sanitation, road-building and other public works projects that expand existing services. In addition to Law 29230, the administration passed legislation defining private investment in public projects. Legislative Decree 1012 (May 11th 2008) regulates the private sector’s participation in public infrastructure and services through PPPs, establishing risk-allocation principles according to each party’s ability to mitigate these risks. An earlier norm, Supreme Decree 104/2007-EF (July 19th 2007), approved guidelines for the provision of public services through co-financed concessions involving the government and the private sector. This 2008 framework also regulates private investment and the participation of different government bodies in the project approvals process. The participation of ministries and national/regional services is established in the project preparation stage. Many of the reforms have been oriented toward reducing bureaucracy in the project approvals process. ProInversión, the agency in charge of privatisations, will now concentrate on major concession projects, especially in infrastructure, by managing the bidding and contractual stages of federal projects. The change in the role of ProInversión from promoting privatisation to promoting concessions reflects the fact that Peru no longer has major assets ready for privatisation, as it did when the Privatisation Law (Decree Law 674) was implemented in 1991. Now Peru has to rely more on the concession law of 1996 and its 2008 amendments to incorporate private investment in infrastructure. Compensation for changes in financial equilibrium is restricted. It is allowed only in cases in which legal changes have specific impacts on the project. 
Peru initiated the reform of the electricity industry along the same lines as other Latin American countries in 1992, with the enactment of Law 25844, and the creation of the Dirección General de Electricidad (DGE, the national industry regulator). Generation, transmission and distribution were also disintegrated and a centralised dispatch based on marginal costs and private investment in all three segments was established. The regulatory framework has worked well and the electricity industry has received some help from the increased availability of natural gas at low prices from the Camisea gas project.</t>
  </si>
  <si>
    <t xml:space="preserve">The Ministry of Transport and Infrastructure is responsible for planning in the infrastructure sector. Nicaragua has a special public-private partnership (PPP) law for concessions for the road-building industry. Law No. 264 of 1997 established a framework for concessions where the revenue for tolls can be complemented by subsidies. Also, the Empresa Nacional de Puertos (ENAP, the national port company) can license specific infrastructure according to 1997 regulations. In 1998 the Drinking Water and Sewage Law (Law 297) split the national water company into the Instituto Nicaragüense de Acuaeductos y Alcantarillas (INAA, a regulatory agency) and the Empresa Nicaragüense de Acueductos y Alcantarillados (ENACAL, an operating company), a move that authorised the government to seek private investment in the sector and was considered a prelude to the eventual privatisation of Enacal. A public contracting law supplements this by establishing the requirement for public bidding for these types of projects. The regulations contained within the law include an obligation to maintain the financial equilibrium of a concession. This obliges the concessionaire to request adjustments when they feel that the financial equilibrium has been altered. In the case of projects that require subsidies for operations or investment, the subsidies must be approved by Congress. Projects that are self-sufficient do not require prior approval. The inability to commit future revenue flows from the project in favour of a third party (creditors) make project financing for private concessions almost impossible. The maximum term for concession contracts is 30 years. The Ministry of Transport and Infrastructure plays the contracting, supervising and economic oversight roles. However the government has as yet failed to detail plans to use the concession law for any transport infrastructure and water projects.  Law 272 of 1998 restructured the electricity industry vertically, disintegrating distribution, generation and transmission. Private investment was brought into distribution and generation. A central dispatch of electricity based on marginal cost was established following the same model of other Latin American countries. In 2007 a Ministry of Energy was established to strengthen the role of the government after a severe energy crisis in 2006. </t>
  </si>
  <si>
    <t>The power to issue a concession or contract for infrastructure projects to the private sector rests with different legal bodies for each sector and level of government. State governments have their own legislation and procedures for approval. At the federal level, Mexico has been involved in public-private partnership (PPP) projects for transport, such as inter-state roads, airports and sea ports. It has also been involved in the energy sector through power-purchasing agreements with the state-owned company Comisión Federal de Eletricidad (CFE). Water concessions and urban and state road concessions are undertaken at a state and municipal level. This heterogeneous framework is inflexible and has created some difficulties for promoting private sector participation in infrastructure. In part, the difficulties have been dealt with through the establishment of an individual trust for each project. Nevertheless, with the concessions scheme there are restrictions to the commitment of future payments. To correct this situation, PPP contracts, called Service Project Provision contracts (contrato de Pago Por  Servicio – PPS), have been structured by regulations contained in the Public Acquisitions Law of 1983. However, this is not adequate for infrastructure investment projects because it does not allow project modifications. In spring 2009 the government of the president, Felipe Calderón of the Partido Acción Nacional (PAN), amended the Public Works Law (Ley de Obras Públicas y Servicios Relacionados con las Mismas) and the Acquisition Law (Ley de Adquisiciones, Arrendamientos y Servicios del Sector Público) to facilitate and improve bidding and arbitration procedures for PPS infrastructure contracts. Simultaneously, the Mexican government proposed a new PPP law (Alianzas Público Privada en Infraestructura) that is still being debated in Congress. If approved, the new law will enhance significantly the regulatory framework for PPPs in the country. The proposed regulation defines a new type of long-term contract for private development of infrastructure services and clearly establishes that any commercial risk borne by the state should be specifically and explicitly set in the bidding documents and the contract for each project. It would also facilitate contract adjustments when and if these need to be made for acts of authority that adversely affect the project. Creditors’ rights would also be reinforced and principles for reasonable project risk allocation would be established. 
Mexico’s electricity industry has not been restructured in the same way as that of most Latin American countries. It remains essentially a state-operated and vertically integrated industry. Any private investment in generation can only take place through a contract with the CFE. The constitution also (problematically) reserves the CFE’s right to generate electricity. The existing legal framework allows independent power plants to inject energy into the grid, but only for the export of electricity and co-generation surplus.</t>
  </si>
  <si>
    <t xml:space="preserve">There is no single, common legal framework that regulates concessions in the transport and water sectors; each sector has specific laws that authorise the private sector participation and that govern concessions. Under these individual laws, Jamaica has developed road, airport and port concessions in the transport sector. In 2002 the government passed the Toll Road Act to establish the conditions for public-private partnership (PPP) projects in the road-building industry. The National Road Operating and Constructing Company (NROCC) was also created in 2002 to handle the preparation of and bidding for concessions for Plan Highway 2000. The country has also developed concessions in the water sector, albeit on a modest scale. The Parishes Water Supply Act permitted private participation in the provision of water services at the parish level (in the rural areas each parish council is responsible for providing basic services, including drinking water). The National Water Commission Act of 1980 outlines the operation of the National Water Commission (NWC), the entity responsible for providing water and sewerage in cities. The National Water Act of 2007 transfers oversight responsibilities for water quality and policy decision-making power to the Ministry of Health and gives quality assurance responsibilities to operators. Water tariffs are established by the Office of Utilities Regulation (OUR), a multi-sector independent regulator established in 1997. Until now, only a few small concessions have been established in the water sector. There is a lack of political will to break the monopoly of the NWC, which owns most of the licences in urban areas and is responsible for water service quality. For several years now, the government has been discussing the passage of a Water Supply and Sewerage Act with Congress, which would separate the water regulatory role from the contract-awarding role. It would also eventually allow private operators in the sector to be supervised directly by the OUR. 
The Airport Authority Act of 1974 established the regulatory responsibilities of the Airport Authority and created a very general framework to delegate activities to the private sector. Later, in 2002, the Airport Economic Regulation Act granted authorities the power to regulate and designate a private operator for airports. It also outlines a general mechanism for granting licences to airport operators and rights to levy charges. The Port Authority Act of 1972 established regulations for public ports and created the Port Authority of Jamaica, the primary institution responsible for the development and regulation of public ports, and allowed it the right to grant private licences in very general terms. Nevertheless, Kingston Port has remained as a public port (with limitations on services provided by the private sector), which is hampering its efficiency. 
Overall, regulatory responsibilities between licence-granting authorities and the national regulatory authorities are split depending on the sector. This produces a heterogeneous framework in which rules are flexible and subject to change. Furthermore, regulatory acts that establish the conditions for granting licences to the private sector do so in general terms only, leaving out any references to risk allocation between the private operator and the state, as well as details of the contract-modification mechanisms. An example of the problems caused by this can be seen with Plan Highway 2000. The first phase of the plan, an 85-km highway between Kingston and Sandy Bay, was awarded to a French company, Bouyguess, for a concession term of 35 years. The government contributed 25% of the investment as a subsidy to a special-purpose company, Transjamaican Highway Limited. However, financing difficulties obligated the NROCC to go into debt to fund the project, ultimately causing delays and placing excessive risk on the state. As of 2010 the NROCC has started paying project debts before being paid by the concessionaire. 
Finally, the electricity industry has been partly restructured. A single company, JPSCo, is in charge of electricity distribution,  transmission and (most) generation. It was originally a state monopoly until it was privatised in 2001, and its dominant position has made it more challenging to introduce market incentives in the sector. OUR regulates the JPSCo monopoly with price caps, and generation is open to competition; nevertheless, the power of JPSCo limits the strength of private investment in generation. 
</t>
  </si>
  <si>
    <t xml:space="preserve">The Honduran constitution mandates that concession projects be approved by Congress. The 1998 Promotion and Development of Public Works Law and a law that created the Superintendency of Concessions and Licences as an entity dependent upon the Congress both establish regulations that facilitate concessions for transport and water/sanitation infrastructure projects. The regulations are, however, very restrictive in that they only allow the private sector to receive revenue from users. There is no provision for the state to fund part of the investment. The length of concessions is 22 years, generally too short to appeal to investors. With such restrictions in place, Honduras has only been able to pursue modest improvements in infrastructure through concessions. Moreover, the legal framework for acquisitions established the concept of financial equilibrium for public-private partnership (PPP) contracts, which allows the private sector to transfer risks back to the state. This occurred with the Tegucigalpa Airport concession and served to taint future deals. Moreover the government of Manuel Zelaya (2006-09) made moves to develop Puerto Cortes through public investment and the government continues to exert monopoly control in maritime ports, sanitation services, rail transport and water provision. There was hope that a new framework for transport would be introduced by the Zelaya government but political turmoil that started in June 2009 paralysed any possibility of reform of the PPP regulatory framework last year. However the newly elected government is now proposing a modification of the 1998 regulations governing public works concessions along the same lines as an earlier (2007) discussion with the IMF, where the state would concentrate its activities on basic services badly needed to facilitate self-financed private investment in other areas. However it is still early to assess whether the draft legislation being discussed in Congress will gain the political support required to progress, nor is it clear that if passed it would significantly improve the framework for PPP projects. It was also hoped that the Defence and Promotion of Competition Law passed in 2006 would help open up both state-dominated markets and private monopolies, but by end-2009, however, this had not yet happened. 
The electricity industry is vertically integrated and is dominated by the state-owned Empresa Nacional de Energía Electrica (ENEE, the National Electricity Company). This company owns distribution, transmission and most of the generation capacity. It sets tariffs and it is the only buyer for small private generating companies. </t>
  </si>
  <si>
    <t xml:space="preserve">In April 2010 a comprehensive public-private partnership (PPP) law was approved (law 2862, the Ley de Alianzas para el Desarrollo de Infraestructura) for concession projects in the transport sector. It is awaiting the passing of by-laws to become fully valid. This law applies a common framework to all transport infrastructure projects and does not apply to water or electricity generation. It establishes clear conditions for compensating the private sector and for renegotiation based on the principle that unexpected act of authority that affects the business has to be compensated. Nevertheless, each project still has to be approved by Congress. 
Until this year, and still for water and electricity concessions, the Ley de Contrataciones del Estado of 1992 was the main framework that allowed for concessions projects. It does this by establishing four articles of a general nature that permit tenders for projects under concession. The Constitution compels each contract, and any modifications of a contract, to be approved by Congress. The Constitution also establishes the mechanism for expropriating land and requires payment prior to taking possession, which makes it difficult to secure land for infrastructure projects. It allows landowners to postpone the transfer of land ownership and use for construction until price negotiations have fully closed, whereas ideally land occupation and price issues would be dealt with separately. Each contract defines the regulations of a concession, leading to regulatory inconsistency and uncertainty. Projects are subject to political negotiations that often delay approval or elevate costs for the government. 
In 1996 Law 93-96 reformed the electricity industry. The reforms established a vertically disintegrated scheme, with private operators in distribution and the majority of the generation segment. There is a reasonable technical regulator and the operation of the system is based on marginal cost quoting. Private generators have to enter into long-term contracts with distribution companies, facilitating project financing. 
</t>
  </si>
  <si>
    <t xml:space="preserve">The Dominican Republic does not have any specific concessions laws. All concession contracts must be approved by Congress, meaning political considerations carry great weight in project selection and executive decisions. Once a project has been approved, it is regulated in general terms under the Law for Public Purchases and Acquisitions 360-06. This law establishes that each principal is responsible for supervising the various stages of a concession project. The legal framework compels regulations to be established for each contract, resulting in the instability of rules governing private participation. The law obliges the contract to assign explicitly the main risks of an infrastructure project to participant parties and requires financial-economic balance for projects, referencing a project’s internal rate of return (IRR). This implicitly transfers commercial risks to the state. Another downside is that no independent project supervision is required from entities other than the principal. At a higher level, a fragmented system of public works supervision has been created, as the head of the agency responsible for public works has a ministerial title and 50% of its funds come from the Ministry of Public Works. Congress in 2008 debated a Concessions Law that would have reduced fiscal discipline and introduced additional inequities in the competitive environment. At the beginning of 2009 the government also sent a new bill to Congress that would substantially improve the country’s regulatory framework, albeit without changing the legal requirement for guaranteed returns on investment often used to justify contract renegotiations. As of July 2010, Congress is still debating both legal initiatives. Until a framework law is passed each individual concession project for public works will require specific approval from Congress. 
In the electricity industry, law 125 of 2001 approved a full restructuring by vertically disintegrating the distribution, transmission and generation of electricity. Private investment was incorporated in distribution and generation, and an energy policy public body and industry regulator were established. A central dispatch system based on marginal costs was also introduced. Nevertheless, the government has kept a significant involvement since 2003, when oil prices increased, keeping prices well below the marginal cost, which led to a complete collapse of payments, squeezing electricity distribution and creating a so-called “financial rationing” where private generators sold energy based on cash payments only. The whole dispatch system was disrupted. Private investment in more efficient generation plants became impossible, given the high risk. The electricity crisis created a huge fiscal deficit of over 4% of GDP in 2007-8, forcing the intervention of the IMF, the World Bank and the Inter-American Development Bank (IDB). A new plan with the goal of bringing economic incentives to the sector is being attempted with the support of multilateral organisations. 
</t>
  </si>
  <si>
    <t xml:space="preserve">Costa Rica’s Public Works Concessions Act of 1998 enables the establishment and regulation of private investment in public projects, irrespective of the government agency responsible for contracting out the service or asset. An executive secretariat in the Consejo Nacional de Concesiones (CNC, National Concessions Council, an autonomous agency under the Ministry of Public Works and Transport), bears the responsibility of preparing, tendering and supervising projects. The CNC executive secretariat is also in charge of monitoring project construction and operations. The Regulatory Agency of Public Services has limited responsibility regarding tariff modification. However, the bodies responsible for contracted public services that benefit from fiscal resources can vary. The law establishes a contractor’s right to be compensated in the event that a project’s financial situation changes. However, laws do not clearly establish creditors’ rights to future cash flows from concession projects, a problem that generates risk for investors in cases of premature contract termination. 
Costa Rica’s electricity industry is mostly controlled by the state through state-owned enterprises. Instituto Costaricense de Electricidad (ICE) is the dominant player, with one-third of the distribution, the transmission and more than 80% of the country’s generation capacity. The private sector can only participate in small renewable energy projects selling the power to the state monopoly. Costa Rica is one of the few Latin American countries that have not restructured the electricity industry, leaving limited room for private sector private-public partnership (PPP) projects. Law 7508 of 1995 established a limit so that private companies can only participate in projects that generate 20mw of electricity or less. In total all private generation projects cannot exceed  15% of total generating capacity. 
</t>
  </si>
  <si>
    <t xml:space="preserve">As part of its effort to bring peace to the country, Colombia has undertaken an important step in decentralisation, creating regional government with significant autonomy. The national government is responsible for the provision of transport infrastructure in ports, airports, inter-state roads and of electricity. Regions and municipalities are responsible for water, urban and state roads. Colombia does not have any special laws for concessions. However, the government did establish the power to contract out public services in the General Public Acquisitions Act (Act 80). At the same time, sector-specific laws were passed, such as Law No 105 of 1993, to authorise different levels of government to commit funds to facilitate development of highways through concession projects. In practice, regulations change as a result of resolutions handed down by the Consejo Nacional de Política Económica y Social (CONPES, the National Council for Social and Economic Policy) and as a result of the contracts themselves. Act 80 compels the state to re-establish the balance of a project’s economic equation, as defined in a project’s contract, “when unforeseen factors arise that alter it or which cannot be blamed upon the concessionaire”. In particular, article 40 of law 80 established that additions to contracts could reach 50% of the original investment in real terms. The silence of Act 80 with regard to key contract renegotiation areas also compelled public bodies to establish regulations by decree. This meant that significant changes were made to the regulatory framework over a period of only a few years. In 2008 law 1150 of article 28 introduced the possibility of extending the length of a concession by up to 60% to allow the recovery of the investment of additional works related to the original concession. The complexities created by such decrees, along with the different regulatory and contracting powers at different levels of government, have thereby created a system where regulations do not properly oversee concessions. These difficulties are compounded by the fact that the law used to grant concessions was originally conceived for public purchases of goods and services and not for infrastructure investments. 
The electricity industry has its own regulation for private participation, established in 1995 when Colombia restructured the industry. With law 142 and 143, the industry was unbundled in terms of distribution, transmission and generation, and an industry regulator and the Comisión Reguladora de Energía y Gas (CREG, the industry regulator) was established, CREG. A Superintendency of Households regulating end services to consumers was also established. The reform importantly encourages the participation of private investors in electricity generation in Colombia. The state has maintained the ownership of transmission and the state controls most of the distribution network through regional and local governments. Dispatch is carried out in a centralised manner according to price quotes given by power companies (instead of based on marginal costs, as is the case in most Latin American countries); given the number of players, this process generates significant competition. 
</t>
  </si>
  <si>
    <t xml:space="preserve">In April 2010 Chile established a new regulatory framework by passing the Ley de Concesiones de Obras Públicas. This new law modified the 1996 concession law, which allowed for private contracting of public works, under the condition that such works be regulated by the Ministry of Public Works. The framework was initially approved in 1991 and was later modified in 1996 to enable contractor compensation through a combination of service rates, guarantees, asset contributions, and government resources. With the enactment of the new 2010 concession legislation, significant improvements to the prior regulation have been made. More objective criteria will be imposed to compensate private actors for acts of government authority and limits will be placed on the possibility of unintended transfer of commercial risk to the government. Limits have been established for renegotiations and additional bidding for significant additional works will be required to enhance transparency. Overall, the new regulation has created a more level playing field for private participation. However, a different lease arrangement was structured for the port system, which follows an ad hoc supervision system. In the sanitary sector, Chile either has vertically integrated and privatised regional companies or sources its utility management function to private parties. The legislation that applies to the water sanitary segment was approved in 1997 and since then almost 99% of the services have been transferred to the private sector in urban areas. 
The electricity industry has its own legal framework for granting indefinite concessions for the public electricity supply. In electricity generation, almost the entire industry is fully privatized. The regulation that establishes the functioning of the electricity industry under private hands was promulgated in 1981, and was modified in 2004 and 2005 by laws 19.940 and 20.018. Under these modifications, private generation companies were permitted to invest in and sell energy to both the distribution companies that bid for long-term contracts, as well as directly to big individual firms that consumed the energy. This increased the transparency of tolls paid to transmission and distribution companies, and reduced entry barriers for new electricity generation companies. 
</t>
  </si>
  <si>
    <t>Brazil’s legal mechanism for leasing government assets and establishing public-private partnership (PPP) projects is in effect at different layers of government. The federal government has exclusive rights to grant PPP projects in the energy sector, and with respect to interstate roads, railroads, airports and seaports. State and municipal governments are responsible for water distribution, sewage and metropolitan, urban and state road projects. At the federal level, activities are regulated by various laws and regulations, such as the 1995 Lease Law and the 2004 Private-Public Association Law (which extended contract lengths to 35 years). Contracts with mixed financing by users and the state are allowed, although any such projects where the state contributes more than 70% of resources must be approved by Congress. The legal framework also roots itself in the 1988 Constitution and the Public Contracting Law of 1986. The contracting law was modified by the Public Tendering Law of 1993, which establishes an “honest service balance” principle. This principle forces the state to compensate concessionaires in anticipation of changes in a project’s external conditions. It applies to the transport and water sectors, among others. Despite the fact that the law requires that risk be allocated between the public and private sectors according to economic criteria, standard practice has been to modify contracts ex post, making it possible to transfer commercial risks to the state. Fiscal responsibilities are nevertheless defined through a set of regulations preventing government administrators from using PPPs to transfer contingencies or improve the outlook of their fiscal obligations. 
Projects must be overseen at different stages of implementation, although supervisory responsibilities are not always assigned to the same entity in all cases. Sector-specific laws have established regulatory capacity and principles at the federal level. For federal-level transport projects, operations are supervised by the Agência Nacional de Transportes Terrestres (ANTT, the National Transport Regulating Agency, created in 2001) and the Ministry of Transport is responsible for project planning. For interstate water transportation, the regulatory agency is the Agência Nacional de Transportes Aquaviários (ANTAQ, the National Aquatic Transport Agency, also created in 2001). 
State-owned enterprises dominate the electricity industry. As a result, the state operates most distribution capacity, most of the transmission grid and the majority of the generation capacity of the country. This state dominance persists despite the creation of the Agência Nacional de Energia Elétrica (ANEEL, the Brazilian Electricity Regulatory Agency) in 1996, and despite a 2004 electricity reform implemented to address an electricity shortage that occurred in 2000-2001. The 2004 reform established mandatory bidding for long-term contracts by distribution companies as a way to attract private investment in generation. Private power plants can be developed by selling energy and power to distribution companies with industrial users of over 3 mw of installed capacity and to the spot market.</t>
  </si>
  <si>
    <t>This is the score for the sub-national adjustment factor</t>
  </si>
  <si>
    <t>Government support and affordability for low income users</t>
  </si>
  <si>
    <t>0=The government does not subsidise the water, transport or electricity sector, or has done so in an extremely distortionary manner;
1=The government does not subsidise the water, transport or electricity sector, or has done so in a moderately distortionary manner;
2=The government occasionally provides subsidies for improved access for the poor in water, transport or electricity, but these are infrequent or applied only in certain cases;
3=The government usually provides satisfactory subsidies for low-income users, but this can vary by sector and project;
4=Subsidies are common, reliable and effectively target low-income users</t>
  </si>
  <si>
    <t>Does the government provide subsidies that allow low income users to better access water, transport and electricity services, while at the same time maintaining project profitability and long-term sustainability?</t>
  </si>
  <si>
    <t>EIU Risk Briefing Spring 2010</t>
  </si>
  <si>
    <t>OVERALL SCORE*</t>
  </si>
  <si>
    <t>Investment climate**</t>
  </si>
  <si>
    <t>* *Category score excludes Political will (New 2009 indicator) and Social attitudes (replaced 2008 indicator)</t>
  </si>
  <si>
    <t>Weight 2009</t>
  </si>
  <si>
    <t>EIU Transport and Power Infrastructure score</t>
  </si>
  <si>
    <t>WEF Transport Infrastructure score</t>
  </si>
  <si>
    <t>Transport, storage and communications sector value (% of GDP) in 2008</t>
  </si>
  <si>
    <t>DEPE05</t>
  </si>
  <si>
    <t>DEPE06</t>
  </si>
  <si>
    <t>DEPE07</t>
  </si>
  <si>
    <t>DEPE08</t>
  </si>
  <si>
    <t>DEPE09</t>
  </si>
  <si>
    <t>DEPE10</t>
  </si>
  <si>
    <t>DEPE11</t>
  </si>
  <si>
    <t>US$</t>
  </si>
  <si>
    <t>US$ at PPP</t>
  </si>
  <si>
    <t>% GDP</t>
  </si>
  <si>
    <t>kWh per capita</t>
  </si>
  <si>
    <t>% of urban population with access</t>
  </si>
  <si>
    <t>% of rural population with access</t>
  </si>
  <si>
    <t>% of GDP</t>
  </si>
  <si>
    <t>Domestic credit to private sector, 2008</t>
  </si>
  <si>
    <t>Ease of doing business rank</t>
  </si>
  <si>
    <t>1=most business-friendly regulations</t>
  </si>
  <si>
    <t>Nominal GDP , 2009</t>
  </si>
  <si>
    <t>GDP per capita (PPP), 2009</t>
  </si>
  <si>
    <t>Electricity, water and gas sector value (% GDP),  2008</t>
  </si>
  <si>
    <t>0.00</t>
  </si>
  <si>
    <t>#,###.0</t>
  </si>
  <si>
    <t>Dependent variables show data, not normalised scores.</t>
  </si>
  <si>
    <t>Electric power production, 2007</t>
  </si>
  <si>
    <t>Improved water source, rural (% of rural population with access), 2006</t>
  </si>
  <si>
    <t>Improved water source, urban (% of urban population with access), 2006</t>
  </si>
  <si>
    <t>REGULATORY FRAMEWORK</t>
  </si>
  <si>
    <t xml:space="preserve">   Consistency and quality of PPP regulations</t>
  </si>
  <si>
    <t xml:space="preserve">   Effective PPP selection and decision making</t>
  </si>
  <si>
    <t xml:space="preserve">   Fairness/openness of bids, contract changes</t>
  </si>
  <si>
    <t xml:space="preserve">   Dispute resolution mechanisms</t>
  </si>
  <si>
    <t>INSTITUTIONAL FRAMEWORK</t>
  </si>
  <si>
    <t xml:space="preserve">   Quality of institutional design</t>
  </si>
  <si>
    <t xml:space="preserve">   PPP contract, hold-up and expropriation risk</t>
  </si>
  <si>
    <t>OPERATIONAL MATURITY</t>
  </si>
  <si>
    <t xml:space="preserve">   Public capacity to plan and oversee PPPs</t>
  </si>
  <si>
    <t xml:space="preserve">   Methods and criteria for awarding projects </t>
  </si>
  <si>
    <t xml:space="preserve">   Regulators' risk allocation record</t>
  </si>
  <si>
    <t xml:space="preserve">   Experience in transport &amp; water concessions</t>
  </si>
  <si>
    <t xml:space="preserve">   Quality of transport and water concessions</t>
  </si>
  <si>
    <t>INVESTMENT CLIMATE</t>
  </si>
  <si>
    <t xml:space="preserve">   Political distortion</t>
  </si>
  <si>
    <t xml:space="preserve">   Business environment</t>
  </si>
  <si>
    <t>FINANCIAL FACILITIES</t>
  </si>
  <si>
    <t xml:space="preserve">   Government payment risk</t>
  </si>
  <si>
    <t xml:space="preserve">   Capital market: private infrastructure finance</t>
  </si>
  <si>
    <t xml:space="preserve">   Marketable debt</t>
  </si>
  <si>
    <t xml:space="preserve">   Government support and affordability for low income users</t>
  </si>
  <si>
    <t>2008 Normalised scores. Hardcoded to the scores using default weights in the final delivered workbook (not calculated from data)</t>
  </si>
  <si>
    <t>-</t>
  </si>
  <si>
    <t xml:space="preserve">Responsibilities for interstate roads, railroads, airports, ports and electricity generation rest at the federal level. Argentina’s original concession contract law dates from 1967. It was modified in 1989 to allow states and municipalities to use it and also to regulate private project initiatives; since the early 1990s, this framework has enabled over 10,000 km worth of highway construction to be contracted to private providers, along with railway projects, ports and sanitary services. However, the application of and adherence to financial equilibrium principles was often used to renegotiate contracts and obtain post-contract compensation for private sector operators. In 2000 a new law was passed to facilitate projects where the government finances over 40% of investment through deferred payments and private concessionaires provide services. Regulating entities were also established through sector-specific laws for both transport and water projects, in order to supervise tariff levels and ensure service quality. Additionally, Law 1299 of 2000 and Decree 678 of 2001 established an infrastructure development trust fund to guarantee future fiscal commitments to concessionaires. It is important to note that Law 1299 has not been used in practice. 
The electricity industry’s generation, transmission and distribution capacity was unbundled by reforms carried out in the early 1990s through law 24,065 of 1991. These reforms established a central dispatch scheme to promote efficient sectoral operations. Generation occurs in a market in which most of the generation capacity is owned by private companies. Ente Nacional Regulador de la Electricidad (ENRE, the National Electricity Regulatory Agency) was also established by law 24,065. The reformed electricity sector functioned well until the devaluation of the peso, after which government interference in the market became pervasive. </t>
  </si>
  <si>
    <t>2009 Normalised scores, for YoY comparison, weights Political will and Subnational Adjustment Factor at zero</t>
  </si>
  <si>
    <t>2008 Normalised scores for YoY comparison, weights Social attutudes to privatisation at zero.</t>
  </si>
  <si>
    <t>The concessions laws in place do not establish project selection criteria. In the area of public works, arbitrary decision-making and subjectivity have been used for project assignments.</t>
  </si>
  <si>
    <t xml:space="preserve">The Ministry of Public Works’ Law No 5 of 1988 regulates the creation of concession projects; this includes roads and airports. In cases where state-owned companies own the infrastructure, private contract laws are used for these contracts since the state-owned firms are the lessors. Modifications to Law No 5 also established clear compensation to concessionaries by offering public land rights to concessionaires. The concept of financial equilibrium in contracts has often been used by road concessionaires to solicit substantial modifications to project contracts, resulting in the paralysis of important works (for example the Panama-Colón highway project). Public Purchases Law 22 (Ley de Contratación Pública) of 2006  modified the regulation of long term contracts, including concessions. This regulation does not protect creditor’s rights in case of cancelation of the concession, does not provide for arbitration procedures and leaves disputes to a specialized court. This law was modified in 2009 by law 69, improving the regulation of compensations, establishing mechanism for limiting opportunistic appeal to bidding awards.  The legislation remains ambiguous regarding the role and treatment of “non solicited proposals or private initiatives”. 
In September 2002 the Moscoso administration announced the creation of an autonomous state corporation to administer the Tocumen International Airport. The new entity, Aeropuerto de Tocumen, began operating in June 2003 with a seven-member board of directors, including representatives from the government and private sector. The state has established regional firms in the water sanitation sector, as well as a plan to create a regulatory body that would permit the sale of 51% of equity shares to incorporate private capital. Indeed, Law No 2 of 1997 established the legal and regulatory framework to incorporate private sector capital, but political difficulties have prevented implementation. The public water company (Instituto de Acueductos y Alcantarillados Nacionales—IDAAN) was included in the privatisation process as a result of Law No 2 of 1997, but this sale was suspended following violent demonstrations in Panama City. The Moscoso government reached an agreement with the International Monetary Fund in 2000 to restructure the company, allowing private companies to take charge of billing, metering and other services. The National Assembly subsequently passed a law that reorganised IDAAN, creating a board of administrators and granting the company more financial autonomy. This restructuring left a regulatory vacuum in the water sector. 
Seaports have a different legal framework and have been covered through contract-laws approved by Congress, with an ad-hoc judicial arrangement for each port. The electricity sector also has a different framework, as it was reformed in the mid nineties with laws number 6 (Comisión de Política Energética) and 26 (Entes reguladores de servicios públicos). These reforms established vertical disintegration of the state’s electricity monopoly. The system was structured so that there would be vertical separation among generation, transmission and distribution; privatization of distribution companies and private investment in generation, with generating companies selling to distribution companies through long term contracts, and established a regulator to oversee  distribution and transmission charges. 
</t>
  </si>
  <si>
    <t xml:space="preserve">The judiciary is inefficient and highly politicised, which means that contractual agreements are often not respected and the protection of property rights is limited. Despite the implementation of the new criminal code at the end of 2002, the judiciary remains politicised—the judicial career law was amended in such a way by the legislature to justify the control of the Frente Sandinista de Liberación Nacional (FSLN)  and the Partido Liberal Constitucionalista (PLC) over the judiciary. The Supreme Court's judges are affiliated to one of these two main political parties. Red tape is pervasive and likely to remain a constraint on investment. There also exists a high risk of political conflict that paralyses litigation. However, mechanisms to obtain rights-of-way for public works projects are obtained easily, which implies that land owners cannot trust the courts to protect their property rights. The Road Concessions Law does not permit the transfer of rights nor does it establish mechanisms to handle previously agreed upon contract terminations. </t>
  </si>
  <si>
    <t>The process for granting land ownership is extremely complex judicially, and this creates serious difficulties for designing concession projects. Environmental laws have evolved and currently require comprehensive environmental impact studies, although this is a bureaucratic process subject to long delays. Tribunals exist, but their independence is limited and they play a secondary role in securing concessionaires’ rights. Concessionaries often use direct and closed-door negotiations with the executive branch to protect their interests and resolve disputes. The risk of expropriation is limited, but delays often occur because of government decisions that are arbitrary and not transparent.</t>
  </si>
  <si>
    <t>Out of five projects in the World Bank PPI database for the transport and water sectors, Uruguay had one failed/distressed project in transport and one failed/distressed project in the water sector, for an overall failure/distress rate of 40%. (Figures do not include management and lease contracts or divestitures. Please note that numbers do not necessarily match explanations for other indicators in this index due to different counting methods and time frames.)</t>
  </si>
  <si>
    <t>Out of four projects in the World Bank PPI database for the transport and water sectors, Venezuela had one failed/distressed project in transport, for an overall failure/distress rate of 25%. (Figures do not include management and lease contracts or divestitures. Please note that numbers do not necessarily match explanations for other indicators in this index due to different counting methods and time frames.)</t>
  </si>
  <si>
    <t xml:space="preserve">Weak institutions are a shortcoming of Argentina's political system. The Kirchners have failed to restore confidence as they have been slow to rectify the setbacks of recent years, prioritising the maintenance political support instead. Government intervention and policy improvisation will increase due to recession, heightening legal and regulatory risk. The government has been forced to liberalise transport and utility tariffs owing to fiscal pressures, but contract security with owners of privatised utilities will be mixed. Regulatory risks to business in the form of compulsory price agreements, which began to be used to combat inflation in late 2005, will continue. </t>
  </si>
  <si>
    <t>Similar to other countries in the region, Brazil offers cross subsidies (where high charges to certain users "subsidise” low charges for others) in drinking water, for which the price depends on consumption levels and user characteristics. However, average tariffs are not set correctly so as to ensure the financial sustainability of the service. In the case of roads and highway prices, the toll charges are insufficient to finance the necessary replacement of road gravel every few years. Maintaining service standards in the long term will require significant subsidies and investment.</t>
  </si>
  <si>
    <t xml:space="preserve">The government has established a demand subsidy scheme focused on low-income families for the first 20 cubic metres of water consumption. In the transport sector, tolls are structured in favour of interurban public transportation; cars pay more than buses (in relative terms) implying a cross subsidy. There is also a subsidy for students on urban buses which has been refined to exclude higher income university students. Additionally, Chile has recently structured lease contracts for the development of public transport corridors in which the state subsidises urban public transport users through deferred payments to the concessionaire. Pollution and congestion problems, combined with the fact that these corridors are used by the poorest 40% of the population, means that this new development policy is well-focused. </t>
  </si>
  <si>
    <t xml:space="preserve">Controlled prices exist only in sectors dominated by natural monopolies, including water, electricity and fixed-line telephony. Separate regulatory agencies and regulatory regimes cover each of these services. Colombia has established a water subsidy scheme that targets areas with low income households. </t>
  </si>
  <si>
    <t>In the water and sanitation sector there are subsidised tariffs for all population segments, which makes the development of the system difficult from a financing perspective. The government also tends to use cross subsidies (where high charges are set above marginal cost levels for certain users to "subsidise” lower charges for others below the marginal cost of provision) and up-front subsidies (which are used to finance short-term investments meant to expand or improve existing infrastructure).</t>
  </si>
  <si>
    <t>Subsidy policies are not focused on basic services for lower income brackets. In the electricity sector most subsidies are offered to all. The magnitude of across-the-board subsidies has even created macroeconomic difficulties, increasing significantly fiscal deficits.</t>
  </si>
  <si>
    <t xml:space="preserve">Tariffs in the water and sanitation sector are not high enough to ensure the sustainability of services provided. Therefore, subsidies in this sector are not focused in low income sectors, which aggravate the economic sustainability of water services.  </t>
  </si>
  <si>
    <t>The National Water Commission assigns tariffs to urban users, but these barely cover operating costs; infrastructure investment costs are paid by the government. There is no coherent policy for recovering costs for offering subsidies to the poorest segments of the population. Cross subsidies do exist, however, between the tourism sector and domestic and commercial users, as prices are higher and losses lower in the tourism industry. Operating deficits are even larger in rural areas, and in many instances national companies take responsibility for funding rural systems by increasing their deficits. Given such conditions, it is difficult to create private concessions except in new tourism development areas, where there is more revenue potential. A proposed policy aimed at restructuring the sector and improving service management is still awaiting congressional approval.</t>
  </si>
  <si>
    <t>In general, the government does not offer demand-based subsidies of basic services for a targeted segment of the poor population; sanitation services are subsidised for the general population. Tariffs are low and do not even pay for replacing the service costs of infrastructure; as a result, there is a chronic deficit that inhibits private participation and equitable access. Public transport is indirectly subsidised by general subsidies for gasoline and the low taxes on diesel. Interurban toll roads charge buses high fees and do not incorporate from cross subsidies.</t>
  </si>
  <si>
    <t>The World Bank PPI database only indicates one concession project in the transport sector, which did not experience any cancellation or distress. (Figures do not include management and lease contracts or divestitures. Please note that numbers do not necessarily match explanations for other indicators in this index due to different counting methods and time frames.)</t>
  </si>
  <si>
    <t>Out of 3 projects in the World Bank PPI database for the transport and water sectors, Panama did not experience any cancellations or distress. (Figures do not include management and lease contracts or divestitures. Please note that numbers do not necessarily match explanations for other indicators in this index due to different counting methods and time frames.)</t>
  </si>
  <si>
    <t>The World Bank PPI database only indicates one concession project in the transport sector. It did not experience distress or failure. (Figures do not include management and lease contracts or divestitures. Please note that numbers do not necessarily match explanations for other indicators in this index due to different counting methods and time frames.)</t>
  </si>
  <si>
    <t>Out of 19 projects in the World Bank PPI database for the transport and water sectors, Peru had 1 failed/distressed project in transport, for an overall failure/distress rate of 5.3%. (Figures do not include management and lease contracts or divestitures. Please note that numbers do not necessarily match explanations for other indicators in this index due to different counting methods and time frames.)</t>
  </si>
  <si>
    <t>According to the World Bank PPI database, Trinidad &amp; Tobago's sole water concession project from 1997-2006, run by the Desalination Company of Trinidad &amp; Tobago, is under distress. (Figures do not include management and lease contracts or divestitures. Please note that numbers do not necessarily match explanations for other indicators in this index due to different counting methods and time frames.)</t>
  </si>
  <si>
    <t xml:space="preserve">Chile's small, open economy is vulnerable to external shocks. Weaker copper prices will hit the fiscal and current account balances. The global recession and local inflation will dampen GDP growth below 3% in 2009. Monetary tightening should lower inflation to target, but not until 2010. The global credit crisis may cause further peso volatility in the short-term, but the peso is supported by sound economic fundamentals. The tax regime is simple and pro-investment, though tax rates have risen in recent years. Labour market flexibility has diminished since 2002, but by regional standards remains high. Public and private investment in transport and energy infrastructure is scheduled for 2009. </t>
  </si>
  <si>
    <t xml:space="preserve">Fiscal adjustment and security improvements have raised confidence in Colombia's prospects, particularly in the business sector. After growing by over 7% annually in 2006-07, a less favourable external environment, deceleration in private consumption and investment, rising inflation and increasing risk aversion will hit local and foreign investor confidence in emerging markets, including Colombia, dampening GDP growth to 2%. Revenue erosion will lead to a reversal of the advances made in recent years in consolidating the public finances, lifting the public debt/GDP ratio from 43% in 2007 by a couple of percentage points in 2009. Weaker direct and portfolio inflows and a wider current-account deficit will weaken the peso in 2009. Inflation will peak before falling in 2009 allowing the central bank to ease interest rates. </t>
  </si>
  <si>
    <t xml:space="preserve">Sharp increases in government spending and the extension of subsidies under the Correa administration have compounded economic distortions and increased dependence on oil revenue. Government intervention in the economy has been increasing, reflecting the state-led development model enshrined in the new constitution. The business environment will be further impaired by heavy handed regulation of the private sector. Dollarisation in 2000 had brought inflation down to developed country levels (although high food prices drove annual rates to 10% in 2008), but the failure to advance structural reforms has also exposed an underlying lack of competitiveness. The administration has stated its intention to maintain dollarisation, but the mounting fiscal and financing difficulties following the sovereign default and the expected sharp decline in oil revenue and remittances, markedly increase the risk to its sustainability. </t>
  </si>
  <si>
    <t>Largely responsible and market-based economic policies over the past decade have put the economy in a strong structural position. El Salvador's main structural weaknesses include a reliance on the US market (for trade, investment and remittances) and a high level of public-sector indebtedness. The economy will slow sharply in 2009 as a result of the US recession. Private consumption growth will slow, reflecting the lagged impact on wages of high inflation in 2008 and falling remittances, and investment will contract given scarce funding availability. El Salvador's preferential access to the US through the Dominican Republic-Central American Free-Trade Agreement (DR-CAFTA) will cushion the direct impact of shrinking US import demand, but it will be hit by weakening economic conditions in Central America. Although falling commodity prices will put pressure on the external accounts, lower oil prices will help to ease overall import spending. Crowding-out has become a problem owing to financing scarcity and the government's need to finance its fiscal deficit.</t>
  </si>
  <si>
    <t xml:space="preserve">The Ministries of Public Works and Transport and of Housing are responsible for planning formulating policies and directives in their respective areas, as well as selecting specific services for concession projects.  These ministries are also the principals in any concession contracts. Official highway boards, the Executive Port Commission (CEPA- Comisión Ejecutiva Portuaria Autónoma de El Salvador) and the National Aqueducts Agency (ANDA- Administración Nacional de Acueductos y Alcantarillados) are responsible for the development of services in their sectors.  A law must be passed to authorise a particular concession project before these bodies are allowed to tender services out for private contracting. For each sector, the execution and regulation of projects falls under the responsibility of one entity; however combining these responsibilities reduces accountability. All public investment must be registered in the national investments system, which centralises basic project information projects and, in theory, is supposed to aid the evaluation and supervision of projects. Finally, the Treasury has significant power to supervise ministerial decisions so long as they involve fiscal government commitments. </t>
  </si>
  <si>
    <t xml:space="preserve">Guatemala has a unit in the Secretariat for Communications and Transport that supervises concession contracts. It was created to administer the Palin-Scuintla concession, a railroad project, and the national post office. The unit promotes new concessions, especially for highways. It was involved in both the ring-road project around Guatemala City and the Transversal Strip of the North; neither of these projects were well-conceived or materialised as a concession, as the process was heavily politicised. The Secretariat for the Treasury does not play a significant role in this area, nor is there a well-structured social evaluation process. The Economic Commission of Congress is working to establish a proper institutional balance between all of the parties in these transactions. </t>
  </si>
  <si>
    <t xml:space="preserve">Concession renegotiations have been initiated in the past by both the state to reduce tariff and service levels, as well as by the concessionaires in response to adverse economic situations. During the mid-1980s through 2000, 28 out of 50 transport concession projects were renegotiated and 42 out of 50 water and sanitation concession projects were renegotiated (Guasch  2004).Changes to project details initiated by either party are anticipated in original contracts. Furthermore, the metrics used to award contracts (lowest tariff offered, without guaranteeing minimum traffic levels), do not create internal mechanisms that allow to cover for risk of demand fluctuations. Financial instability created by long periods with high interest rates has also affected projects and caused renegotiations of investment agreements; this has exposed the potential inadequacy of contract award mechanisms and risk allocation rules. Risks derived from unilateral government contract modifications should also be treated differently from those originating from commercial factors. On the positive side however, a focus on cost recuperation and conservation of infrastructure limited the renegotiation costs and increased projects’ profitability. Currently there is a capital market deep enough to cover different types of project risk (though the use of the available instruments has been limited). The economic equilibrium concept should also take less precedence in the new generation of concession projects since the 2004 law was passed, as it encourages a better allocation of risks ex ante and ex post. </t>
  </si>
  <si>
    <t>In the past decade, the authorities have managed to stabilise the macroeconomic environment, reducing exchange- and interest-rate volatility and bringing inflation down to single-digit levels. However, the sharp fiscal and monetary tightening that this has required has had a dampening impact on growth: over the past decade GDP growth has averaged less than 1% per year. At the same time, accumulated overvaluation of the Jamaican dollar to help contain external debt servicing costs has reduced export competitiveness and diversification. Combined with the huge public-debt burden of around 127% of GDP, Jamaica is as vulnerable as ever to domestic and external shocks. The government will need to maintain fiscal discipline over the next several years to reduce vulnerability to shocks and to put the debt on a more stable footing.</t>
  </si>
  <si>
    <t>Macroeconomic risk has risen sharply. Although monetary and fiscal policy management has become more disciplined in recent years, Mexico faces the prospect of a sharp economic decline in 2009 as the US - its main trading partner - enters a recession. Worsening external conditions will highlight the extent to which Mexican growth remains acutely vulnerable to economic cycles in the US. Notwithstanding recent capital inflows related to a widening interest rate differential with the US, a further depreciation of the peso is likely in coming months as the external balance weakens. The collapse in domestic demand is at least likely to allow inflation to fall back within the 2-4% target by the end of 2009, even assuming a cycle of monetary easing by the central bank.</t>
  </si>
  <si>
    <t>Trinidad and Tobago has well-developed capital markets. A full range of credit instruments is available to the private sector, including a small but well-developed stock market. There are no restrictions on borrowing by foreign investors. However, local credit is expensive by US standards due to high commercial bank reserve requirements. Many commercial banks are foreign-owned, and performance bonds and insurance products are available through foreign sources. The currency has a managed float, and although there aren’t many hedging instruments, forward contracts are available. Although local banks might offer interest rate swaps, they are not available or used in any significant capacity.</t>
  </si>
  <si>
    <t xml:space="preserve">Uruguay’s capital markets are undeveloped, making it difficult to finance long-term infrastructure projects. The capitalisation of its stock market was equal to only 2% of GDP in 2005 (latest available data), according to the World Bank. The banking system is characterised by relatively high concentration and high operating costs, which increase the cost of credit. The US dollar is the main currency used in the local financial market. Overall, debt financing is clearly preferred to equity financing in Uruguay. Lack of knowledge and information could be one of the main reasons for the low use of bonds and other more complex debt products. </t>
  </si>
  <si>
    <t>Venezuela has not yet reformed its pension system. The pre-eminence of oil revenues from a state owned industry has crowded out private sector debt issues. Capital markets are small relative to the size of the economy, and there is no incentive to register companies on the stock market given the hostile political environment towards capitalist improvements.</t>
  </si>
  <si>
    <t>In the water sanitation sector, households which consume less than 20 m3 of water per month are subsidised, regardless of their socio-economic status. The Superintendency of Sanitation Services (SUNASS Superintendencia Nacional de Servicios Sanitarios) is currently looking at potential pro-poor subsidy methods. In the transport sector, the tolls vary according with the number of axes of the vehicle. Therefore, there is no cross subsidy that could benefit interurban public transport which is commonly used by low income groups.</t>
  </si>
  <si>
    <t xml:space="preserve">Currently, water service subsidies do not exist; residents pay for their usage level. People are used to pay-for-service schemes in the water and transport sectors. The only current transport-related subsidies are gasoline price reductions. </t>
  </si>
  <si>
    <t xml:space="preserve">Although Uruguay has eliminated most price controls, the executive branch continues to fix prices on certain basics, including milk, meat, fuels, transport (including bus fares, which are set by municipalities), electricity, and water supply and telephone services. The prices of water services charged by the state firm OSE (Obras Sanitarias del Estado) do not permit the financing of investment necessary to reach population coverage levels intended by the government. The political context surrounding water provision since the constitutional modification has made it increasingly difficult to establish effective pricing regimes for cost recovery. Subsidies are generalised without focusing on low income groups, and, as a result, OSE has been forced to reduce its investment in system infrastructure in the past decade. Multiple cross subsidies have made it difficult to judge the effectiveness of current operations.  In the road sector, tolls are heavily subsidised. This makes new investment financing very difficult. </t>
  </si>
  <si>
    <t xml:space="preserve">There has been little private-sector capital for infrastructure financing because of the long-term nature of the projects and the unstable condition of the Venezuelan economy. Venezuela’s largest companies typically turned to international markets for their financing needs given the favourable attitude of the European debt markets in the late 1990s. But since the imposition of currency controls in February 2003 foreign financing is a viable option only if domestic companies obtain prior approval to purchase foreign currency to meet interest and principal payments. Of greater relevance to foreign businesses, the Andean Development Corp (Corporación Andina de Fomento), operated jointly by the members of the Andean Pact, supplies medium- and long-term credit in dollars for projects with a foreign component. Also, Overseas Private Investment Corporation (OPIC) of the United States has provided nearly US$1bn in financing for 12 large projects. But future projects will not have access to OPIC financing and political-risk insurance until resolution of a dispute between Petróleos de Venezuela (PDVSA) and Science Applications International Corp (SAIC), a US company insured by OPIC. </t>
  </si>
  <si>
    <t>The government has complied with its obligation to pay contractors, though concessionaires report that they have received payment in a somewhat delayed manner in certain cases. The Economist Intelligence Unit's Sovereign Debt Risk rating assigned the country a score of BB in February 2009.</t>
  </si>
  <si>
    <t>Out of 27 projects in the World Bank PPI database for the transport and water sectors, Argentina had 3 failed/distressed projects in transport and 4 failed/distressed projects in water and sanitation, for an overall failure/distress rate of 26%. (Figures do not include management and lease contracts or divestitures. Please note that numbers do not necessarily match explanations for other indicators in this index due to different counting methods and time frames.)</t>
  </si>
  <si>
    <t>Out of 104 projects in the World Bank PPI database for the transport and water sectors, Brazil had 4 failed/distressed projects in transport and no failed/distressed projects in water and sanitation, for an overall failure/distress rate of 3.8%. (Figures do not include management and lease contracts or divestitures. Please note that numbers do not necessarily match explanations for other indicators in this index due to different counting methods and time frames.)</t>
  </si>
  <si>
    <t>Out of 45 projects in the World Bank PPI database for the transport and water sectors, Chile did not experience any distress or project cancellations from 1997-2007. (Figures do not include management and lease contracts or divestitures. Please note that numbers do not necessarily match explanations for other indicators in this index due to different counting methods and time frames.). However an additional transport project not listed in the PPI database, La Terminal Multimodal de la Quinta Normal, closed financing in 2005 and initiated works in 2006. It was cancelled by Chile's MOP in 2006, and if counted would set the country's distress rate at 2%.</t>
  </si>
  <si>
    <t>Press reports and widespread awareness of "financial rationing" resulting from resistance to paying obligations to concessionaires has resulted in a poor payment reputation for the government. This unfavourable track record has gotten worse as government deficits have increased. The Economist Intelligence Unit's Sovereign Debt Risk rating assigned the country a score of CCC in February 2009. However in 2006 the country partnered with the World Bank Groups' Multilateral Investment Guarantee Agency to insure a transport project by the Cayman company Autopistas del Nordeste, and in 2008 proposed to insure a transport project by Grodco S.C.A., a Colombian company.</t>
  </si>
  <si>
    <t>Concession projects in Honduras do not benefit from government subsidies or payment commitments. This indicator, therefore, is difficult to evaluate. In the case of the airport concession, the private sector contractor received a fraction of the revenue collected, with the remainder going to the Civil Aeronautics Service. The airport’s expansion is limited by the state’s inability to expropriate land because it cannot pay land owners for their territory. There have also been cases in which a lack of payment for indemnities related to public works expropriation delayed public-private projects. The Economist Intelligence Unit's Sovereign Debt Risk rating assigned the country a score of B in February 2009.</t>
  </si>
  <si>
    <t xml:space="preserve">Jamaica's public debt dynamics have been deteriorating. Public debt as a percentage of GDP is approaching 150%, one of the highest levels in the region. The Economist Intelligence Unit's Sovereign Debt Risk rating assigned the country a score of CC in February 2009. </t>
  </si>
  <si>
    <t>In general, the federal government has a good track record and fulfils its obligations to PPP projects in a timely manner. The record is more mixed on a sub-national level. However, the structuring of PPP projects usually considers the Fideicomiso as a separate entity managed by a bank trust, to which the government must anticipate the payment of a proportion of future subsidies. The bank trust is responsible for disbursing government subsidies according to contract specifications. This scheme has reduced drastically illiquidity problems for federal and sub-national entities. The Economist Intelligence Unit's Sovereign Debt Risk rating assigned the country a score of BBB in February 2009.</t>
  </si>
  <si>
    <t xml:space="preserve">Out of two projects in the World Bank PPI database for the transport and water sectors, Guatemala had one failed/distressed project in transport, for an overall failure/distress rate of 50%. (Figures do not include management and lease contracts or divestitures. Please note that numbers do not necessarily match explanations for other indicators in this index due to different counting methods and time frames.). However the congressionally-approved cancellation of the concession project “Franja Transversal del Norte” was arguably the correct decision, since a value for money analysis would have shown that the project was structured in a way that would have reduced sector efficiency. </t>
  </si>
  <si>
    <t>Out of three projects in the World Bank PPI database for the transport and water sectors, Honduras did not experience any cancellations or distress. (Figures do not include management and lease contracts or divestitures. Please note that numbers do not necessarily match explanations for other indicators in this index due to different counting methods and time frames.)</t>
  </si>
  <si>
    <t>Out of 2 projects in the World Bank PPI database for the transport and water sectors, Jamaica did not experience any cancellations or distress. (Figures do not include management and lease contracts or divestitures. Please note that numbers do not necessarily match explanations for other indicators in this index due to different counting methods and time frames.)</t>
  </si>
  <si>
    <t>Out of 61 projects in the World Bank PPI database for the transport and water sectors, Mexico had 1 failed/distressed project in transport and 2 failed/distressed projects in the water sector, for an overall failure/distress rate of 4.9%. (Figures do not include management and lease contracts or divestitures. Please note that numbers do not necessarily match explanations for other indicators in this index due to different counting methods and time frames.)</t>
  </si>
  <si>
    <t>Foreign and domestic investors are generally treated equally. But starting in January 2009, in light of the global financial crisis, domestic firms were granted advantages over foreign ones for bidding. Political interference often mires the bidding process and obscures transparency. Multiple factors are considered in the awarding of contracts; this affects the efficiency of the process and increases the risk of non-compliance after a contract is signed. Contract renegotiations are allowed, but are not regulated. Government discretion and political interference is not addressed in any laws, creating a lack of checks and balances needed for transparency and an effective level playing field.</t>
  </si>
  <si>
    <t>Currently the playing field is not level for all firms in sectors where the state plays a large role. Even when the law established certain criteria to protect investors, in practice decisions exhibit a high degree of political discretion and a clear bias against private investment in these sectors. As a result, the decision process is not technical in nature with privilege to companies that are closer to the Government.  Limited foreign investment is permitted under rigorous terms, though the government has swept away much of the 1990s-era oil-sector opening (referred to as the Apertura) through forced renegotiations of the contracts made with private companies.</t>
  </si>
  <si>
    <t>Honduras has not been able to develop a capital market that would allow for significant issuance of financing instruments needed for infrastructure projects in local currency. Pension reforms have, however, established a voluntary system complementary to the state’s pension system, providing a potential pool of investment capital. The stock market no longer operates because of a lack of confidence from market participants. The government generally taps funding from multilateral institutions or development banks in order to move forward on infrastructure projects.</t>
  </si>
  <si>
    <t>A period of consolidation, restructuring and legislative reform in the aftermath of the financial crisis in the mid-1990s has strengthened the sector, but weaknesses remain. The debt market consists mostly of government issues and foreign issues by other Caribbean governments. There are no local-currency-denominated products to mitigate project finance risk. There is also ample room for deepening the shallow capital market, which currently does not provide much scope for project financing by large foreign investors.</t>
  </si>
  <si>
    <t xml:space="preserve">Mexico’s capital markets are well developed and serve institutional investors linked to the pension system, which invests in long-term instruments. Firms and the state have developed debt instruments that are indexed to inflation for the medium and long term to capture resources from institutional investors. There has been only moderate development of risk diversification instruments that are useful for infrastructure projects. Exchange-rate risk hedging instruments are available, but these are largely short-term. Completion risk markets remain underdeveloped. </t>
  </si>
  <si>
    <t xml:space="preserve">Like the banking industry, the insurance industry has recently gone through a period of consolidation. The domestic industry can meet most corporate insurance needs, although overseas insurers also serve the market. Compared with most other insurance sectors in Latin America, the Peruvian insurance market is healthy and overcapitalised. A significant proportion of its revenue comes from investments. Competition has also grown in the country's pension sector. The state-administered pension system continues to exist, but is being gradually reduced in size. The World Economic Forum evaluates Peru's pension sector in 2005 favourably, describing it as a regional outlier in a positive sense for its "rather sophisticated and diversified pension funds that invest in both state and corporate assets". Access to capital improved as Peru’s economic climate has stabilised and solidified. Credit is generally available through banks, which remain the primary sources for financing. Other longer-term sources include the issuance of bonds and loans from multilateral institutions, such as the World Bank’s International Finance Corporation, the Inter-American Development Bank and the Andean Corporation for Development (Corporación Andina de Fomento). Firms can issue bonds in local or foreign currency, but there has been a trend towards using the local currency. The trend towards nuevo-sol-dominated bonds will increase as Peru’s financial system continues to de-dollarise. Bond issues reported in the Public Security Market Registry (Registro Público de Mercado de Valores—RPMV) were worth Ns3.3bn and US$600.9m in 2007, compared with Ns.2.9bn and US$896.8m in 2006. </t>
  </si>
  <si>
    <t>The government pursues broadly orthodox fiscal and monetary policies. Fiscal policy remained tight in 2008; on taking office, the government pledged not to raise taxes in 2008. Monetary policy, which has been tightening since late 2004 to stem inflation, will remain tight. Tax reforms are needed to address structural weaknesses in the public finances, broaden the tax base and increase the tax take. But given the government's weak position in Congress and strong opposition from the private sector, these will fall short of the level of comprehensive tax reform required. Debt levels are relatively low, but failure to strengthen the fiscal position could lead to a long-term deterioration, compounding the country's other imbalances.</t>
  </si>
  <si>
    <t xml:space="preserve">The Honduran economy has enjoyed firm growth over the past five years, but this is weakening in the context of recession in the US. Private-sector confidence is underpinned by family remittances from overseas (mostly the US), but undermined by high levels of corporate debt, tight credit conditions and high levels of poverty and unemployment. Recent trade accords and confidence provided by multilateral debt relief offer the possibility of investment-led growth in the long run. High crime rates constrain rapid growth in tourism. Although inflation has been falling since mid-2008, in line with weakening commodity prices, a weakening of the currency could put renewed pressure on prices. There is considerable concern over the sustainability of quasi-fixed currency given the country's wide fiscal and current-account deficits. The volume of government borrowing in the domestic market is likely to rise as credit dries up and government financing requirements rise in 2009-10, crowding out the private sector. </t>
  </si>
  <si>
    <t>Definition</t>
  </si>
  <si>
    <t xml:space="preserve">Local medium- and long-term loans and bonds tend still to be denominated in UFs (unidades de fomento, an inflation-indexed unit of account). The use of the UF as the unit of account eliminates the inflation risk for lenders, which turned Chile into one of the few emerging countries with a capital market able to offer funding with long maturities. The most common maturities for local bond issues are now five and 21 years, but there is a range of three to 30 years. The largest issue in the history of the local bond market was completed in June 2004 when Vespucio Norte Express, an urban highway concession controlled by Dragados (Spain) and Hochtief (Germany), placed UF16m (US$432m at the time) in 24.5-year bonds with a yield of 5.25%, a spread of just 65 basis points over central bank papers with the same maturity. Demand for this issue, which fully financed the project, reached nearly UF30m, suggesting that the local market can absorb larger issues. </t>
  </si>
  <si>
    <t>In Colombia the demand for medium-term financing has traditionally outstripped supply. Most available credit for corporate clients is limited to maturities of one year or less, though blue-chip companies receive loans for three years and, rarely, for five years. The 2005 through mid-2007 period was an exception to this trend, as abundant liquidity in the local and international markets drove local banks to extend their loan maturities to five years in general, and in the case for a few blue-chip companies to unprecedented tenors of seven and even ten years. However, as liquidity conditions began to tighten from mid-2007, the long-term lending market is gradually returning to the traditional maturities and costs. Longer-term credit remains available from foreign commercial and development banks, multilateral agencies, local development banks and government programmes.</t>
  </si>
  <si>
    <t>Recently, a trend towards non-compliance with contractual agreements between the state and private operators has been observed. The cancellation of Occidental Petroleum Company’s contract in May 2006 marked a new low in investor relations with the Ecuadorian government; the US government regarded the seizure of the company’s assets as an unprecedented confiscation. In October 2008 Rafael Correa, the president, ordered the expulsion of the Brazilian construction company Norberto Odebrecht from Ecuador. Odebrecht did not accept the compensation set by Mr Correa and its managers were expelled within 48 hours, hurting economic relations with Brazil. The Economist Intelligence Unit's Sovereign Debt Risk rating assigned the country a score of CC in February 2009.</t>
  </si>
  <si>
    <t xml:space="preserve">El Salvador does not have any live or concluded transport or water projects from which a track record can be measured. The Economist Intelligence Unit assigned the country a rating of BB for sovereign debt risk in February of 2009. </t>
  </si>
  <si>
    <t>Guatemala does not have a significant track record in this area. This score is based on the country's Economist Intelligence Unit sovereign debt payment risk rating, which is a BB.</t>
  </si>
  <si>
    <t xml:space="preserve">Although a liquid local-currency denominated debt market does not currently exist, infrastructure projects generally are executed and financed by the public sector with funds from multilateral financial institutions or development banks. The Multisectoral Investment Bank (Banco Multisectorial de Inversiones), a legally separate institution, also now offers medium- and long-term credit to commercial banks. The creation of the bank, which was helped along with a US$100m credit from the Inter-American Development Bank, has increased the availability of longer-term financing in conjunction with dollarisation. Although this has allowed El Salvador’s savings-and-loan associations and financieras to upgrade to full-fledged banks, multilateral agencies still play an important role in government and infrastructure financing. CDC Capital Partners (part of Commonwealth Development Corp, the British government’s instrument for investing in the private sector in developing economies) is an important source of medium- and long-term funding for businesses in areas such as energy generation, telecommunications, transport, mining and tourism. </t>
  </si>
  <si>
    <t xml:space="preserve">Most financing in Guatemala is short-term; medium- and long-term loans are very scarce. Credit from state-owned development banks is unavailable to foreign-owned firms. Commercial banks may set up arrangements whereby short-term loans are repeatedly rolled over and thus amount to medium-term loans, though the roll-over risk remains. Only well-known companies have access to longer-term financing, and only if they have an established relationship with a bank or finance company.  The government generally executes infrastructure projects with funds from multilateral financial institutions or development banks. The authorities have privatised existing infrastructure in energy, telecommunications and the railway services. None of these sales have used special infrastructure-financing techniques. </t>
  </si>
  <si>
    <t xml:space="preserve">Macroeconomic indicators have improved since 2003, when the previous administration adopted a fiscal reform programme under the supervision of the IMF. Economic growth was re-established after a period of recessions and weak recoveries in 1998-2002. The new government has signalled that it will maintain the current macroeconomic framework. However, macroeconomic risk is fuelled by structural vulnerabilities. Black market activities, such as smuggling, represent a substantial share of economic output. Reliance on agriculture and royalties from the bi-national hydroelectricity projects of Itaipú and Yacyretá (with Brazil and Argentina, respectively), is substantial. This increases vulnerability to external shocks such as the ongoing global recession, which has led to a significant drop in commodity prices and sharp economic deceleration in Brazil and Argentina. The combination of widespread poverty, growing migration flows to big cities and impunity has also led criminal activity to rise sharply in recent years. </t>
  </si>
  <si>
    <t>The currency has remained stable in recent years, even at times of political upheaval and global financial instability. It is supported by prudent monetary and fiscal policies, and solid external accounts. Foreign exchange earnings from exports and investment inflows from the Camisea natural gas project will help to maintain the strength of the currency. Although still relatively low by regional standards, inflation is a concern and the Central Bank will likely miss its inflation target of 1-3% in 2009. Strong primary sector growth has been complemented by robust manufacturing and construction growth. External shocks, such as a rapid fall in commodity prices, pose the main risk to growth in the short-term. High unemployment and poverty rates-although falling-will persist, bringing with them the risk of social instability.</t>
  </si>
  <si>
    <t>In Honduras, it is still difficult to obtain longer-term capital and medium-long term loans, which private commercial banks do not offer. The government generally taps funding from multilateral institutions or development banks in order to move forward on infrastructure projects. New lines of credit for private-sector financing no longer are available from correspondent banks or international financial organisations. Options for financing investment projects are limited for companies lacking access to such funds and without their own international financial network. Larger foreign firms tend to rely on parent-company financing for long-term needs.</t>
  </si>
  <si>
    <t xml:space="preserve">Financial sector restructuring has facilitated a reduction in the ratio of NPLs to 2.4% in September 2007, down from 27.2% in 1997. A reduction in the cash reserve requirement to 9% in 2002, from 13% in 2000, and a fall in the liquid-assets ratio from 31% to 23% in the same period, have also boosted liquidity, as has the replacement of local banks’ Finsac bonds with government paper paying interest in cash. However, most of the liquidity released is still being channelled into (highly profitable) government debt instruments rather than productive lending. At the end of 2006 about 40% of commercial banks’ assets were in public-sector instruments (including central bank balances). Public-sector debt dominates the small domestic capital market.  The equities market is underdeveloped and is dominated by financial institutions, which account for around 80% of total market capitalisation. </t>
  </si>
  <si>
    <t>Commercial banks offer medium and long-term loans. Their market is principally medium-sized and large companies, but penetration of the small-business sector is growing.(In 2005 it issued its first-ever 30-year bond.)  The government is attempting to build a reference yield curve for the private-debt market by issuing longer-term paper. However companies in Mexico with access to dollars generally opt to finance in dollars (for both short- and long-term needs). Three-year fixed-rate loans are the most common for longer-term projects and are typically obtained through a foreign syndicate.</t>
  </si>
  <si>
    <t>The Argentinean government, through the emergency economic law from 2001, froze water provision and sanitation prices for all, without targeting low income users specifically. This has caused a crisis in which the sector does not have the funds necessary for investments. It is also one of the key factors behind the termination of numerous water concessions; although in some areas a social tariff was offered to target the poorest users. However in most cases these price reductions were financed through cross subsidies (where high charges to certain users "subsidise” low charges for others) and not directly financed by the State. For transport, the government grants monthly subsidies to bus, train and toll-road operators in exchange for keeping prices stable. Out of a total of Ps16.15bn in subsidies in 2007, the government spent Ps4.2bn (or 26%) on transport alone; of this total, Ps2.3bn went to metropolitan rail and underground services, and Ps1.9m to the integrated bus services. In the toll-road sector, Argentina has highly subsidised tolls; comparatively, they are a third of toll levels in Chile and 40% of those in Brazil, which implies that the state must be financing at least 60% of service costs. Cross subsidy schemes established in favour of cargo transport are also the norm.</t>
  </si>
  <si>
    <t xml:space="preserve">Nicaraguan politics is plagued by corruption and nepotism, and the inefficiencies these generate. It is reflected in the arbitrary judicial system, largely controlled by the Frente Sandinista de Liberación Nacional (FSLN), and is perpetuated by the poor pay and incentives for the civil service. Enrique Bolaños (2002-07) was the first president to crack down on corruption. But Mr Bolaños's aim to dismantle the political pact in place between the Partido Liberal Constitucionalista (PLC) and the FSLN since 2000, failed, as it would have hurt the vested interests of both parties. However, with the opposition becoming increasingly united, the pact has come under growing pressure. Donors and international organisations could bring some pressure to bear, but based on political reform proposals at the start of Mr Ortega's term, he will not make any effort to depoliticise state institutions during his five-year term. </t>
  </si>
  <si>
    <t xml:space="preserve">Measures to rationalise the taxation system, cut the government bureaucracy and target spending more rigorously have resulted in an improvement in the government finances. The government's ability to take unpopular decisions to address structural weaknesses in the economy benefits from its firm mandate and the majority it has in the Legislative Assembly. However, fierce opposition from the public and workers' unions to government measures to reduce the size and cost of the public sector has lead to compromises by the government on certain key issues, posing a risk to investor confidence in its ability to consolidate on the advances made in placing the public finances on a sustainable footing. </t>
  </si>
  <si>
    <t>Tender criteria have evolved in Colombia from a minimum tariff or subsidy to the use of expected revenue (with flexible deadlines) to award concessions. However, for recent projects, flexible deadlines for revenue calculations have forced negotiation of a large proportion of the total work. This ultimately negatively affects the integrity of tender processes.</t>
  </si>
  <si>
    <t>Subsidies for basic services are general for all users, serving as an obstacle to cost recovery. This limits the advantages and likelihood of private participation, as tariffs are commonly set lower than the marginal development costs per user. This leads to significant project and government budget deficits, generating adverse macroeconomic outcomes and market distortions.</t>
  </si>
  <si>
    <t xml:space="preserve">The government still controls the prices of some goods and services, including liquefied propane gas, public transport and electricity. Government ministries also directly subsidise water services and establish the distribution-service tariff. In 2007, despite some street protests, the Saca administration started pushing for the decentralisation of water services, opening the door for private-sector administrators. However, these subsidies are not properly focused for target populations in the water and sanitation sector and tend to use cross-subsidy or short-term subsidy mechanisms. Tariffs are offered to a greater degree in consolidated urban areas rather than in more impoverished ones. </t>
  </si>
  <si>
    <t xml:space="preserve">Guatemala has virtually no price controls, though it does subsidise three types of economic expenditures: energy for low-income families, public transport in Guatemala City and diesel prices. The Ministry of Energy and Mining (Ministerio de Energía y Minas) and the National Institute for Electrification (Instituto Nacional de Electrificación) set up a subsidy for poorer families who consume up to 300 kwh per month, which benefits around 2.1m households. The subsidy is expected to amount to some Q360m (US$48m) in 2008. As at June 2008 public transport in Guatemala City is also subsidised, with a Q33m (US$6.4m) per month grant, which goes directly to the private bus companies to maintain pricing at a certain level. </t>
  </si>
  <si>
    <t xml:space="preserve">Brazilian firms usually seek dollar financing when they need to borrow long-term funds, because local credit is limited and generally more expensive. The volume of local bond issues in 2007 amounted to R43.5bn, down substantially from R69.5bn in 2006, according to the Securities Commission (Comissão de Valores Mobiliários). There were a total of 43 issues over the course of the year, slightly below the 47 issues placed in 2006. Large, well-known companies can tap both local and international bond markets, though both remain limited sources of funds and subject to bouts of financial volatility. </t>
  </si>
  <si>
    <t xml:space="preserve">Experience with airport concessions shows that the main factor in awarding such contracts has been the share of project and service revenue captured by the state. This introduces perverse incentives, as companies structure bids to provide high revenue transfers to the state which may jeopardise the profitability of the project. Furthermore, investors know that the State sometimes has difficulty fulfilling its investment obligations, which can make the bidding system slower and more contentious. </t>
  </si>
  <si>
    <t xml:space="preserve">Although the law requires that economic variables be evaluated as part of the bidding process, in practice a great degree of political discretion is used.  Indeed, negotiations after the bidding process with the preferred party reduces drastically the discipline of the bidding process. Road projects, where the auction was based on a minimum subsidy from the government, have been renegotiated many times. </t>
  </si>
  <si>
    <t>In the transport sector, public bidding mechanisms to award PPP investment projects are used at the federal level. The variables for awarding a contract are principally economic in nature, although well-regarded measures such as the present value of revenue are not used. Not using the latter measure, which incorporates the possibility of endogenously adjusting the length of the concession when demand falls and shortening it when demand rises, increases the need for renegotiation. Fixed terms imply lost profits when demand is lower than expected and excessive profits when demand is higher than expected. In the case of recent bids for toll highways, such as the Farac project, the unusually high prices and profits demonstrate insufficient planning capacity during bidding. In the sanitary and water sector, processes are not competitive and contract award criteria are highly subjective.</t>
  </si>
  <si>
    <t xml:space="preserve">The concessions laws in place do not establish project selection criteria. In the area of public works, arbitrary decision-making and subjectivity have been used for project assignments. </t>
  </si>
  <si>
    <t xml:space="preserve">Macroeconomic risk has increased owing to slowing economic growth and a deteriorating international environment. It remains constrained by the size of the external deficit, internal debt stock and high dollarisation of the banking system, which act as a drag on GDP growth and make the economy vulnerable to changes in investor sentiment. Until 2007 high interest rates led the authorities to maintain a rate of currency depreciation, through a system of crawling-peg adjustments, adding to inflationary pressures and forcing up debt service costs. Progress has been achieved on these fronts recently. A reduction of the fiscal deficit in recent years and the adoption of a regime of exchange-rate bands since 2006 have helped to reduce interest rates. However, the fiscal surplus is projected to turn to deficit again in 2009. Further progress will be dependent on progress in the reform agenda. </t>
  </si>
  <si>
    <t xml:space="preserve">Since taking office in 2004 the Fernández administration has stabilised the economy and reduced its vulnerability to shocks. After a doubling of the public debt/GDP ratio to 57% under the previous administration, fiscal adjustment, a GDP growth rebound and currency revaluation have reduced this to an estimated 33% of GDP at end-2008. Even so, the government needs to run primary surpluses of around 1.5% of GDP over the medium term in order to reduce the public debt/GDP ratio to more comfortable levels—something that successive governments have failed to do on a sustained basis. After surpassing non-financial public-sector (NFPS) targets in 2007, the government accounts lapsed into a deficit of 3% of GDP in 2008. The country's GDP growth prospects are extremely vulnerable to the sharp economic downturn in the US and global economy, which will hit tourism and export earnings. The poor fiscal management of 2008 will lead to higher deficits in 2009-10. </t>
  </si>
  <si>
    <t xml:space="preserve">The four roadways and port concessions were awarded by a competitive bidding process, although the criteria to award bids have not been consistent. In some cases, a multitude of criteria have been used, weighing both economic and technical considerations. In other cases, the net present value of revenue of the concession has been used as the criteria. The Mega Concession scheme constitutes a direct transfer of almost 2,000 km worth of roads to Corporación Vial del Uruguay’s jurisdiction (rather than bidding). This state firm operates more like a private firm than a public one in terms of the process used to award projects and obtain financing, despite the fact that the firm itself is funded mostly through public budgets </t>
  </si>
  <si>
    <t xml:space="preserve">Although the concession law requires bidding and economic evaluations of projects for awarding contracts, in practice, political discretion is the norm. A bias against foreign investor and operator participation also exists. </t>
  </si>
  <si>
    <t xml:space="preserve">The myriad of difficulties faced by Argentinean concession projects, including continuous re-negotiations, conflicts, and even crisis, demonstrate the inadequacy of risk distribution efforts in concession contracts to date. Argentina renegotiated 34 out of 40 of its transport concessions and 11 out of 14 of its water and sanitation sector concessions from the mid 1980s-2000 (Guasch 2004).  This was largely explained by poor contract design that allowed ex post opportunism by the contractor and the regulator. The later currency devaluation again forced renegotiation of concession contracts, albeit for different reasons in part. In Argentina there exists both: pressure from the concessionaire to renegotiate the contract based on financial equilibrium arguments whenever market conditions change, leading to continuous adjustments in service levels for end-users, and; government compensation to companies and government-imposed contract changes as a reaction based on political considerations. </t>
  </si>
  <si>
    <t xml:space="preserve">A ministry-level council must approve all federal level projects and their tendering. This council has a PPP executive unit at the Ministry of Planning, which chairs the council. Sector ministries are responsible for presenting the projects and their corresponding studies to the council for approval. The Ministry of Finance has created a unit to evaluate each project’s fiscal impacts and contingencies, guaranteeing that fiscal allocations are established properly and that limits are set on future fiscal commitments. Once tenders are launched, project bidding, execution and operation supervision corresponds to the sector-regulating entity, which is the ministry or department responsible for providing the service. The institutional framework varies for each state, creating a heterogeneous environment for state level projects. Sectoral ministries co-ordinate both project planning and preparation tasks, supervising all project stages. Given that state projects represent two thirds of the investment and that the federal-level institutional design is superior, transferring federal design principles to lower levels of government is much needed. </t>
  </si>
  <si>
    <t xml:space="preserve">In the transport sector, a contractual system has been formed in which the state limits demand risk by guaranteeing minimum traffic. The demand risk is undertaken by capital contributors, and then by the state through an explicit guarantee in the contract. Long-term bonds for US$5,000m have been issued with private credit enhancement in order to access the local capital market. Use of the present value of future revenue limits demand risk for capital contributors as well as ex post renegotiation incentives.  Exceptionally, traffic guarantee mechanisms have been used in order to sustain capital profitability for projects that were not profitable; however, this practice was recently eliminated.
Risk of renegotiation risk has been high in Chile. According to an study by Engel et al., of the 50 concessions initiated in Chile under the MOP concession law, bilateral renegotiations were 3 times the number of concessions (if arbitration is counted as renegotiation). This number is comparable with that of Spain, which experienced close to 4 renegotiations per contract in highway concessions, eventually forcing a change in the country's concession law to clearly specify renegotiation criteria.  In Chile, the approval of a similar concession law remains uncertain. </t>
  </si>
  <si>
    <t xml:space="preserve">After growing by more than 4% per annum in 2004-07, GDP is set to decelerate markedly as a result of the global downturn, and in particular the recession in the US, Nicaragua's main trading partner, which is a source of investment and home to most of its expatriate workers. The fallout from the international crisis combined with receding confidence in the Ortega government will dampen growth to 1.6% in 2009. On the back of falling oil and food prices, inflation should fall to 12% in 2009 and to 10% in 2010. </t>
  </si>
  <si>
    <t xml:space="preserve">As a provider of export-oriented services, such as transport and financial services, Panama's fortunes are highly geared to developments in the world economy. Dollarisation, established for a century, has historically reduced macroeconomic risk by fostering price stability and low interest rates. However, it does mean that Panama is unable to use monetary policy as a tool to manage demand when price pressures begin to pick up. The large integrated (domestic and offshore) financial system foments stability, reducing the risk of domestic credit booms and busts. Fiscal policy assumes particular importance in the absence of an autonomous monetary policy, and Panama shows high levels of public indebtedness. The government has introduced legislation tightening fiscal policy, but failure to consolidate on fiscal reform would risk a deterioration in Panama's country risk premium, raising doubts about medium-term debt sustainability. </t>
  </si>
  <si>
    <t xml:space="preserve">The state assumes all project risks, both commercial and financial, for PPP projects formulated and awarded. Projects are structured as a concession so as to avoid accounting for the investment as a deficit, and the higher costs of financing are not offset by transferring the risks to private persons or bodies. In the case of the CORAL fast motorway concession, the government paid the private contractor as the work progressed, similar to the way the government would finance a public project. The revenue from tolls is minor compared with the minimum guarantee from the government, which in practice implies a hidden implicit subsidy.  </t>
  </si>
  <si>
    <t xml:space="preserve">The regulatory framework in sectors such as energy is subject to changes, and political interference in regulatory bodies, as evidenced by the handling of the 2003 banking crisis, prevails. The practice of dual accounts in companies for tax evasion purposes is common. Governability has been bolstered by the May 2008 election victory of Leonel Fernández of the Partido de la Liberación Dominicana (PLD), which has a majority in Congress until 2010 elections, and a weakened opposition that is still struggling to refine its message and strategy. Mr Fernández's new cabinet maintains key economic policymakers in their posts. The staggering of congressional and presidential elections at two-year intervals will continue to hinder effectiveness until this is reformed. The level of administrative competence is only adequate at the highest levels. Lower down, the civil service is inefficient and subject to wholesale changes of personnel when there is a change of government. Red tape increases the cost of doing business. Clientelism and a lack of accountability foster corruption at all levels, creating an uneven playing field for business. The police and judiciary lack the resources to tackle crime and corruption, and human rights abuses are becoming more of a concern. </t>
  </si>
  <si>
    <t>Capital markets are underdeveloped in Nicaragua. Private sources offer only limited types of longer-term credit that is generally scarce and expensive, and medium-term finance options are also limited. Although a new Foreign Investment Law (Ley de Promoción de Inversiones Extranjeras—No. 344) approved in April 2000 lifted a previous restriction on foreign companies accessing local financing for medium- and long-term loans, the limited availability of such financing has meant that foreign firms meet their longer-term capital needs either through self-financing or from sources abroad. Non-bank financial institutions and institutional investors are few; Nicaragua’s insurance market remains small and largely centres on property and casualty coverage. The pension-fund sector is mostly limited to the state-owned Nicaraguan Social Security Institute, despite government attempts to open the sector to private investment. Infrastructure projects are thus generally executed and financed by the public sector with funds from multilateral financial institutions. Private-sector management of existing infrastructure has been arranged with concessions, rental payments and investment agreements.</t>
  </si>
  <si>
    <t>Panama has well-developed capital markets that can provide financing for medium-term projects. Exchange rate risk is low, as the country’s currency is the US dollar. Panamanian banks may participate in syndicated loans, but they tend to register them abroad to avoid paying a 1% tax levied on all consumer and commercial loans. Several domestic banks, for example, participated in syndicated loans (registered abroad) to finance private participation in the local telecommunications and electricity sectors after both were privatised. Other infrastructure projects, such as the building of the northern or southern corridor toll roads in the capital city, have had to seek foreign financing. Expansion of some ports can also be financed locally, however.</t>
  </si>
  <si>
    <t>Brazil has the largest capital market in size and liquidity for the entire Latin America and Carribean region. Overall, Brazil represents the largest insurance market in Latin America and ranks 20th globally (by total premiums in 2005), according to the latest information from the National Federation of Private Insurance Companies (Federação Nacional das Empresas de Seguros Privados e de Capitalização—FENASEG). The pension sector is divided between public and private entities. Reforms passed in recent years are gradually spurring the growth of private pension funds. Mutual funds remain the preferred investment vehicles in Brazil. Interest rate and exchange rate hedging instruments are readily available for foreign investors. The National Bank for Economic and Social Development (Banco Nacional de Desenvolvimento Econômico e Social—BNDES) is the major source of medium- and long-term federal credit for companies operating in Brazil. Both domestic and foreign-owned firms are eligible for BNDES financing, and it has made a particular commitment to financing privatised infrastructure in telecoms, petroleum and electricity. Thus, financing in local currency can be obtained for both project construction and operation needs.</t>
  </si>
  <si>
    <t>There is a deep and liquid capital market for debt and equity instruments. Hedging instruments are reasonably available and developed, although the international financial crisis has affected monoliners and recovery of the credit enhancement market is uncertain. Chile has developed a real estate investment fund industry that facilitates obtaining capital for infrastructure projects.</t>
  </si>
  <si>
    <t>Institutional investors with the capacity to invest in medium and long-term debt instruments in local currency exist in the country. There are also some hedging instruments against exchange rate risks, albeit these are of short-term maturity. The hedging market and instruments aimed at reducing the risks of "project completion" are still very limited.</t>
  </si>
  <si>
    <t xml:space="preserve">Structural unemployment is high in Panama, although has been falling steadily since 2003 alongside strong economic growth. The main services industries are generally capital-intensive, while agriculture and manufacturing lack the competitive advantages to sustain large-scale workforces. Many foreign companies operating in Panama will have to deal with a unionised workforce. Violent labour protests occur occasionally, but high unemployment in the recent past has contributed to a decline in overall union membership in recent years. </t>
  </si>
  <si>
    <t xml:space="preserve">Compared to its regional neighbours, Paraguay remains relatively stable. Violent civil unrest is rare, but strikes and demonstrations occur often and might cause minor disruption to businesses activities. Inefficient publicly-owned companies limit the capacity for the country's fiscal adjustment, but privatisations will continue to be resisted by the population. </t>
  </si>
  <si>
    <t xml:space="preserve">Strikes and demonstrations, occasionally violent, have become more frequent; there have also been protests against government policy in the regions. Protest is generally directed at local government, and sometimes business, particularly in the extractive sectors. The labour market is held back by high non-wage employment costs and low educational levels.  </t>
  </si>
  <si>
    <t>Costa Rica does not have a precedent of leaving its obligations to concessionaires unpaid; moreover, in 2008 the country partnered with the World Bank Groups' Multilateral Investment Guarantee Agency to insure a transport project for the San Jose Caldera highway.</t>
  </si>
  <si>
    <t xml:space="preserve">Although Nicaragua has had few concession projects in transport and water sectors from which to judge the government’s payment risk, in other infrastructure sectors where concessions have been developed, public fulfilment of obligations has been low. The Economist Intelligence Unit rates the government’s debt payment risk rating at a CC, on par with Jamaica and Ecuador. </t>
  </si>
  <si>
    <t>Panama’s government has a fairly good record of meeting obligations to its debt holders. Law 20 of May 2002 modified the use of Panama’s Development Trust Fund (Fondo Fiduciario para el Desarrollo) and allowed the use of the proceeds from privatisations as payment for specific public works, in particular the Pan-American Highway. The Economist Intelligence Unit's Sovereign Debt Risk rating assigned the country a score of BB in February 2009.</t>
  </si>
  <si>
    <t xml:space="preserve">Risk of government non-compliance or late fulfilment of financial obligations to concession projects is moderate. Paraguay has a sovereign debt risk rating of B from the Economist Intelligence Unit, on par with Honduras and Costa Rica. </t>
  </si>
  <si>
    <t xml:space="preserve">The Peruvian government has a good track record for paying concessionaires the sums promised to them, and for doing so in a timely manner. The country has a sovereign debt risk rating of BBB from the Economist Intelligence Unit, on par with Mexico and Trinidad and Tobago. </t>
  </si>
  <si>
    <t xml:space="preserve">Trinidad and Tobago has a high sovereign debt risk rating by regional standards, and is among the most reliable governments in the region in financial terms. Sovereign risk remains on a “stable” outlook despite the global economic slowdown and sharp declines in energy prices. The country has a sovereign debt risk rating of BBB from the Economist Intelligence Unit, on par with Mexico and Peru. </t>
  </si>
  <si>
    <t xml:space="preserve">The external debt default experienced by Argentina profoundly affected the Republic of Uruguay, preventing the authorities from making subsidy payments agreed with concessionaires. Once the country recuperated from the Argentinean shock, obligations were renegotiated in agreement with operators. Nevertheless, bi-national concession projects, such as the dredging of Rio de la Plata to allow boat traffic, were severely affected. The country has a sovereign debt risk rating of B from the Economist Intelligence Unit. </t>
  </si>
  <si>
    <t>After Mexico, El Salvador has the most developed capital market in Central America, housing an institutional investment market for corporate debt instruments that are normally traded on the local capital markets. The size of the funds accumulated in pension funds, annuities and other investment vehicles is close to 30% of GDP. El Salvador was one of the first countries in the region in developing private pension funds and a linked annuities market for pensions. There is also a market for primary issues of corporate debt; other Central American issuers not located in the country have floated issues in El Salvador thanks to the relative deepness of the market. However, the domestic capital market is not involved in project financing. The main issuer in this market is the state and the banking sector. El Salvador’s public-sector Banco Multisectorial de Inversiones (BMI) provides medium- and long-term credits through commercial and development banks. It tends to target the economy’s strongest sectors. BMI gives preference to projects proposed by the private sector which are to be executed within national territory, preferably to companies whose production is destined for the foreign market and does not involve any adverse environmental impacts. As members of the new individual capitalisation pensions system retire, an annuities market will evolve that will depend on long-term debt issues. The Salvadoran economy is dollarised, so currency risk is low. Still, there are important limitations to the development of project financing of large projects at a local level.</t>
  </si>
  <si>
    <t xml:space="preserve">Guatemala has a small banking industry and has limited capacity to finance infrastructure projects in the medium-term. The capital market is only just getting off the ground; it has little depth and few regulations. There is no domestic market for medium-to-long-term corporate debt instruments. Neither is there a currency or interest-rate hedge market for projects. </t>
  </si>
  <si>
    <t xml:space="preserve">The limited supply and high cost of medium- and long-term credit for foreign companies has led most firms to seek US-dollar-denominated finance abroad. Medium- and long-term capital is scarce in Costa Rica, largely because of the attractiveness of short-term financial investments and uncertainty regarding inflation. Infrastructure projects are generally executed and financed by the public sector, with funds from multilateral financial institutions or development banks. The authorities have begun to turn some existing infrastructure over to private management, sometimes in partial return for investment commitments. These projects have not used special financing techniques. </t>
  </si>
  <si>
    <t>There is only a freely-traded market for short-term, government bonds in local-currency denominations. Although large-scale public investment projects under the Mejía government (2000-04) were financed by an external bond issue in 2001, domestic demand began to weaken by the second half of 2002, as inflation and currency depreciation eroded real incomes. A financial crisis in 2003 brought the peso under severe pressure, damaged confidence and lifted inflation, deterring investment and eroding purchasing power. From 2004-07 GDP growth remained strong, ranging from 8.5% to 10.7% in any given year, but the outlook is dim since end-2008 and into 2009.</t>
  </si>
  <si>
    <t xml:space="preserve">A liquid, medium-term local-currency debt markets does not exist in Ecuador due to weak macroeconomic conditions; in December 2008 the government decided to call a default in on US$3.2bn in global bonds. The Correa administration will struggle to win the co-operation of bondholders for the restructuring it hopes to achieve—a "haircut" of up to 70%—and will have difficulty attracting the funds needed to finance the fiscal deficit, which is expected to rise as oil revenue declines much faster than spending (especially in 2009). </t>
  </si>
  <si>
    <t xml:space="preserve">Brazil’s courts have struggled to protect investor rights, especially foreign investors, in state-controlled sectors of the economy. The judiciary’s lack of technical knowledge about PPP project issues, their dependence on political power, and the long period necessary for procedure resolution all inhibit private investment in infrastructure. The PPP legal framework from 2004 allows the use of arbitration as a mechanism to resolve controversies between the state and the private sector. The law specifies that early termination due to grave non-compliance of the contract by the private sector will lead the state to recuperate the assets. However, early termination of the contract by the state for public interest reasons will lead to compensation to creditors. Termination due to reasons related to the public interest can occur while maintaining indemnity rights for the contractor, and a public authority’s actions to one-sidedly terminate the lease may be appealed. Overall, expropriation risks are higher than the risk that the lessee may hold the authority as a hostage. However, international jurisdictions are not accepted, although Brazil has signed the New York Convention on Dispute Resolution. </t>
  </si>
  <si>
    <t>According to data from the World Bank Private Participation in Infrastructure database, in the past ten years El Salvador has not completed any water or transport concession projects; concessions have been awarded only in the energy and telecom sectors, and most took place before the year 2000. However, attempts to award concessions for managing Acajulta, the country's main seaport, have been ongoing (albeit generally unsuccessful or extremely delayed thus far). (Figures do not include management and lease contracts or divestitures. Please note that numbers do not necessarily match explanations for other indicators in this index due to different counting methods and time frames.)</t>
  </si>
  <si>
    <t xml:space="preserve">Access to capital has improved as Peru’s economic climate has stabilised and solidified. Authorities anticipate that financing will be easier to access and less expensive in the coming years now that two rating agencies, Dominion Bond Rating Service (in late 2007) and Fitch (in early 2008) upgraded Peru’s long term foreign-currency default rating to investment grade. A trend in the past three years has been to local currency-financing mechanisms, with firms (as well as the Peruvian government) issuing bonds in domestic currency. The trend towards nuevo-sol-dominated bonds will increase as Peru’s financial system continues to “de-dollarise.” </t>
  </si>
  <si>
    <t>Trinidad and Tobago's financial services sector has grown in importance over the past decade. As elsewhere in the Caribbean, regulation and supervision of the banking sector have improved in recent years. Financial soundness indicators have strengthened, with the share of non-performing loans (NPLs)—which were a serious problem in the 1980s—falling to 1.4% of the total loan portfolio at the end of 2007. Credit growth in the private sector has decelerated from the highs of over 20% registered in mid-2006, but at 16.1% at the end of 2007 it remains strong. Moreover, this is from a fairly high base, with credit accounting for 33% of GDP in September 2006.</t>
  </si>
  <si>
    <t xml:space="preserve">The banking system is highly fragmented and is dominated by two state-owned banks, the Banco de la República Oriental del Uruguay (BROU) and the newly created Nuevo Banco Comercial (NBC), which account for around 55% of total assets. Although bank deposits have recovered significantly since the 2002 economic crisis, the financial services sector—and particularly the BROU and the BHU—is still in need of reform. Despite growth in bank deposits and the economic recovery, the credit market has been slow to react. </t>
  </si>
  <si>
    <t>According to data from the World Bank, in the past ten years Paraguay has had only one project, in the transport sector. Across the four major infrastructure sectors (i.e., water, transport, energy and telecoms), this project represented 25% of all projects. (Figures do not include management and lease contracts or divestitures. Please note that numbers do not necessarily match explanations for other indicators in this index due to different counting methods and time frames.)</t>
  </si>
  <si>
    <t>According to data from the World Bank, in the past ten years Peru had a total of 19 projects in the water and transport sectors. Across the four major infrastructure sectors (i.e., water, transport, energy and telecoms), transport concessions represented 49% of all projects and water represented 6%. (Figures do not include management and lease contracts or divestitures. Please note that numbers do not necessarily match explanations for other indicators in this index due to different counting methods and time frames.)</t>
  </si>
  <si>
    <t xml:space="preserve">Protests are usually localised and foreign business premises are rarely targets. Nevertheless, the security environment has worsened in the past few years, partly as a result of political conflict and a difficult economic climate. Acute political polarisation combined with a process of policy radicalisation keeps the risk of such political instability high. It also undermines confidence in institutions, to the detriment of political effectiveness; yet expectations for compensation from the labour market are high, as onerous severance, vacation and pension regulations are in place.  </t>
  </si>
  <si>
    <t>The government holds significant debt to various concessionaries due to obligations from renegotiation procedures. Private operators have been forced to submit disputes to international arbitration to obtain compensation. Furthermore, the country's debt rating has deteriorated in the last few months. The Economist Intelligence Unit's Sovereign Debt Risk rating assigned the country a score of CCC in February 2009.</t>
  </si>
  <si>
    <t xml:space="preserve">The courts have reasonable independence, in both commercial and civil matters, to ensure the rights of the state and private persons and bodies. Experiences with electricity and telecommunications sectors have been positive in this respect. For transport infrastructure projects, the system of obtaining rights of way and resolving environmental problems in public works functions fairly rapidly; no major legal difficulties have arisen in the past, and public officials have properly dealt with permit issues and access to land. This is an uncommon strength in the region, given that the main obstacle in many Central American countries is securing the right of way for land acquisition in order to construct new works for concessions. Indeed, government personnel are experienced in such matters and, thus, the relevant institutional legal frameworks function fairly well. </t>
  </si>
  <si>
    <t>Out of 45 projects in the World Bank PPI database for the transport and water sectors, Colombia had 1 failed/distressed project in transport and 3 failed/distressed projects in water and sanitation, for an overall failure/distress rate of 8.9%. (Figures do not include management and lease contracts or divestitures. Please note that numbers do not necessarily match explanations for other indicators in this index due to different counting methods and time frames.)</t>
  </si>
  <si>
    <t>Out of 5 projects in the World Bank PPI database for the transport and water sectors, Costa Rica did not experience any cancellations or distress. (Figures do not include management and lease contracts or divestitures. Please note that numbers do not necessarily match explanations for other indicators in this index due to different counting methods and time frames.)</t>
  </si>
  <si>
    <t>Out of 7 projects in the World Bank PPI database for the transport and water sectors, the Dominican Republic did not experience any cancellations or distress. (Figures do not include management and lease contracts or divestitures. Please note that numbers do not necessarily match explanations for other indicators in this index due to different counting methods and time frames.). However an additional transport project was awarded to Odebrecht for Autopistas Coral in 2006, but project financing was never closed and as such is not counted in these figures. Another project not counted in these figures is the highway to La Romana, which is a concession awarded in 1999 that today remains far from completion. As a result, the Ministry of Public Works has taken over an important component of this project as public investment.</t>
  </si>
  <si>
    <t>Out of 12 projects in the World Bank PPI database for the transport and water sectors, Ecuador did not experience any cancellations or distress. (Figures do not include management and lease contracts or divestitures. Please note that numbers do not necessarily match explanations for other indicators in this index due to different counting methods and time frames.)</t>
  </si>
  <si>
    <t>According to the World Bank PPI database, El Salvador has not had any water or transport concession projects in the past ten years. (Figures do not include management and lease contracts or divestitures. Please note that numbers do not necessarily match explanations for other indicators in this index due to different counting methods and time frames.)</t>
  </si>
  <si>
    <t xml:space="preserve">The judicial process is slow, as criminal trials clog the court system and delay commercial dispute resolution. A special commercial court was introduced as early as 2001, but it must be upgraded and streamlined to speed the processing of cases and to facilitate greater specialisation in the field of commercial and financial law by lawyers and judges. Property and contract rights are upheld, but in the event of a dispute resolution is a slow and costly process. Foreign investors, who in general are on a level playing field with domestic businesses, can also refer disputes with local partners for international arbitration. Utility and financial regulation has been strengthened in recent years, as have the powers of the Fair Trading Commission. </t>
  </si>
  <si>
    <t>The general legal framework and the constitution protect property rights, requiring compensation in cases of expropriation for public interest reason.  Tribunals have enough prestige and independence to secure reasonable protection for investors. There are general laws that regulate the termination of contracts with the state and which generate a reasonable level of legal security. Mexico has developed a system called Fideicomiso,  which protects creditors’ rights in case of non-compliance by operators or the state in a particular contract. Transfer mechanisms for concessions are complicated and do not allow an expedited exit from a contract for investors. Regulations for obtaining rights of way for road or other infrastructure projects are extremely bureaucratic and often lead to legal paralysis and opportunism by property owners. Environmental and social issues often generate political conflicts as well, which filter through the judicial system, triggering cumbersome and frustrating legal procedures. The use of judicial procedures to delay projects and increase the value of compensation for property owners is widespread.  The government is planning legislation to speed up this process and reduce hold-up risk.</t>
  </si>
  <si>
    <t xml:space="preserve">All concession projects in Peru undergo a social evaluation process. This requires a value-for-money analysis in which all delivery options are considered before a decision can be made that the PPP approach is best. In the case of private initiatives that do not require government guarantees, the use of these evaluation methods is not required.  The government also published two laws on June 4th 2008 revamping the state’s purchasing and acquisitions process. The Law of State Contracts (Ley de Contrataciones del Estado; Legislative Decree 1017/2008), streamlines the way the state enters into contracts. Legislative Decree 1018/2008 created the Central Bureau for Public Purchases (Central de Compras Públicas—Peru Compras), which places all public procurement under one system. At the same time, the law limits the amount of fiscal contingencies that can be contracted as a percent of GDP. This reduces  political risk and assigns a higher opportunity cost to using PPP mechanisms with deferred investment payments, increasing the likelihood that this mechanism will be used only in cases where it is most appropriate. A mechanism has been incorporated into the fiscal responsibility law that requires the open publication of fiscal payments committed for the following three years. Nevertheless, the Paita port concession is facing significant opposition from the population of Piura and the road network handled by Proinversión faces delays. </t>
  </si>
  <si>
    <t xml:space="preserve">Law No 1618 states that a concession can be terminated upon mutual agreement by the private and public parties involved. In this case the public body can only agree if the creditors who have guaranteed project financing give prior approval. The concession contract includes, among other things, the conditions and quality of construction of the service and the devolution of the work upon termination of the concession. As part of the evaluation and bid awards process, projects’ profitability in net present value terms is considered and calculated in accordance with the established specifications of the presented offers. No central concessions authority exists, and projects, in theory, can come from the state through its ministries, municipalities or departments; experience with such projects is, however, often quite limited. In general, private property has been protected as a fundamental right in Paraguay. However, there have been select cases of uncompensated and unjustified expropriation of land in the past few years. </t>
  </si>
  <si>
    <t xml:space="preserve">The judicial system is ineffective, and many judges are open to bribery. A judicial reform commission was set up in 2004, but its recommendations have largely been ignored. Increased spending in the system has brought little result. Judicial tribunals have a reasonable degree of independence from the executive branch. Ambiguity remains in the use of tribunals in arbitration matters, mainly because of the tribunals’ role in resolving disputes originating from administrative decisions. In general, property rights are respected, as are contract rights, and securing rights-of-way is a fairly straightforward process. Litigation to recover debts can cost up to half the amount being contested, leading businesses to prefer trusted suppliers and customers, and discouraging competition. Litigation related to concessions has moved very slowly. Contract terminations are permitted as long as technical requirements are upheld and depending on the stage of the contract.  </t>
  </si>
  <si>
    <t xml:space="preserve">As is always the case with Brazilian administrations, the ruling coalition in the Lula government is comprised of a range of generally undisciplined political parties. This means that reforms will often need to be diluted or exchanged for concessions elsewhere. The level of competence among senior officials is high, but lower down, the civil service is often inefficient. The government is attempting to upgrade skills in the civil service by hiring better qualified staff but fiscal constraints will restrain progress. Political appointments by the Workers' Party (Partido dos Trabalhadores—PT) have made inefficiencies worse in some areas. Red tape increases the cost of doing business. Clientelism and a lack of accountability foster corruption at all levels, creating inefficiency, lack of trust and an uneven playing field for business. Measures taken so far to tackle these problems have been weak. </t>
  </si>
  <si>
    <t xml:space="preserve">Although tensions between the economic liberals and the left-wing of the Concertación have never been far below the surface, there is broad policy consensus in Chile, helped by a generally supportive opposition, and a history since the return to democracy in 1990 of co-operation and policy by consensus. Falling poverty levels, along with the most stable and advanced economy in the region, will help to ensure continued policy consensus. This will continue to underpin a mostly co-operative and effective political environment, as the government is working to reduce red tape. Low corruption levels will be reduced further with a civil service reform aimed at increasing accountability and transparency. Strong institutional traditions mean that public officials are generally held accountable for their actions. Chile has a good quality bureaucracy with good implementation capabilities. </t>
  </si>
  <si>
    <t>In Costa Rica, the capital market is largely an incipient one and funds accumulated in complementary pensions and investment institutions do not exceed 15% of GDP. The majority of these resources are invested in public instruments, bank debt and foreign securities. The corporate debt market is only just getting off the ground, although there is a vibrant private and public banking sector that takes part in financing medium-term projects (albeit with a limited capacity to invest in infrastructure).</t>
  </si>
  <si>
    <t xml:space="preserve">There is no domestic capital market with the wherewithal to provide any significant financing for the medium-term. Private pension funds do exist in the Dominican Republic, but their accumulated resources are still small; moreover, as a result of prudential regulations, the funds have still not delved significantly into the corporate debt and capitals market. The local banking system plays a very limited role in the medium-term financing of projects. No market for project risk hedging instruments for exists. </t>
  </si>
  <si>
    <t xml:space="preserve">The main source of corporate financing in Ecuador comes mainly from commercial banks. Ecuador has a very small securities market in which the corporate sector can only float short to medium-term issues (of two to three years). The Ecuadorian market is dollarised, reducing exchange rate risk, and banks can give loans up to ten years to the domestic corporate segment. The government regularly intervenes in the credit market with regulations on interest rates and interest rate margins per sector. The number of brokers has declined sharply, by almost half, over the last decade. </t>
  </si>
  <si>
    <t xml:space="preserve">Although political institutions are well established and stable, weak accountability and the illegal drugs trade have contributed to corruption, impunity and cronyism in some regions. Over 30 congressmen allied to the government have been indicted over past links with paramilitaries, undermining governability. The trend in recent years is towards more open government that is less prone to manipulation. But other than those overseeing economic policy, institutions are inefficient. Corruption and spending inefficiencies are a problem in some regions, particularly those receiving oil royalty transfers from central government. </t>
  </si>
  <si>
    <t>Government effectiveness is moderate, with legislative paralysis a common complaint. The government generally espouses open, liberal and pro-business policies, and has actively encouraged foreign investment. However, there will continue to be some exceptions, such as a general antipathy to privatisation. The slow nature of the passage of legislation is Costa Rica's main weak point. Congress has a great deal of constitutional power, and as in recent years with the Partido Acción Ciudadano (PAC), opposition parties can hold up and delay legislation for long periods. Congressional oversight is very strong, and Congress fragmented, which leads to delays in legislation. Bureaucratic delays will also remain a problem, especially for firms establishing an initial presence in the country. Corruption is low, but became more visible following the brief imprisonment of two former presidents on corruption-related charges.</t>
  </si>
  <si>
    <t xml:space="preserve">Widespread underemployment has weakened the Salvadoran labour movement, and strikes by workers in private-sector companies are rare. The public sector is still widely unionised, however, and workers, particularly in the transport and health sectors, occasionally stage strikes—as demonstrated by a nine-month public-sector health workers' strike in 2002-03 in protest against the proposed contracting-out of certain health services. Given the polarised political environment in the run-up to the elections in early 2009 combined with a slowing economy, some public demonstrations are likely to occur. Public frustration with high levels of violent crime and public-sector corruption could all generate a rise in social unrest. Rising inflation and frustration with the privatised utilities, which largely reflects a failure of these companies to reduce prices as expected, could do the same. </t>
  </si>
  <si>
    <t xml:space="preserve">Weak unions and low levels of unionisation mean that labour unrest remains infrequent, although the pressures of low incomes and rising unemployment are increasing the risk of labour unrest. Government effectiveness and the legal and regulatory regime will remain undermined by weak state institutions and scarce fiscal resources, as well as high levels of corruption and cronyism. Organised crime, violence and kidnapping remain serious problems, raising operating costs for businesses. </t>
  </si>
  <si>
    <t>According to data from the World Bank, in the past ten years Costa Rica has had a total of 5 projects across the water and transport sectors; however, these were exclusively in the transport sector. Across the four major infrastructure sectors (i.e., water, transport, energy and telecoms), transport concessions represented 31% of all projects. (Figures do not include management and lease contracts or divestitures. Please note that numbers do not necessarily match explanations for other indicators in this index due to different counting methods and time frames.)</t>
  </si>
  <si>
    <t xml:space="preserve">The government faces stiff challenges in dealing with the economic slowdown in 2009 and its impact on social prospects. IMF-supported economic reforms are unpopular with many voters, and pressure is likely to continue on the government to increase fiscal spending. Unionised workers have taken intermittent industrial action over pay and conditions in recent years. The disparity between public- and private-sector pay has formed a focus of strikes by public-sector workers. Despite new pay deals having been reached, relations with public-sector workers remain strained. The risk that unrest will escalate into a full-blown governability crisis is low but cannot be ruled out. Political stability will also remain threatened by high violent crime rates. </t>
  </si>
  <si>
    <t xml:space="preserve">In recent years reforms have generated many improvements in the operating environment for business, but Jamaica still faces a plethora of challenges. By some estimates, unionisation is around 25% of the workforce; the most influential unions are public sector. Political consensus on the maintenance of an open, pro-business stance has helped to ease the burden of red tape, but the burden of crime on the judiciary makes for a slow and inefficient legal system. The poor security environment also raises business costs. Businesses looking to establish premises in Jamaica, and particularly the capital, Kingston, need to factor in the high cost of security. There are additional costs to take into account, including losses from looting, extortion, fraud, burglary and arson, and the losses incurred from temporary closures and reduced working hours (many businesses prefer to close before dark). </t>
  </si>
  <si>
    <t>Events surrounding the 2006 presidential election suggest that there is still some risk of social unrest, although there are no direct links between armed rebels and the left-wing political opposition. Protests are a regular occurrence in the capital, but are rarely violent and do not generally obstruct business.</t>
  </si>
  <si>
    <t>The availability of credit for industrial investment is limited by the short terms of most bank deposits and the poor credit quality of most potential borrowers. The government has tried to address the issue of short deposit terms by introducing differential reserve requirements, with higher levels of reserves required on short-term deposits. The Banco Central del Paraguay (the central bank) pays interest on a portion of these reserve requirements. However, this measure has so far failed to produce the expected effects.</t>
  </si>
  <si>
    <t>The political structure is stable and a consensus around prudent macroeconomic policies underpins the stable climate for foreign investment. Unfortunately, macroeconomic risk has increased since the global financial crisis began in October 2008 and plunging global energy prices do not bode well for economic performance in 2009. High levels of foreign direct investment have underpinned reserve accumulation in recent years, but these are expected to decline markedly in 2009 as FDI inflows dry up and the authorities attempt to shield the TT dollar from volatility. After several years of very strong growth, government consumption will contract in 2009 as lower energy revenue forces a freeze on spending. Fixed investment will also contract in 2009—as global financing remains rationed and construction costs rise—and the recovery in 2010 is projected to be weak. Overall export volume growth will decline by around 4% in 2009 before rising by 3% in 2010. With high inflation and tighter credit conditions expected to slow credit growth in 2009, private consumption will slow sharply. Falling investment and sharply weakening consumption will prompt real imports to contract.</t>
  </si>
  <si>
    <t>ScoreDelta</t>
  </si>
  <si>
    <t>RankValue</t>
  </si>
  <si>
    <t>Ranked</t>
  </si>
  <si>
    <t>Row</t>
  </si>
  <si>
    <t>ROUND_DP</t>
  </si>
  <si>
    <t>Rank</t>
  </si>
  <si>
    <t>DS</t>
  </si>
  <si>
    <t>RankShow</t>
  </si>
  <si>
    <t>YoY</t>
  </si>
  <si>
    <t>EQUALITY</t>
  </si>
  <si>
    <t>=</t>
  </si>
  <si>
    <t>Score 2009</t>
  </si>
  <si>
    <t>INDI_DD</t>
  </si>
  <si>
    <t>INDI_ID</t>
  </si>
  <si>
    <t>Data 2009</t>
  </si>
  <si>
    <t>Data</t>
  </si>
  <si>
    <t>Default</t>
  </si>
  <si>
    <t>Neutral (each category equal)</t>
  </si>
  <si>
    <t>EIU weights</t>
  </si>
  <si>
    <t>User defined#2</t>
  </si>
  <si>
    <t>User defined#3</t>
  </si>
  <si>
    <t>User defined#4</t>
  </si>
  <si>
    <t>User defined#5</t>
  </si>
  <si>
    <t>RANK_ABS_OR_YOY</t>
  </si>
  <si>
    <t>YoY change</t>
  </si>
  <si>
    <t>COUNTRY1_ID</t>
  </si>
  <si>
    <t>COUNTRY2_ID</t>
  </si>
  <si>
    <t>COUNTRY3_ID</t>
  </si>
  <si>
    <t>COUNTRY4_ID</t>
  </si>
  <si>
    <t>TRIM_AT</t>
  </si>
  <si>
    <t>Rank / 20</t>
  </si>
  <si>
    <t>Score / 100</t>
  </si>
  <si>
    <t>Notes (double-click to view full text)</t>
  </si>
  <si>
    <t>IF IT's 1 or 2 no 'data' column</t>
  </si>
  <si>
    <t>Get round to dp</t>
  </si>
  <si>
    <t>DP</t>
  </si>
  <si>
    <t>LEVEL</t>
  </si>
  <si>
    <t>Number of transport and water concession and greenfield projects in the past ten years (1997-2007)</t>
  </si>
  <si>
    <t>Normalised / 100</t>
  </si>
  <si>
    <t>`</t>
  </si>
  <si>
    <t>COUNTRY COMPARE</t>
  </si>
  <si>
    <t>COUNTRY PROFILE</t>
  </si>
  <si>
    <t xml:space="preserve">Notwithstanding occasional demonstrations, violent civil unrest is unlikely and the threat of armed conflict is low. The union movement retains relatively high membership (up to 25% of the population) and it has pressed for significant wage increases, arguing that the government should take advantage of supportive economic conditions to boost wages, particularly at a time of higher inflation. Labour strikes are uncommon, but other forms of action are more usual, particularly in the energy sector and key service sectors. </t>
  </si>
  <si>
    <t xml:space="preserve">Demonstrations and civil/labour unrest take place occasionally but are in protest at the national government and poor living conditions rather than private business. High un- and underemployment has weakened the Nicaraguan labour movement, and strikes by workers in private-sector companies are rare. However, the level of unionisation of the public sector is still quite high and workers, particularly in the transport sector, occasionally stage strikes. Although high poverty rates make crime (mostly petty street crime) a growing problem, Nicaragua does not suffer the kind of organised crime experienced in El Salvador, Honduras or Guatemala. The risk of armed conflict is negligible, and poses virtually no threat to business. </t>
  </si>
  <si>
    <t>The Ministry of Transport and Public Works has a limited capacity to prepare and supervise projects. This was exacerbated by the creation of the Mega Concession, which initially incorporated the technical personnel of the Dirección Nacional de Vialidad. The Mega Concession scheme transferred almost 2,000km worth of roads to the jurisdiction of the state firm, Corporación Vial del Uruguay (CVU). At the same time, the technical capacity for road concessions was also transferred to CVU, weakening the capacity of the ministry and the Road National Office to develop projects and implicitly placing new projects in the hands of CVU. The involvement of private concessionaires to participate in toll road concessions as an alternative to the mega concession scheme is a remote possibility, unless the Mega Concession starts breaking its network into toll road concession projects for direct involvement of private operators. For both the transport and water sectors, regulatory capacity has not been developed at a national level. This indicates the government's preference to develop the transport and water sectors through public investment, without considering other options.</t>
  </si>
  <si>
    <t xml:space="preserve">Venezuela has developed preparation, evaluation and management capacities for projects. These have resulted from the country’s experience with numerous large public and private projects. Nevertheless, these capacities are being lost or not being used. </t>
  </si>
  <si>
    <t xml:space="preserve">The law establishes reasonable criteria for awarding projects. Unlike other legal frameworks in the region, a primary criterion to be used is the project’s present value of revenue which is the best way to handle awards, especially for highway and airport projects. However, a minority of projects have been tendered out using this criterion. Tariffs have also been used as criteria as well as state participation levels, both with fixed duration length.  Although these are not the best variables, they are nonetheless objective ones that generate reasonable levels of transparency during the tender process. </t>
  </si>
  <si>
    <t>The 1992 Constitution weakened the power of the executive. The president cannot issue unilateral decrees and is only allowed to enforce policies unilaterally if Congress fails to address an urgent bill within 660 days. Governance will be weak under Fernando Lugo amid strong political polarisation. Mr Lugo will inherit a system largely dominated by appointees of the Partido Colorado (PC), which may further hamper political effectiveness. Corruption is widespread and Paraguay scores very poorly in the rankings elaborated by various non-government organisations (NGOs). The former government adopted measures to address this problem, including the creation of an on-line government procurement system, and the Lugo administration has taken actions to dismantle corruption nets. However, weak institutions and political patronage have frequently obstructed efforts to reduce corruption, which will remain a problem for Mr Lugo. Red tape will continue to add to the cost of doing business, but there has been significant progress in this area recently.</t>
  </si>
  <si>
    <t xml:space="preserve">Mr García lacks a legislative majority and faces the challenge of seeking consensus within the divided opposition in Congress. Economic policy can be inconsistent at times, with the government sometimes forced to dilute its orthodox aims with populist measures to satisfy Congress and quell unrest. Congress will continue to submit numerous populist legislative proposals, putting the president on the defensive. Corruption will remain an issue, particularly within the judiciary. The overhaul of state institutions launched in late 2000 will take many years to complete. </t>
  </si>
  <si>
    <t xml:space="preserve">Argentina declared a sovereign-debt default in December 2001; nevertheless, by June 2005 it had restructured 76% of its debt, with bondholders accepting a 70% reduction of principal. Since the default, and thanks to a resurgence in many emerging countries, access to capital for the government and large companies has improved. Yet there is no serious demand in the local market for medium- and long-term credit; moreover, institutional constraints make banks rather conservative, and they hesitate to lend beyond the short term. The pattern of crossborder lending is not very different. In the central bank’s tracking of the foreign debt of the private sector, it recorded an outstanding debt level of US$52bn in December 2007, an increase of 7% from US$48.5bn a year earlier. The non-financial private sector accounted for 90% of the debt stock. Despite the nominal increase in the stock of foreign debt, the trend continues to be downward when measured against GDP, international reserves or exports. The average crossborder loan maturity at end-2007 was 2.5 years. </t>
  </si>
  <si>
    <t xml:space="preserve">A recession beckons in 2009 as the wheels came off Argentina's economic model (which saw five years of elevated, but unsustainable growth), buffeted by the escalation of the global financial crisis and recession. Improvised policies, such as the privatisation of private pensions in November 2008, heighten the risk of a disorderly adjustment, with capital flight, devaluation and a default as possible scenarios. Policymakers will seek a weaker real-exchange rate as export competitiveness has been eroded, but managing the process smoothly will prove challenging. Officially, inflation is now 7%, but the government has meddled with the statistics and it is more like 20-25%. Inflation is set to rise as tariffs are freed and subsidies cut and the peso weakens, crimping consumption. A deterioration in fiscal performance will force the government to address financing constraints (including a resolution of "holdouts" from the 2005 debt restructuring and a possible IMF deal) or face a heightened risk of default. </t>
  </si>
  <si>
    <t xml:space="preserve">Improved policies have stabilised macroeconomic variables and reduced Brazil's vulnerability to external shocks. Strict adherence to an inflation targeting regime has been instrumental in stabilising prices and reducing inflationary expectations. Greater macroeconomic stability and a deepening of credit markets are laying the basis for a gradual broadening of growth. Nonetheless, domestic economic conditions in 2009-10 are expected to lead to much lower rates of economic growth, a weaker exchange rate and a wider currency account deficit on the back of recessionary global economic conditions. The transformation of the external accounts and the accumulation of a large cushion of foreign reserves will help to contain currency volatility, which, nonetheless, is projected to remain high in 2009-10 in the face of the ongoing global credit crunch. Still-high, albeit declining, interest rates, mainly reflecting a still-large public sector borrowing requirement, will continue to constrain investment. </t>
  </si>
  <si>
    <t xml:space="preserve">Institutional frameworks have some deficiencies, as the current institutional setup lacks necessary institutional checks and balances, exhibiting limited transparency. This is especially true with regards to contract renegotiations and service standards compliance. Excessive power is also concentrated in the Ministry of Public Works’ General Contracting Coordinating Office; this entity promotes projects, co-ordinates their preparation, and supervises project construction and operation. It is even the manager and granting agency for projects from other ministries and municipalities. Nevertheless, the creation of a Contract Council to advise the Ministry of Public Works has generated a certain degree of independence for supervising contract modifications. The Ministry of the Treasury plays an active role in the evaluation of project fiscal impacts, but there is no formal public information system on long-term fiscal commitments resulting from the contractual management of public works. Sector-specific institutions also exist; for example, the Ministry of Transport participates in a National Council (SEP) that supervises port projects. The Superintendency of Sanitary Services establishes rates and controls service quality in the water sector; this institution has some technical competence and has experienced increasing autonomy. The Ministry of Economy has regulatory responsibilities in the water sector as well, approving tariff changes for water concessions. Regional companies in this sector with government capital act under the private law framework as they are considered to be corporations. Although permanent expert panels in the electricity sector have been effective in resolving differences between the comptroller and contractors, their use has not extended to the water sector. </t>
  </si>
  <si>
    <t xml:space="preserve">Laws do not outline the criteria for awarding projects. Awards have been based largely on negotiations that may or may not consider economic or technical project aspects. </t>
  </si>
  <si>
    <t xml:space="preserve">Bidding processes are generally competitive and transparent. Economic award criteria are used in most cases, effectively reducing political discretion in the decision-making process. The factors used in deciding awards have varied; recently, net present value of revenue has been used for transport projects, although the lowest subsidy and other such traditional criteria have also been used on occasion. Political pressures after an award are not unknown and can affect the development of projects. </t>
  </si>
  <si>
    <t xml:space="preserve">There is little experience in water or transport concessions, although Trinidad and Tobago has been able to incorporate private investment in other sectors such as electricity and telecommunications. In the telecommunications sector, the country had initially fallen behind other English-speaking Caribbean countries on regulatory reform. Nevertheless, it was recently able to resolve some critical bottlenecks by establishing a technically qualified and independent regulator with a policy of promoting competition and increasing service coverage. Although some pending challenges remain, this action shows that the country has the capacity to promote private sector participation in infrastructure with reasonable levels of efficiency once political obstacles are removed. </t>
  </si>
  <si>
    <t xml:space="preserve">Decision-making processes and negotiations are highly politicised. The same public contracting framework which defines general level procedures for public contracts and works also governs infrastructure concessions. This makes it difficult to generate the minimum capacities and design necessary for a PPP institutional system to function properly and ensure efficient investment activities and procedures. The Secretariat of the Treasury attempts to counterbalance to the existing PPP system but these attempts have lacked political clout. Law 240 of 2006 created a new Secretary of Economy and Planning to provide at least some checks and balances inside the government. However the biggest issue is now enforcement, as the Secretariat’s project evaluation responsibilities are mostly nominal. Nevertheless, the government has sent a PPP bill to Parliament that would substantially improve the institutional framework and would give more responsibility to the secretary of finance. </t>
  </si>
  <si>
    <t xml:space="preserve">Each ministry or decentralised body with the legal authority to provide services by concession is responsible for monitoring its own contracts and projects. This is because the country has not established an independent regulatory or service quality oversight entity, or built monitoring capacity. Service inspectors responsible for monitoring quality commitments are usually employed by or related to the same public agencies which prepare, award and legally authorise the concession project. Ideally, the supervision role would be independent from the agency responsible for project planning, service level setting and infrastructure design. The Modernisation Council (CONAM- Consejo Nacional de Modernización del Estado) is responsible for generally supervising the monitoring carried out by these individual state-level and local-level agencies. Within the present political context CONAM does not play an active role and monitoring concessions is not a high priority. </t>
  </si>
  <si>
    <t xml:space="preserve">The 1988 Constitution establishes the power to contract public services to the private sector. However, the country's legal framework establishes preferential treatment for Brazilian companies and restricts the percentage of foreign workers in a company so that in practice foreign companies must associate with local companies in order to participate in tendering. This counteracts positive developments in the legal framework such as the use of value for money analysis for projects. PPP laws do not establish limits for contract changes, nor do they establish bidding and evaluation requirements for additional works. The GCP publishes information on proposed PPP projects and also details their stages of development. There are no evaluation requirements placed on entities that are independent from the agency negotiating contract changes. </t>
  </si>
  <si>
    <t>Tendering processes use transparent contracting methods and employ efficient economic criteria to award projects. For any additional, important works, construction is tendered separately and the Ministry of the Treasury independently evaluates changes in project contracts. The ministry has also established a council with external board members that recommends contract changes to the Minister of Public Works. However there is still room to improve the checks and balances in place for arranging additional works.</t>
  </si>
  <si>
    <t xml:space="preserve">Although the law compels projects to be put out to tender, tendering has recently been split into two parts. One part is made up of a “basic component,” which is put out to tender, and a second, “progressive component”, which is negotiated directly once demand justifies the additional investment. Such direct negotiations, combined with the option of enlarging works using the “Private Initiative Scheme” under the new 2008 regulations by the Ministry of Transport, could potentially enable a scenario whereby concessions get expanded significantly for some time without  proper market tests. </t>
  </si>
  <si>
    <t xml:space="preserve">The Ministry of Transport is responsible for planning and deciding on PPP projects and carries out a social evaluation and comparison to public investment alternatives. As long as every state institution uses the 11079/04 legal framework, the Ministry must conduct a value for money analysis in order to justify project leases. The executive branch also created a managing agency, the Comitê Gestor de Parceria Público-Privada Federal (GCP), which functions under the Ministry of Planning, Budget and Management. The agency has adopted the following criteria to judge the bid proposals: the lowest rate, the best technical proposal and the lowest instalment payments by the government or public-sector entity. As a means to break ties, the government may require that bidders provide evidence of social responsibility. The Ministry of Planning also created a specialised unit at a national level to plan for future PPP fiscal contingencies. However, there are specific laws at the state level with less systematic requirements to guarantee efficiency during the decision-making process. </t>
  </si>
  <si>
    <t xml:space="preserve">Chile has a well-structured investment evaluation system; however, in recent years some concession projects have acquired a political element which has weakened the evaluation system. No formal system exists for comparing concession-based project options to the public investment alternatives. Nor does the public accounting system consider deferred payments the same way it considers public investment. Therefore, a bias exists in favour of using concessions and contractual mechanisms to improve the government’s books. </t>
  </si>
  <si>
    <t xml:space="preserve">Although contracts have attempted to limit the frequency of commercial risk transfer to the state, in practice contracts have been modified when costs exceed a third of the original cost. During the mid 1980s-2000, 28 out of 44 transport projects in Colombia were renegotiated, though none of the seven water or sanitation concession projects were renegotiated (Guasch 2004). Such renegotiations have been conducted on the basis of amicable arbitration proceedings, as a result of low resistance from the state and by leveraging the concept of maintaining a concession’s economic balance. This is also the case for airport concessions where, despite the fact that contracts’ tariffs were the sole source of concessionary income, all contractors had to be compensated for their income loss due to the economic crisis. </t>
  </si>
  <si>
    <t>The existence of a clause establishing financial balance for concessions alters what is established by the tender conditions and in contracts. It induces litigation and a transfer of commercial risks to the state. The experience of the concession of the San José airport is an important case, because ultimately the contractor did not fulfil his promises and the concession was annulled. This generated a poor reputation for an otherwise important project. The state also assumes part of the risks for highway projects by guaranteeing 70% of the expected value of traffic. However, it is unclear whether such high guarantee levels reduce financial risks or merely safeguard financial creditors.</t>
  </si>
  <si>
    <t xml:space="preserve">In general, PPP projects have been granted under a regulatory framework in which the concession’s financial equilibrium must be maintained beyond what is established in the contract. The incentive to renegotiate based in the general principle of keeping the financial equilibrium has caused constant modifications to tariffs and service levels after a project is launched. This has frequently resulted in risks normally undertaken by the private sector to be transferred to the state. This was the case for the Pan-American Highway and Quito airport projects. However, government authorities may be changing their willingness to bear these risks and even comply with terms specified in concession contracts; recently, the international Manta Port operator unilaterally ended the contract as a result of a purported non-compliance by the state. </t>
  </si>
  <si>
    <t xml:space="preserve">El Salvador does not have any live or concluded projects from which a track record of risk allocation effectiveness can be measured. However, the government has improved the schemes for managing risk in public works. For example, it has eliminated arbitration based on equity because this scheme promoted litigation and ex post contractual opportunism. </t>
  </si>
  <si>
    <t xml:space="preserve">Under the existing highway concession, the contractor is responsible for conservation and operation, and did not assume any significant risks associated with financing the investment. There have been no instances to date of risk hedging for projects. </t>
  </si>
  <si>
    <t>The airport concessions project in Tegucigalpa was plagued by conflicts and negative perceptions. In retrospect, it is clear that the contract did not effectively assign risks to the parties involved and that management of these risks was insufficient to protect the public interest.</t>
  </si>
  <si>
    <t>The Ministry of Public Works has a wide range of responsibilities and powers. It is responsible for planning, preparing studies, contracting, constructing and monitoring projects. Although other sectoral institutions exist, none are important enough to serve as a counterweight to the ministry. For example, there is an entity in charge of supervising concession contracts, the Dirección Nacional de Administración de Contratos. A multisectoral regulator, ERSP (Ente Regulador de los Servicios de Panama), regulates the services and activities of the largest and biggest water supplier, Instituto de Acueductos y Alcantarillados Nacionales—IDAAN (a state company). ANAM (Autoridad Nacional del Ambiente) regulates use of water in river basins.</t>
  </si>
  <si>
    <t>The concessions law establishes that the lessor, depending on the type of work or service being concessioned, will award each step of the contract. The auditing entities will be named by the leasing body, and this agency will have the responsibility for overseeing the development of projects, works, services and, when needed, the process of expropriation and control of acquisition of goods by the concessionaire. There is no council or other supervising body with the responsibility for overseeing the delegation process. There are no independent auditors for monitoring concessioned services; the auditors are typically associated with the entity that leases the service or asset. Only very recently has the MOPC begun to create a concession project portfolio of significance.</t>
  </si>
  <si>
    <t>In the case of the country’s primary road concession project, the government eventually assumed financing and interest rate risk. It is not clear how cost overruns resulting from delays will be distributed. Local capital markets are not well developed and do not permit the financing of large or complex projects. Nor are there useful instruments for mitigating project risk.  There is, however, free and easy access to international capital markets and financial instruments.</t>
  </si>
  <si>
    <t xml:space="preserve">After a recession in 1999-2002, real GDP growth recovered strongly to average an annual 8.1% in 2004-07 and exceeded 10% in 2008. Growth will fall sharply from these heady rates in 2009 and 2010 to 2% and 3.3%, respectively, with the risk weighted on the downside. The peso will be vulnerable to changes in market sentiment associated with concerns about external shocks, and the depreciation that the peso has undergone since September 2008 is likely to continue (albeit at a more moderate rate) in 2009-10. Inflation is expected to fall back to within the central bank's 3% to 7% target range in 2009, in line with lower commodity prices and falling domestic demand. The public debt burden will continue to be a drain on fiscal resources, but primary surpluses are helping the government to reduce this to a more manageable level. Since prepaying its IMF debt in 2006 the government has no need of an agreement with the IMF, but will maintain the fiscal orthodoxy outlined in the programme that it signed in 2005. </t>
  </si>
  <si>
    <t xml:space="preserve">Macroeconomic risk is high, mainly reflecting distortions caused by heterodox economic policies put in place in recent years. The prospect of weaker energy prices sustains the risk of a sharp economic contraction and a devaluation of the fixed exchange rate, which will further fuel inflation and worsen shortages of basic goods, in the context of price controls. The deterioration of the business environment has led to a decline in non-oil investment, which will entrench dependence on the oil sector and deepen the impact from lower energy prices. Companies will continue to encounter difficulties in accessing foreign exchange, owing to the system of capital controls. Domestic asset prices, inflated by the captive pool of excess liquidity created by the controls, will remain at risk of a sharp reversal. </t>
  </si>
  <si>
    <t xml:space="preserve">Infrastructure projects are generally executed and financed by the public sector with funds from multilateral financial institutions. Although a new Foreign Investment Law (Ley de Promoción de Inversiones Extranjeras—No. 344) approved in April 2000 lifted a previous restriction on foreign companies accessing local financing for medium- and long-term loans, the limited availability of such financing has meant that foreign firms meet their longer-term capital needs either through self-financing or from sources abroad. Private-sector management of existing infrastructure has been arranged with concessions, rental payments and investment agreements. </t>
  </si>
  <si>
    <t xml:space="preserve">In the water sanitation sector, households which consume less than 20 m3 of water per month are subsidised, regardless of their socio-economic status. The Superintendency of Sanitation Services (SUNASS Superintendencia Nacional de Servicios Sanitarios) is currently looking at potential pro-poor subsidy methods. In the transport sector, the tolls vary according with the number of axes of the vehicle. Therefore, there is no cross subsidy that could benefit interurban public transport which is commonly used by low income groups. In Peru the households that consume less than 100 kwh of electricity can access a subsidy, and the country has also been able to keep very low electricity prices even during the peak of the oil crisis. Being a low cost producer of electricity thus allows the service to remain affordable for a wide segment of the population despite high poverty levels. </t>
  </si>
  <si>
    <t>Venezuela has a mediocre credit rating, which has worsened as a result of lower oil prices. External guarantee agencies which insure payments for commercial transactions, such as COFACE, award Venezuela a low score for payment fulfilment. The Economist Intelligence Unit gives the county a B sovereign debt risk rating.</t>
  </si>
  <si>
    <t>Argentina’s relatively small and fragmented insurance market was nationalised by President Cristina Fernández de Kirchner in December of 2008. This bodes poorly for infrastructure finance, as it introduces political discretion in the administering of long-term finance investments. Moreover, public debt issues collapsed in 2008, effectively losing 90% of their value, reducing the possibility that an efficient infrastructure financing market will be available through domestic capital markets.</t>
  </si>
  <si>
    <t xml:space="preserve">The threat from civil unrest is very low as the country's strong tradition of peaceful protest (stretching back to before the armed forces were abolished in 1949) is expected to endure. Organised crime will continue to be a problem, but less so than in neighbouring countries and it is unlikely to affect legitimate businesses. The labour market is expected to remain free of most restrictions, with remuneration determined mostly by the market. However, guidelines for wages in the private sector will continue to be set centrally via bi-annual adjustments in the minimum wage decided by a government-employer-union commission, the Consejo Nacional de Salarios. Union power will continue to be weak in the private sector, as will the threat from strike action. </t>
  </si>
  <si>
    <t xml:space="preserve">Despite widespread poverty, social unrest has receded amidst strong economic growth in 2006-08, but the ensuing economic slowdown could give rise to protests. Rising electricity prices, more frequent blackouts or a removal of fuel and food subsidies have also sparked discontent. There is also potential for social tensions arising from new waves of migration from neighbouring Haiti. </t>
  </si>
  <si>
    <t xml:space="preserve">The leverage of trade unions has declined in recent years, with notable exceptions in the oil and electricity sectors, where they are powerful. Strikes and protests by unions in these sectors often cause widespread disruption. Indigenous groups in remote areas have stepped up pressure on foreign oil and mining companies in pursuit of environmental or economic objectives, seizing dozens of oil wells and suspending production in recent years. Popular demonstrations are a common form of political protest and frequently involve disruptive roadblocks. Foreigners are not explicitly targeted but their presence is rarely welcome. </t>
  </si>
  <si>
    <t>According to data from the World Bank, in the past ten years Brazil has had a total of 104 projects in the water and transport sectors. Across the four major infrastructure sectors (i.e. water, transport, energy and telecoms), transport concessions represented 30% of all projects and water represented 16% (Figures do not include management and lease contracts or divestitures. Please note that numbers do not necessarily match explanations for other indicators in this index due to different counting methods and time frames.)</t>
  </si>
  <si>
    <t>According to data from the World Bank, in the past ten years Chile has had a total of 45 projects in the water and transport sectors. Across the four major infrastructure sectors (i.e. water, transport, energy and telecoms), transport concessions represented 53% of all projects and water represented 17% (Figures do not include management and lease contracts or divestitures. Please note that numbers do not necessarily match explanations for other indicators in this index due to different counting methods and time frames.)</t>
  </si>
  <si>
    <t>According to data from the World Bank, in the past ten years Colombia has had a total of 45 projects in the water and transport sectors. Across the four major infrastructure sectors (i.e., water, transport, energy and telecoms), transport concessions represented 32% of all projects and water represented 47%. (Figures do not include management and lease contracts or divestitures. Please note that numbers do not necessarily match explanations for other indicators in this index due to different counting methods and time frames.)</t>
  </si>
  <si>
    <t xml:space="preserve">According to data from the World Bank, in the past ten years Mexico had a total of 61 projects in the water and transport sectors. Across the four major infrastructure sectors (i.e., water, transport, energy and telecoms), transport concessions represented 42% of all projects and water represented 16%. (Figures do not include management and lease contracts or divestitures. Please note that numbers do not necessarily match explanations for other indicators in this index due to different counting methods and time frames.) </t>
  </si>
  <si>
    <t xml:space="preserve">According to data from the World Bank, in the past ten years Nicaragua has had only one project, in the transport sector. Across the four major infrastructure sectors (i.e., water, transport, energy and telecoms), this project represented 17% of all projects. (Figures do not include management and lease contracts or divestitures. Please note that numbers do not necessarily match explanations for other indicators in this index due to different counting methods and time frames.) </t>
  </si>
  <si>
    <t xml:space="preserve">The executive secretariat of the National Concessions Council has excessive responsibility for the process of managing concessions. It has limited technical capacity, frequent changes in directors and, in general, a scarcity of qualified personnel that concession management processes require. This leads to poorly prepared projects that generate multiple conflicts with contractors. </t>
  </si>
  <si>
    <t>According to data from the World Bank, in the past ten years Panama had a total of three projects in the water and transport sectors. Across the four major infrastructure sectors (i.e., water, transport, energy and telecoms), transport concessions represented 29% of all projects and water represented 14%. (Figures do not include management and lease contracts or divestitures. Please note that numbers do not necessarily match explanations for other indicators in this index due to different counting methods and time frames.)</t>
  </si>
  <si>
    <t xml:space="preserve">The unemployment rate is below pre-recession levels, thanks to a strong economic recovery since 2004. Unions are influential, although the threat of unemployment has forced them to turn their attention to demands other than pay increases, particularly reduced working hours to contain unemployment. Strikes are common, especially in state-owned companies at the end of each year when the subsequent year's budget is debated, and rose sharply in response to fiscal adjustment and recession. The first general strike under the Frente Amplio (FA) government took place in August 2008, and further disruption is possible in the approach to the October 2009 general election. Dismissing workers is complicated and expensive. Although intermittent and occasionally disruptive strikes will continue from the powerful unions, Uruguay does not have a history of violent protest: popular discontent during the deep recession in 1999-2002 did not degenerate into the sort of street violence witnessed in neighbouring Argentina for example. Although inequalities increased in 1999-2002, Uruguay has a large middle class and a more equitable income distribution than most Latin American countries. The government is seeking to reduce income inequalities further and a tax reform implemented in 2007 will go some way towards achieving this. </t>
  </si>
  <si>
    <t>Brazil’s 2004 PPP law creates a fund to guarantee state obligations, a move which significantly improves the security and liquidity of government payments to concessionaires. However, the country has a modest debt risk rating, a BB by Economist Intelligence Unit standards.</t>
  </si>
  <si>
    <t>The state generally meets its obligations to contractors; the latter may obtain bank financing with payment commitments issued by the Contracting Co-coordinating Office and ratified by the Ministry of the Treasury. The Economist Intelligence Unit's Sovereign Debt Risk rating assigned the country a score of A in February 2009.</t>
  </si>
  <si>
    <t>According to data from the World Bank, in the past ten years Venezuela had a total of four projects in the water and transport sectors. Across the four major infrastructure sectors (i.e., water, transport, energy and telecoms), transport concessions represented 22% of all projects and water also represented 22%. (Figures do not include management and lease contracts or divestitures. Please note that numbers do not necessarily match explanations for other indicators in this index due to different counting methods and time frames.)</t>
  </si>
  <si>
    <t>The judiciary is highly politicised and bribery is a major problem. Property rights are protected by legislation but enforcement is weak. There is effectively no competition or anti-trust law enforcement. Regulators are subject to political pressure, a phenomenon that has worsened by the new constitution’s concentration of power in the executive branch. The new constitution also establishes through Article 422 the authority to disregard international court ruling on contractual or commercial controversies between the state and private legal bodies. As a result, foreign companies are taking legal action against the government, claiming that unfair decisions and unilateral contract cancellations have damaged them. The government is now defending itself in seven major arbitration cases. The potential size of claims has led the International Monetary Fund to warn Ecuador that it must consider setting funds aside to cover compensation costs. However, the Ecuadorean authorities are playing down the threat of possible legal defeats in the International Centre for the Settlement of Investment Disputes (ICSID).</t>
  </si>
  <si>
    <t xml:space="preserve">Regulations do not discriminate between bidders by nationality. Although laws do establish procedures for the concession projects to the private sector, they do not specify the need for competency and transparency. Laws do allow for the possibility of modifying contracts and compensating concessionaries for additional works by granting public lands. The process for adjusting tariffs and contracts is unregulated and is left to the discretion of the Ministry of Public Works. Projects are often modified without adequate consideration for the public good. As modifications are often arbitrary because of a lack of regulation, the playing field is generally uneven for private bidders. </t>
  </si>
  <si>
    <t xml:space="preserve">Public bidding procedures are required for all concession contracts, and these are reasonably fair and transparent. There is no discrimination against foreign companies. However, various international studies note that corruption is a problem and can interfere with the contracting process. Mechanisms for contract renegotiation are not adequately defined and do not set transparency and fairness standards; a lessor can increase the size of the project for public-interest reasons during the contracting period as long as the expansion does not exceed 10% of the total value of the original contract. The law explicitly states that any modification of the terms of the concession can only be done by the same body that authorised the concession. Independent supervision of the renegotiation process and contract changes is not required. </t>
  </si>
  <si>
    <t xml:space="preserve">The law that regulates concessions also establishes the opportunity for investors and operators to take disputes with the state to arbitration, which is regulated by the code of civil procedures. Recourse to judicial tribunals is possible in extreme cases. The Superintendency Law (Ley de Promoción y Desarrollo de las Obras Públicas y la Infraestructura) form  1998 guides these procedures and requires that dispute resolution must involve a conciliation effort by the Superintendence in the first instance. Only after this step has been exhausted can investors and operators bring their case to the courts. The official process for resolving controversies between investors, operators and the state is adequate, but in practice it does not always work well. Investors do have recourse to the International Centre for Settlement of Investment Disputes (ICSID). </t>
  </si>
  <si>
    <t>Specific laws for each sector do not establish explicit arbitration mechanisms. Nevertheless, there are no obstacles under the Common Law that prevent the state from using national or international arbitration mechanisms to reconcile disputes. Jamaica has been a signatory to the ICSIS since 1965. Jamaica has also used the Overseas Private Investment Corporation (OPIC), a US government agency, to offer political risk insurance to investors. Dispute resolution through justice tribunals is slow and does not provide an adequate means for resolving disagreements between the state and infrastructure contractors/operators.</t>
  </si>
  <si>
    <t xml:space="preserve">Regulations require competitive tendering and use of objective economic valuations to select project winners. However, in Argentina it has been common for bidding processes to be uncompetitive and to lack transparency. During the bidding process, non-economic factors are discretionally weighted, greatly influencing project selection. Evidence of this can be found in the fact that over the past ten years, most investments have been renegotiated. </t>
  </si>
  <si>
    <t xml:space="preserve">In principle, specific roles have been established for the government entity that contracts out the public service or asset and the entity that finances the concession contract. There have been few cases where the principal revises financial aspects of the contract or makes many additions. The Ministry of Finance has more of an advisory role and directs relevant parties in the use of concession contracting mechanisms. However, the ministry has not developed a formal evaluation scheme for financial risk and contingencies.  </t>
  </si>
  <si>
    <t xml:space="preserve">Bidding processes for concessions are handled by the National Investment Bank, an institution whose mandate is to guarantee proper transparency and promotion in the bidding and proposal process. Institutions such as the Fair Trading Commission and the Corruption Prevention Commission generate a certain degree of counterbalance that also improves the transparency of bidding processes. Nevertheless, selecting a preferred bidder in the second phase of the process, where conditions are negotiated, lacks minimum levels of transparency. The Ministry of Housing and Water and the Ministry for Transport and Public Works are responsible for planning and investment decisions. The Ministry of Transport and Public Works created and oversees three national regulatory authorities for concessions: the Toll Road Authority, the National Airport Authority and the National Port Authority. Planning responsibilities fall under the ministry, whereas these decentralised entities focus on administrative and investigative functions for contracts. For example, the Toll Road Authority has oversight responsibility with regard to quality of services, users’ rights and enforcing tolls agreed under contract. The interaction between the ministry and each sector regulator generates a certain degree of counterweight for regulation and administration. In the water sector, there are several bodies, state companies, and ministries with overlapping or confusing regulatory, policy, planning and operational responsibilities. The law that separates functions and streamlines regulation has been awaiting approval for several years. Mechanisms for private participation in transport are regulated in an ad hoc manner in respective sectoral laws. The Ministry of Finance and Planning has an important role in defining proposed projects and evaluating their fiscal impact. However politically motivated decisions by the ministries are fairly common, which ultimately rendering regulatory and institutional setups less effective. </t>
  </si>
  <si>
    <t>The Ministry of Planning of Trinidad and Tobago, together with the Minister of Finance, is strengthening the National Public Investment System as a mechanism to make sure that investment decisions are more aligned with the National Development Programme (Vision 2020). The goal is to improve the execution control and the budgeting of capital expenditure and recurrent expenditure. The National Management and Strategic Investment Office reports directly to the Prime Minister for new investments and projects, and although this cuts some red tape it also removes some transparency from the process. The decision to privatise remains a cabinet decision. Trinidad and Tobago is far from having a decision-making process for investment based on rigorous analysis. The aforementioned office does not have the in-house resources to conduct due diligence on firms or cost-benefit analysis; this part of the process is outsourced to external consultants. One of the highest priorities when deciding on a PPP is the effect on employment and terms of severance for potential lay-offs, and because of this the government spends much effort to create contingency plans for severance payments and enable new employment opportunities for any public-private ventures.</t>
  </si>
  <si>
    <t xml:space="preserve">The Ministry of Economy and Finance and the Planning and Budgeting Office (OPP Oficina de Planeamiento y Presupuesto) have responsibility for supervising the public investment process. The process of planning, prioritising and evaluating public investment in Uruguay is in the early stages of development; only recently has a national public investment system (NIP Plan Nacional de Inversiones) been created at a federal level, allowing for the standardisation of evaluation schemes. Currently, concession projects do not follow a rigorous evaluation process and are not subject to comparisons with public investment alternatives. Accounting for contingent liabilities and for deferred payments has not been harmonised with general public investment accounting practices. </t>
  </si>
  <si>
    <t>Generally speaking, there are no restrictions or disincentives to private investment. Property rights are protected under the constitution and common-law practice. Secured interests in property are recognised and enforced. Private foreign and domestic entities have the right to establish and own business enterprises and engage in remunerative activity. Under the Companies Ordinance and the Foreign Investment Act, a foreign investor may purchase shares in a local corporation, incorporate or set up a branch office in Trinidad and Tobago, or form a joint venture or partnership with a local entity. Private enterprises and public enterprises are treated equally with respect to access to markets, credit, and other business operations. No expropriation actions have been taken by the government since the 1980s. All prior expropriations were compensated to the satisfaction of the parties involved. There is no indication of policy shifts that might lead to expropriation in the future. The judicial system in Trinidad and Tobago upholds the sanctity of contracts and generally provides a level playing field for foreign investors involved in court matters. However, due to the backlog of cases, there can be major delays in the process. This risk of excessive delay is also high for arbitration, and the process is costly. As a result, it is imperative for those investing to sign enforceable contracts and use local attorneys. The slowness of the process often dissuades companies from using the courts to resolve issues unless really necessary; companies often prefer to speak with the National Management and Strategic Investment Office as a first option when there is a contract breach or problem.</t>
  </si>
  <si>
    <t xml:space="preserve">Uruguay has a judicial system with a reasonable degree of independence from political influence. Processes are slow, however, and there is no capacity within the judiciary to handle technical PPP issues that arise during conflicts over concessions. The concessions law does not establish arbitration mechanisms, which increases legal risk for these projects. </t>
  </si>
  <si>
    <t>In the past few years, Venezuela has terminated, expropriated and limited private concession projects. These cancelled projects have been of both domestic and international ownership, in a wide variety of sectors: petroleum exploration, mining, electricity, telecommunications and more. In this context, renationalisation of all industrial sectors seems likely. Recently, the government announced the centralisation of the administration of ports, airport and roads for the entire country; previously these had been administered independently by state/regional governments. This measure is based in the Ley Orgánica de Descentralización, Delimitación y Transferencia de Competencias del Poder Público, approved in the past year by the national assembly. The national tribunals have not had the independence required to protect investors’ rights subsequent to these changes. This precedent sets the stage for the central government to block any roads concessions planned by state and municipal administrations.</t>
  </si>
  <si>
    <t xml:space="preserve">Contractors and regulating agencies have moderate planning, preparation, and supervision capacities. They also boast the experience of having developed one of the largest private concessions processes in the developing world (in magnitude of investment and diversity of sectors). </t>
  </si>
  <si>
    <t>The main factor limiting the development of PPP projects is the reduced technical capacity at federal, state, and municipal levels. Supervision capacity at the National Transport Regulating Entity (ANTT- Agência Nacional de Transportes Terrestres) is modest.</t>
  </si>
  <si>
    <t xml:space="preserve">The Public Purchases Law establishes several stages for dispute resolution. A primary stage of direct negotiations is indicated, then arbitration and finally appeal to the administrative contentious courts is made. Arbitration systems must also be specified in each contract. There exists scant independence of administrative courts and no mechanism for arbitration proceedings  are nor defined explicitly  Without schemes for formal conciliation and direct negotiation between disputing parties, collusion risk between investors and the government agency exist, which  could damage public interests or increase the likelihood of expropriation of the contractor’s interests. </t>
  </si>
  <si>
    <t>The Modernisation Act of 1993 establishes the possibility of commercial arbitration. It also makes courts responsible for handling matters derived from “acts of the Administrative Authority” (i.e. government imposed fines, elimination of toll booths, or early termination of a concession). The constitution establishes that arbitration proceedings between the state and private parties should be confined within the law, with a prior announcement by the Attorney General. In addition, the new constitution prevents international arbitration between the state and private persons and bodies. Ecuador has already rejected the World Bank’s dispute-resolution body, the International Centre for the Settlement of Investment Disputes (ICSID); instead, it proposes to work through the Centre for Arbitration and Mediation in Santiago, Chile. Rafael Correa, the president, has argued that ICSID is biased against the interests of developing countries, and he has proposed the creation of a South American Union (Unasur) arbitration centre.</t>
  </si>
  <si>
    <t xml:space="preserve">Throughout the nineties, Chile improved its project formulation and preparation capacities. However, after the MOP-Gate corruption scandal landed the minister of Public Works in jail and the ensuing political turmoil caused a reduction in project preparation funding, capacity to effectively develop pre-investment contracting stages clearly deteriorated. Although capacity at the Ministry of Public Works has strengthened since 2006, the capacity to control operations provided under concession contracts remains weak. Sanitary companies’ regulatory capacity is still insufficient and information on operations and management is difficult to obtain, despite the fact that development plans must be redefined every five years. The Ministry of the Treasury serves as an effective counterpart that evaluates contingent liabilities. Although there is a good, long track record of public investment evaluation, its importance in formulation of contracts has weakened. Also, value for money evaluations are not carried out for project concessions. </t>
  </si>
  <si>
    <t>Instituto Nacional de Concesiones de Colombia (INCO) has limited skills and experience in preparing projects, which led the institution to abandon the policy of calling for general bids. Currently the institution proposes projects in which only preliminary engineering and environmental studies are developed prior to bidding, leaving the remainder for the concession stage. This means that environmental studies and land acquisition are the responsibilities of private persons. INCO does not have specialised financial or contracting skills, or any project follow-up capabilities. The Treasury has developed some competencies aimed at evaluating the risks and contingent liabilities of concession projects and establishing reserve funds for such liabilities. On a more decentralised level, municipalities and departments have limited technical skills for project preparation.</t>
  </si>
  <si>
    <t xml:space="preserve">Policymaking is likely to shift further to the left under the new constitution, with harsher operating conditions for foreign companies in Ecuador. Strong rivalry between coastal and highland political and economic elites, and strong demands for regional autonomy, especially in Guayaquil, will also undermine stability. Party politics are volatile and unpredictable. However, the position of Rafael Correa, the president, has been bolstered by the suspension of the opposition-dominated Congress in 2007 and the approval of the new constitution. Bureaucratic procedures are generally cumbersome and beset by red tape. Corruption is widespread, and many government appointments are made on the basis of personal connections rather than competence. Generally, law enforcement is weak or politically motivated. Amnesties for past misdeeds are also relatively common, and often granted according to political expediency. As the judiciary is subject to political pressure, court proceedings are a common means of obstructing government legislation. </t>
  </si>
  <si>
    <t xml:space="preserve">Antonio Saca, the president, has called for greater dialogue and co-operation among El Salvador's political parties. With no party having a simple majority and elections scheduled for January (legislative) and March 2009 (presidential), governability will remain complicated. Although the government is generally competent in formulating policy, corruption and nepotism are widespread in the civil service. Public-sector employees are poorly paid, and politicians exert considerable influence over the justice system. El Salvador has had an uneven human rights record since the end of the civil war in 1992 and the security forces have been accused of contributing to the high murder rate. </t>
  </si>
  <si>
    <t xml:space="preserve">In the electricity and water sector, those households with low levels of consumption pay lower prices, similar to other countries in the region. This has some limited correlation with poverty, but the government’s subsidy policies need more focus and targeting to poor populations if these are to improve conditions for private sector participation. The absence of a pay-for-service culture and the lack of political will to enforce fees in Nicaragua renders cost recovery difficult for private operators. </t>
  </si>
  <si>
    <t xml:space="preserve">Road concession projects do not currently benefit from subsidies. However, a pilot project is under way in which only trucks are charged highway tolls and individuals’ tolls are subsidised by the government. This could be extended to users of public transport. In the water sanitation sector, subsidy schemes are across the board and do not focus on low income groups. Revenues are insufficient to ensure the conservation of current infrastructure. </t>
  </si>
  <si>
    <t xml:space="preserve">The water sanitation regulator ERSSAN (Ente Regulador de Servicios Sanitarios) sets water prices, which are the same in all urban areas of the country. These prices are heavily subsidised, which means that national state provider, ESSAP (Empresa de Servicios Sanitarios del Paraguay), requires subsidies from the central government for investment. On the other hand, rural areas have a self-management scheme with self-financing. This structure implies that the poorer rural sector pays for water while the richest urban areas are subsidised by the state. Toll roads are low for international standards and have a cross subsidy in favour of interurban buses. </t>
  </si>
  <si>
    <t xml:space="preserve">Subsidies are awarded for a series of basic services; electricity, public transport and gasoline subsidies are large for all users, severely distorting resource allocation in the country’s economy. In the case of water and sanitation, the law also allows the possibility of issuing subsidies. </t>
  </si>
  <si>
    <t>ISO</t>
  </si>
  <si>
    <t>HC</t>
  </si>
  <si>
    <t>Col</t>
  </si>
  <si>
    <t>Status</t>
  </si>
  <si>
    <t>CODE</t>
  </si>
  <si>
    <t>ROW</t>
  </si>
  <si>
    <t>Score2009</t>
  </si>
  <si>
    <t>Data2009</t>
  </si>
  <si>
    <t>Score2008</t>
  </si>
  <si>
    <t>Data2008</t>
  </si>
  <si>
    <t xml:space="preserve">Even though PPP legislation does not yet exist, there are some initiatives which include private participation in traditionally state-run activities and that are worth mention; Trinidad and Tobago has undertaken privatisation of key public sectors since the 1990s, including electrical power generation, telecommunication and the postal service. Nevertheless, in the water and the transport infrastructure sector the state maintains the key operator and investor, and capabilities for developing concessions have not been put in place. </t>
  </si>
  <si>
    <t>The concessions law assigns responsibility for project preparations to the relevant body (ministry, municipality, etc) involved in each infrastructure sector. But without a centralized advisory capacity or proper cost benefit and fiscal risk analysis, public sector lessors are incentivised to make projects more attractive to the private sector at the expense of future fiscal contingencies and economic profitability. Although a formal national investment system exists, the government does not have the experience or capacity to operate it very efficiently. Project planning and preparation capabilities are more advanced in the drinking water and electricity sectors, but the degree of contracting in these areas is minimal.</t>
  </si>
  <si>
    <t>The government’s capacity to plan and prepare projects is limited. Indeed, the inability to carry out proper engineering efforts, environmental studies and social evaluations limits the flow of projects and often leads to poorly prepared bids.</t>
  </si>
  <si>
    <t xml:space="preserve">The arbitration procedures available for public and commercial disputes are also available for concessions. However, there is legal ambiguity over the role of justice tribunals during litigation that can affect compensation by the state to the concessionaire. There are no specific laws dealing with nationalisation or expropriation. Panama’s constitution gives the government the right to nationalise property for the public interest, but it must do so through the judicial process and with prior compensation. The government also has the right to intrude on private property without compensation in time of war or other major disturbances, but only for limited periods. No nationalisation of either type has occurred since 1972. Arbitration systems establish a pre-judicial resolution phase, although a lack of transparency can undermine the effectiveness of the mechanism. Panama is a signatory of the International Centre for Settlement of Investment Disputes (ICSID). </t>
  </si>
  <si>
    <t>Concessions Law No 1618 stipulates that both tender proposals and the concession contract itself must identify potential causes of revisions to the economic terms and conditions. If these are not foreseen, the economic terms of the concession cannot be adjusted post-contract. This law also indicates that a dispute-resolution process must be followed for all controversies or claims that could result from the interpretation, application or execution of the concession contract. Arbitration only follows if a resolution cannot be found. The bidding documents for each project will stipulate the process of dispute resolution including all rules of procedure and choice of referee. The 1991 law guarantees non-discriminatory treatment of foreign investors. This law also allows the possibility of international arbitration for conflicts between the public and private sector. Paraguay has been a member of the International Centre for Settlement of Investment Disputes (ICSID) since 1982.</t>
  </si>
  <si>
    <t xml:space="preserve">To resolve conflicts, the law specifies conciliation mechanisms and arbitration with the support of expert judgment for matters of different technical character (such as construction techniques), engineering and financial issues. The local tribunals are not independent of the executive and do not fully respect local or international arbitration rulings, despite the fact that Venezuela is a signatory of the International Centre for Settlement of Investment Disputes (ICSID). Confronted with the direct or indirect expropriation of their assets, various companies have been forced to reclaim these from the Venezuelan government using ICSID. This was the case with the concession of the Caracas-La Guaira viaduct. </t>
  </si>
  <si>
    <t>Argentina has the main institutional components required for an efficient concessions system. According to the country’s various concession laws, the entity that is legally responsible for providing the public service also becomes the granting agency which legally authorises the concession and is in charge of the tendering process. National regulating entities have been consolidated to unite previously scattered capacities in each sector and to centralise oversight responsibility for ensuring the quality of services. Approval requirements for fiscal authorities have also been established. However, this institutional design is severely weakened by a lack of independence and effective checks and balances within a larger context of low service sustainability in the short and medium term.</t>
  </si>
  <si>
    <t xml:space="preserve">The next government is unlikely to enjoy a parliamentary majority, reducing government effectiveness from 2010. Regulatory risk is high because productive activity is heavily influenced by large state-owned institutions with substantial sway over regulatory policy. The practice whereby regulators sometimes give domestic companies preference over foreign ones will probably continue. Intellectual property rights are recognised, but weakly enforced. The level of political influence over the judiciary came into focus in early 2008 when the Supreme Court ruled that the introduction of an income tax on pensioners (carried out in 2007) was unconstitutional. Parts of the Frente Amplio (FA) appeared to put pressure on the Supreme Court to reverse its decision, potentially harming Uruguay's reputation for juridical independence. So far though, this is an isolated incident. </t>
  </si>
  <si>
    <t xml:space="preserve">Venezuela's government effectiveness is extremely low compared to both regional and international peers. Although extreme centralisation of power enables the Chavez government to advance its programme, a lack of checks and balances undermines the quality and consistency of policymaking. The introduction of an entirely new institutional architecture in the 1999 constitution has failed to make an impact; in the current political environment institutions have lost credibility and independence, and are perceived as more politicised than ever. Pervasive red tape increases the cost of doing business and creates opportunities for corrupt officials. Sudden policy reversals are often announced, compounding the uncertain business environment. Public officials are largely unaccountable, and conviction of the perpetrators of corruption is very rare. </t>
  </si>
  <si>
    <t>Guatemala’s courts have limited independence, and resolving conflicts is long, drawn out and unpredictable. Nonetheless, the courts upheld the contractor’s right in the case of the only highway concession in operation, despite some political pressure. Ensuring rights-of-way and resolving environmental conflicts are two key areas where the legal system moves at a slow and unpredictable pace. Typically, a contractor must secure the rights-of-way, conduct studies, and obtain whatever environmental permits are necessary. The weak and uncertain legal system poses enormous risks for any concession, especially in the transport, water and drainage sectors. An arbitration mechanism would improve the legal certainties for concessions. Indeed, a government bill, passed by the Economy Commission Of Congress, introduces arbitration proceedings based on law and contract, with the possibility of appealing to international courts and establishing guarantees of political risks with multilateral bodies. When fully implemented, this will represent an important step forward. Still, the jurisdiction of the administrative courts is preserved for cases in which the authorities have acted in accordance with the constitution.</t>
  </si>
  <si>
    <t>The judicial system is often biased, slow, inefficient and open to manipulation. The system for selection of high court judges was reformed in 2002 to reduce political influence. Supreme Court judges are now selected from a broad-based panel rather than by political parties, although the judiciary is still open to corruption and political influence. Property rights are not always clearly established, but the national arbitration system, and the possibility of recourse to international arbitration, has helped reduce the risk of expropriation of concessions.</t>
  </si>
  <si>
    <t xml:space="preserve">Whereas general public procurement procedures for state works are defined in a detailed and rigorous manner, special purpose companies created to contract out public works are not required to follow these procedures. The National Infrastructure Development Company (NIDCO) is an example of such a special purpose company. It is the contractor for central government ministry infrastructure projects, including the sea water taxi system and rapid rail service (both of whose private participation and involvement are at initial stages). NIDCO is currently facing allegations of biased decision-making and insufficient transparency. Moreover, for concessions there is no statutory requirement to disclose bidding information. The Freedom of Information Act  passed in 2002 helps guide disclosure practices, but it is up to the discretion of the companies involved to provide information. Because external consultants are hired to help with marketing each bid, collecting the information, and the planning process, it is these companies that perform due diligence for bidding and do the calculations and analysis for each bid option. Once the documents are received, bids are sent to a decision committee that includes the ministries affected and representatives of the private sector bidding companies. The National Management and Strategic Investment Office ultimately signs the contract, although they do not monitor the contract afterwards. If a specific contract breach is brought to the attention of the office, however, they follow up with the issue. Extensions to contracts are handled in a disciplined manner and “scope creep” is not really possible because any potential additions/changes to contracts are discussed before contracts are signed. The framework and process could be improved by creating a more formalised system that encompasses PPPs in law rather than policy. </t>
  </si>
  <si>
    <t xml:space="preserve">Official bidding requirements for concessions explicitly require proper publication and transparency. The Defence and Promotion of Competition Law (Ley para la Defensa y Promoción de Competencia, Legislative Decree 357/2005) created a special commission to monitor economic concentration in different sectors and ensure competition. This Commission for the Defence and Promotion of Competition (Comisión para la Defensa y Promoción de la Competencia) was set up in mid-2006 after the law came into force. In 2007 it responded to nine reports of anti-competitive practices and was supposed to help open up both state-dominated markets and private monopolies; in practice, however, Honduras lacks proper transparency in public works tenders and bids and by end-May 2008, the commission had not made significant progress in improving competition levels. As a requirement for entering the Dominican Republic–Central American Free-Trade Agreement (DR-CAFTA), Congress passed legislation to override a previous law that required firms be at least 51% Honduran-owned to participate in government-procurement activities. However, it is common for foreign firms to partner with local companies to bid. In theory, there is independent supervision of contract compliance. Overall, the development and regulation of concessions has been poor, especially for airport projects. </t>
  </si>
  <si>
    <t>According to data from the World Bank, in the past ten years Uruguay had a total of five projects in the water and transport sectors. Across the four major infrastructure sectors (i.e., water, transport, energy and telecoms), transport concessions represented 50% of all projects and water represented 13%. (Figures do not include management and lease contracts or divestitures. Please note that numbers do not necessarily match explanations for other indicators in this index due to different counting methods and time frames.)</t>
  </si>
  <si>
    <t xml:space="preserve">During the first half of the nineties, a national investment system was developed to improve public investment decisions. A process of incorporating the private sector in the provision of services was introduced to reduce the political aspects of decisions and impose some economic rationale to investments. The law from 1999 created a Concessions Committee that is charged with the task of preparing and executing the concessions process, as well as inspecting and auditing awarded contracts. However, the central government has begun to take decision-making power away from the committee, effectively rendering it irrelevant for investment decisions. </t>
  </si>
  <si>
    <t>Previously, highway contract bidding was conducted simultaneously (e.g., all the toll road concession contracts were assigned at the same time), increasing collusion risk among private sector companies. For the most part bids only included domestic companies. Law 1299 of 2000 required public tendering for projects, but also limited foreign capital participation to 51% of total investment, compelling non-domestic firms to associate with local companies. In 2005, specific conditions in water sector contracts have been established mostly through negotiation of the economic and technical project elements directly with the municipality and state officials responsible for the process. This introduces concerns regarding transparency. Decrees 966 and 967 of 2005 established procedures whereby companies submit proposals and the government has 60 days to determine whether the project qualifies as being “in the public interest”. If so, the government may then organise a tender to choose a private-sector partner. If the price difference between bidders is less than 5%, the firm that submitted the initial proposal has priority. If the original firm is not selected as the private-sector partner, the government is required to compensate the firm for the expenses associated with developing the proposal. On a decentralised level, Argentina's regions occasionally have a better track record than the federal government for fairness of contract awards and bidding procedures.</t>
  </si>
  <si>
    <t xml:space="preserve">There is little risk of political interference in the judicial process, whether from government or private interest groups. Contract rights are generally upheld and recognised. The judicial process is usually efficient. Neither the courts nor the government tend to favour domestic companies over foreign ones, and there has been no expropriation of foreign assets. Any alteration to investment recovery rights resulting from acts of excessive government authority may be appealed and are compensated in arbitration courts, which fully guarantee these rights. Early termination of contracts may occur by mutual agreement or if there is a grave lack of fulfilment of the contract. Contracts can be transferred without obstacle to facilitate company exits when necessary. In general, works are not started until a large part of rights of way is secured for the project. The procedure to obtain right of way is reasonably fast as  an expropriation law allows reasonable resolution of differences that may arise between the state and the property owner. Involvement of the State Defence Council imposes certain restrictions when contracting lawyer bureaus to represent the lessor. As opposed to Brazil, in Chile the risk that concessionaires will inappropriately take advantage of project renegotiations is higher than government expropriation risk. </t>
  </si>
  <si>
    <t xml:space="preserve">In Colombia, the legal system is reasonably able to ensure private persons’ rights as well as resolve conflicts. The laws do not permit contracts to be assigned to others, thus making it difficult for international investors to extricate themselves from a project in the event that this becomes necessary. There are no compensation clauses in the event that a contract should expire.  </t>
  </si>
  <si>
    <t xml:space="preserve">Ministries and Public Services generally lack the technical skills appropriate for developing concession projects. CONAM (Consejo Nacional de Modernización del Estado) does not have executive, advisory or technical capabilities.  Highway projects have been renegotiated or they have failed as a result of project deficiencies. For example, the concession of Quito airport, undertaken by the municipality in consultation with agencies responsible for service, was granted without conducting any environmental studies or permits. Another example is the Pan-American Highway, the contract for which had to be modified several times. This ultimately increased costs and raised the compensation provided by the government to the private sector, exposing the inadequacy of project submissions by the Ministry of Public Works. Planning in the water sector has been carried out more smoothly, but this largely due to a programme financed by the World Bank which has generated the appropriate technical capacity to develop projects and contract operations to municipalities. </t>
  </si>
  <si>
    <t>Government officials exhibit reasonable capacity for preparing the technical aspects of projects and any necessary expropriations. However, skills are inadequate in the areas of handling financial planning and certain contractual matters, such as contract supervision and design. Nevertheless, financial capabilities are slowly developing, as evidenced by the growing size of the Red Solidaria funds which have been financed through international sources and will be used to fund basic infrastructure projects.</t>
  </si>
  <si>
    <t xml:space="preserve">The government’s capacity for preparing and implementing concession projects is very limited. The concessions unit of the Secretariat for Communications and Transport does not have the staff necessary for establishing a concessions programme in the sector, nor do the finance and planning authorities have the capacity to provide a necessary counterweight. </t>
  </si>
  <si>
    <t>The Mexican institutional system is highly fragmented; each sector and level of government is responsible for planning, implementing and supervising projects. There is no council at the ministerial level that establishes policies and oversees the system. There is no agency to advise on financial or contractual issues, nor is there supervision of service standards and economic regulation. On the other hand, the Ministry of Finance must approve federal level projects, although the ministry still needs to formalise and develop evaluation procedures for fiscal risks and contingencies. This ministry is in charge of the management of the national investment system, which exercises a certain disciplinary role in project supervision and selection.</t>
  </si>
  <si>
    <t xml:space="preserve">The development of concessions for infrastructure services, specifically transport and water, is not a government priority. This explains the relative underdevelopment of the institutional framework. Planning and project preparation is to be done at the sector level by the agency responsible for providing the services. There is a need for a centralised advisory capacity and a board at a ministerial level whereby relevant ministries are involved in strategic decision making. An external regulator yet needs to assume  the responsibility of overseeing the fulfilment of the service quality commitments and checking that the contract modifications do not transfer rents to the concessionaire or cause indirect expropriation of the concession. </t>
  </si>
  <si>
    <t>PPP projects are incorporated into the Public Investments Evaluation System only at the end of the decision making process and only if it is necessary to approve any future government commitments. Deferred payments linked to concession investments are generally not accounted for properly. Therefore, there is a high risk that projects will be selected in order to improve the outlook on government budgets rather than for technical, quality-related reasons. Nevertheless, Act 448 of 1998 establishes obligations for state bodies to finance a Contractual Contingencies Fund depending on which government resources are at risk and the likelihood of a contingency occurring. In an attempt to mitigate perverse incentives and encourage concessions, Act 1169 of 2007 was passed requiring each project involving a commitment of future funds to estimate “future fiscal expenditures” and submit them for approval by the CONFIS council (Consejo Superior de Política Fiscal). This Council establishes maximum allocations for state bodies’ future annual expenditures and is obliged to report the size of fiscal resources committed in the budget for each year. These rules mean that any bias in the investment accountancy with a deferred payment can be corrected.</t>
  </si>
  <si>
    <t xml:space="preserve">Experience with the first generation of concessions has shown that the state has not been able to transfer commercial risk to the private sector as it should. The economic and bidding design used for the first generation of toll roads was poor, as projects set very high tolls without mitigation schemes for reduced traffic levels and at the same time the government overinvested in free transport alternatives. According to a World Bank study of infrastructure concessions renegotiations in Latin America during the mid 1980s-2000, Mexico renegotiated 46 out of 91 transport concession projects and 46 out of 58 water and sanitation projects (Guasch 2004).  This outcome was also influenced by the financial crisis of the mid nineties and the need to maintain projects' financial equilibrium. More recently, economic elements of contract design are still wanting; in the newer wave of roadway concessions the present value criteria has not been used despite the fact that this would reduce demand risk. Rather, the state has established as award criteria the highest payment to the government or the lowest government subsidy proposed by the bidder and do not guarantee income for a minimum traffic level. </t>
  </si>
  <si>
    <t xml:space="preserve">There is not enough experience to evaluate risk allocation effectiveness. Nicaragua has not granted concessions of transport and water infrastructure. In the energy sector, where there has been private participation in electricity generation, the risk of indirect expropriation through price freezing is deterring private investment. </t>
  </si>
  <si>
    <t>The private sector in the past has often transferred commercial risks to the state rather than taking responsibility for financial losses. International firms that have undertaken concessions have financed their projects with external funds. Risk hedging instruments have been used in a few cases.</t>
  </si>
  <si>
    <t xml:space="preserve">Argentina has suffered episodes of political instability in the recent past, usually triggered by economic stress. After setbacks since coming to power, the government is weak and with testing political and economic challenges ahead, there is a rising risk of further instability, which could end Cristina Fernández de Kirchner's term prematurely. </t>
  </si>
  <si>
    <t xml:space="preserve">Personal security is a concern for business because of a high level of violent crime, with a particularly serious problem of organised crime in Rio de Janeiro, São Paulo and other large cities. Political protests tend to be peaceful, apart from isolated clashes in rural areas, mainly between the landless workers' movement (Movimento dos Trabalhadores Rurais Sem Terra—MST) and local security services loyal to landowners. MST land invasions have tended to increase in frequency since 2003 but have little overall impact on property rights or the conduct of business. </t>
  </si>
  <si>
    <t>Security risk is low. However, since mid-2006, demonstrations by teachers, students, citizens of Santiago and workers (which were rare before 2006) have turned violent on several occasions. With the government's popularity at a low ebb and greater public appetite for protest, further disruptive demonstrations are a risk. That said, the risk of conflict remains low and localised. The labour force in general is peaceful, although union power has increased in recent years, and the incidence of strikes has risen, as Chile's bonanza has raised expectations of greater welfare among poorer citizens and outsourcing of labour has led to grievances.</t>
  </si>
  <si>
    <t xml:space="preserve">Surveys of Colombian business indicate that security risk is no longer the overriding concern it was a decade ago, although it still is a worry. Union representation is weak, at less than 10% of the workforce. The most militant unions are in the public sector and the oil industry; high unemployment has traditionally reduced union power in other sectors. </t>
  </si>
  <si>
    <t xml:space="preserve">At the heart of Panama's financial system, which contributes around 9% of the country's GDP, is the Centro Bancario Internacional (CBI, the International Banking Centre), which developed out of a 1970 banking law permitting offshore operations to be conducted under tight confidentiality and with minimal financial regulation. The banking sector's strong performance in 2004-07, after several years of decline, was spurred by the domestic and regional economy's improved performance. The sector's combined loan portfolio increased to US$44.1bn at end-2007, from US$31.5bn a year earlier. Domestic loans represented 45% of the total. The main sources of long-term financing (that is, with maturity terms of more than five years) are the development banks, whose supply of credit is limited to the lines they obtain from international official lending institutions. Major commercial banks hesitate to offer credit for three years or more. Financial leasing and corporate bond issues are common long-term infrastructure financing techniques. Developers of important infrastructure projects—such as toll roads, railways and port facilities—seek financing on international markets through Eurobonds and credits from multilateral agencies, although some syndicated loans have been constituted locally for port expansion. </t>
  </si>
  <si>
    <t>The concession law creates a Concessions Committee that is responsible for preparing and executing bidding procedures, as well as inspecting and supervising awarded contracts. Furthermore, sectoral laws mention different agencies in charge of planning and oversight of service quality. Despite this design, the system has not functioned properly in practice.</t>
  </si>
  <si>
    <t>There is a long history of political interference with the Supreme Court, and the judiciary has issued contradictory rulings in key areas. There is no neutral appeal system for rulings by concession regulators. The need for an effective appeal and arbitration system is high, as the state has repeatedly altered prices and service level in sectors like water, electricity, gas and roads.  Moreover, major currency devaluation at the beginning of the decade and the subsequent rate freezing caused nearly all contracted projects to enter into a crisis. This led to modifications in regulating mechanisms allowing public investment in leased highways and to the cancellation of important potable water and sanitation contracts. In 2008, Argentina had to face 34 indemnity claims in ICSID, which exemplify the magnitude of potential damage to foreign private investment by recent government policies.</t>
  </si>
  <si>
    <t xml:space="preserve">There are no restraints on foreign investment in concession projects. Nevertheless, laws establish a preference for companies with local capital. Projects are awarded by a public tender process. There is no obligation to publish contracts and their amendments. A limit has been established on any additional work that may be financed mutually with the contractor and whose overall scope reaches as much as 25% of the initial investment. If there is no agreement on compensation for additional works, the National Concessions Council (the regulatory body for public services) takes a final decision. Nevertheless, when discrepancies are resolved through negotiations between the council and the concessionaire, the regulatory body is not responsible for overseeing or reviewing the agreement, which may contain tariff adjustments for users. There is no obligation to tender out additional works. These may be negotiated with approval of the council. </t>
  </si>
  <si>
    <t xml:space="preserve">Changes in laws in the last 4 years established new requirements for public bidding; specifically, law 240 from 2006 established new norms of transparency for public purchase, public works and concessions projects.  Even though this law does lay out transparency rules, in practice processes remain opaque. Publication of contract modifications is not necessary. The rules of reciprocity and rules on promoting national industries established by the Law of Public Purchases effectively restrain participation by foreign companies, and national companies tend to form consortiums. In practice, most public investment and concession projects are awarded by means of a bilateral negotiation process, which stands in the way of transparency. </t>
  </si>
  <si>
    <t>Although the Supreme Court is regarded as being reasonably independent, the judiciary is weak and prone to corruption. The national business lobby has won tax and regulatory concessions and overt discrimination against foreign companies is minor. The entry into force of DR-CAFTA in March 2007 provides increased protection against such discrimination. Yet on a more general level, the risk that a contract will not be enforced remains moderate, making it difficult to enforce PPP contracts with the state. Nevertheless, in the case of the concession of the highway to Samaná, in spite of tolls’ costliness the contractor was able to charge the tariffs promised. The government also complied with its contractual obligations despite the fact that the project was fundamentally funded with a minimum traffic guarantee far in excess of real traffic volumes (which resulted in a hefty ex-post contract subsidy). Yet in this example the concessionaire had a MIGA-backed guarantee on government obligations, which is not always the case.  In the case of the highway concession Codacsa to La Romana, important conflicts have arisen related to the obligations of both public and private parties and caused postponement of committed investment. In other sectors such as electricity, companies have had difficulties recuperating service costs and as a solution have resorted to what is known as “financial rationing”, because the generators only dispatch what is actually paid by the electricity generating companies. The courts have not endeavoured to enforce such contracts, which is a reflection of the country’s the moderately poor contract enforcement environment.</t>
  </si>
  <si>
    <t xml:space="preserve">In general, PPP projects are assigned after a bidding process has considered a set of weighted economic factors. Publication and advertisement of contracts and their modifications is part of this bidding process. Foreign companies generally do not face discrimination. Limits to contract adjustments have been established. Legislative Decree 1014 (May 16 2008) fosters private investment in public services, primarily water/sewage, electricity, natural gas and telecommunications, by reducing bureaucracy. Title III of the law states that permits for building, expanding or maintaining public services will be granted within 30 days. This clause is linked to the Administrative Silence Law (Law 29060, July 7th 2007) that states that permits and other requirements for investment are automatically granted if the corresponding authority does not issue a response, positive or negative, to the requests within the specified period (i.e., administrative silence). The government’s policy of administrative silence, combined with extremely short decision-making periods, reduces the effectiveness of the contributions made by bodies such as the Finance and Economic Ministry and other sectoral agencies, especially since the supervisory authority does not have the power to offer an opinion when changes in the contract are proposed. </t>
  </si>
  <si>
    <t>The country does have not much experience with PPP projects to offer a detailed rationale; however, the track record for using economic criteria to designate projects has been poor, and overall regulators only occasionally use efficient variables to award projects. Net present value analysis for future revenues of long-term road contracts has been used for project awards in some cases.</t>
  </si>
  <si>
    <t xml:space="preserve">Chile’s contract laws create an effective arbitration system for PPP disputes. A streamlined system resolves disagreements between the state and the private sector with reasonable speed. There also exists a conciliation mechanism that can be used prior to taking disputes to a court. In this system, an arbitration panel offers the possibility of reconciliation between the parties before it serves as a tribunal. The panel also manages the reconciliation phase prior to the jurisdictional phase. However, this mechanism has also increased collusion risk for contract adjustments. It has also increased the risk of contractors using the mechanism to obtain compensation post-contract. Moreover, this arbitration mechanism based on equity grounds (rather than procedures and agreement defined by law) is too flexible and tends to seek intermediate solutions to conflicts, promoting litigation (as it is often possible to get additional benefits to those established in the contract). Authorities have concluded that it is necessary to modify conciliation mechanisms in order to reduce incentives for litigation, protect the integrity of bidding procedures, and guarantee fairness for all participants and a level playing field. The draft law being discussed in Congress establishes a permanent independent experts’ panel as a pre-court conciliation scheme. It also modifies the mechanism to base  arbitration on law and contracts, which strengthens transparency and respect for tendering conditions. However, there is no clarity regarding politicians’ commitment to pass these modifications. </t>
  </si>
  <si>
    <t xml:space="preserve">Because no legal rules exist regarding concessions (except those of a general nature established in the constitution), the details of the process for resolving state and private sector controversies must be established by each individual project contract. However, the Acquisitions Act does state that any litigation between the state and private bodies and persons must be resolved by direct negotiations in the first instance. Any unresolved issues shall be submitted to an amicable mediation process. This applies to public works and it can be considered as the basis for concession contracts. Reconciliation and arbitration proceedings are beset by high collusion risks that affect public interests.
</t>
  </si>
  <si>
    <t xml:space="preserve">The Constitution requires that any disputes resulting from unilateral actions by the government be submitted to the Administrative courts. Technical matters may be addressed through amicable commercial mediation proceedings. The courts generally do not have the capacity, independence or speed to resolve complex technical problems. Commercial mediation proceedings (for example, through the Chamber of Commerce) can be faster, but may pose risks to the public interest. </t>
  </si>
  <si>
    <t xml:space="preserve">Uruguay has not created an institutional framework that can facilitate competitive or efficient private investment in infrastructure. The port sector is the most developed, albeit with an inconsistent institutional framework. Port authorities concession out specific terminals and encourage private competition for the right to provide services. However, the Port Authority of Montevideo has been transformed into a firm whose shares that have been sold to the private sector (up to 40% of total value), confusing the regulatory role with the firm role in an area where the firm has monopoly power. In the transport sector, a public firm was created to control a significant share of the road network (Corporación Vial del Uruguay); like the Port Authority of Montevideo, it can incorporate private capital and is not subject to a regulatory counterweight. Once completed, the roadway concessions now taking place may be incorporated into the Mega Concession system. The Ministry of Transport and Public Works consolidates various responsibilities under its authority, as it must set policies in the sector, execute public investment for projects and regulate transport services .In the drinking water and sanitation sectors, the constitutional changes present a significant obstacle for structuring concession projects. In the drinking water sector, the private concessioning process has been discontinued, and the state firm OSE (Obras Sanitarias del Estado) and the municipality of Montevideo have the responsibility for all water services throughout the country. The powers of the electricity regulator URSEA (Unidad Reguladora de los Servicios de Energía y Aguas de Uruguay) have been extended to water in the hope that this body will exercise a supervisory role for service quality. </t>
  </si>
  <si>
    <t>Criteria used to award lease contracts are mainly economic, although technical criteria are also considered. Yet the bias in favour of economic criteria, such as rate quotes for services or short-term subsidy offers to end-users, is not necessarily the most effective method, especially in the case of highways and airports. Another problem is that firms selected for a second round of bidding may engage in tenders that are conducted aloud in an auction-like style, after economic offers have been submitted in writing, reducing the transparency and objectivity of the bids established through the latter method in the first round.</t>
  </si>
  <si>
    <t xml:space="preserve">In recent years, the Contracting General Co-coordinating Office has used the net present value criteria as the single variable for awarding contracts in the transport sector, once experience and technical quality requirements have been met. Despite the limited supervision of contract renegotiations, the selection of higher quality project bids over those with larger economic offers to the government and better political sway prevents later complications to some extent. The contract awarding mechanism is very transparent, and there is adequate publicity of contracts and contract modifications. A similar situation exists in the sanitary and port sectors, where records of project bidding schemes and process transparency are spotless. </t>
  </si>
  <si>
    <t xml:space="preserve">The private sector has the right to arbitration for technical disputes, but disputes involving unilateral government actions must be handled in tribunals. There are no ad-hoc pre-judicial resolution mechanisms. The perceived lack of technical competency and independence of the tribunals, as well as their mismanagement, generates much risk for projects. Peru is a signatory of the International Centre for Settlement of Investment Disputes (ICSID) and the New York Convention for dispute resolutions. </t>
  </si>
  <si>
    <t>There is no explicit dispute resolution system for PPPs. However, in Trinidad &amp; Tobago the High Court of Justice has jurisdiction over all matters involving sums in excess of TT$15,000 and can grant equitable relief such as acclamation injunctions and public law remedies. Steps are currently underway to modernise its procedures, and new Rules of Civil Procedure with case management provisions and docketing of matters came into effect in September 2005. Trinidad and Tobago is a member of the International Centre for the Settlement of Investment Disputes (ICSID), which facilitates reconciliation and arbitration of investment disputes between contracting states and nationals of contracting states. Trinidad and Tobago has also ratified the New York Convention on the Recognition and Enforcement of Foreign Arbitral Awards, which facilitates the registration and enforcement of foreign arbitral awards between contracting states.</t>
  </si>
  <si>
    <t xml:space="preserve">Uruguay’s concessions law does not establish arbitration as a mechanism for resolving controversies. Justice tribunals must be used to resolve disputes with the state, and although these tribunals have reasonable levels of independence processes are slow. </t>
  </si>
  <si>
    <t xml:space="preserve">During the ten year period up through 2007, El Salvador has not had any experience in transport or water concessions or with public works more generally. Tender processes and mechanisms have low transparency despite the fact that public purchasing law requires tenders to be conducted in a competitive manner. For example, financing discussions with the Japanese government for a project proposed in September 2007 to renovate El Salvador’s international airport was still underway as of early December 2008, even though the French government had already financed the master plan with US$500m. The bidding process for carrying out the expansion is not expected to be concluded until mid-2009, but as of December 2008, a final date to close the bid was not certain. </t>
  </si>
  <si>
    <t xml:space="preserve">Tender processes do not create the conditions for fair competition; they are highly subjective and lack transparency. In the case of tenders for the ring-road project around Guatemala City and the Northern Strip, the deadlines for submitting bids were inadequate to generate proper competition. </t>
  </si>
  <si>
    <t>Mexico requires that all federal-level projects be tendered, although large projects are negotiated directly in certain cases. In general, the bidding process involves ample public notification, even though contracts and their modifications are not always public. There is no obligation to tender or bid out contract adjustments, although the PPS legal structure prevents additions to PPS contracts. In the case of concessions, additions are financed with contributions from users, although tariff conditions can be modified without independent mechanisms to ensure transparency.  The Public Comptroller’s office conducts audits, but staff members often do not have the technical knowledge to investigate contracts from a regulatory perspective. At the municipal level, the degree of transparency when private-sector participants are involved is low. Indeed, in many cases projects are negotiated with the private sector, and the Municipal Councils do not exercise an adequate supervisory role. Contract changes are common, but without safeguards for equity or transparency.</t>
  </si>
  <si>
    <t xml:space="preserve">Regulations are not explicitly biased against foreign investors, neither in the road concessions law nor public contract law. All sectors require public bidding for projects of a certain size and complexity.  However, in the port sector the country has had difficult experiences with concessions, and one project failed due to insufficient technical competency. The public works sector does not benefit from good credibility in terms of transparency, and the private contracting companies are severely undercapitalised, which leads to a complex relationship with the state. </t>
  </si>
  <si>
    <t xml:space="preserve">The Ministry of Transport’s concessions unit, Instituto Nacional de Concesiones de Colombia—INCO), plans, carries out studies and administers and supervises contracts. There are no institutions that provide a counterbalance to this unit; contracts or any modifications to them are not published and there is no independent regulatory body that oversees service quality. On the other hand, municipalities and regional departments may also grant concessions with approvals from their corresponding legislatures; all of the functions of implementation and supervision are concentrated in the same decentralised body. The Treasurer and the Budget Office, as well as the Planning Board, in reality do not play a significant oversight and filtering role in sector initiatives. </t>
  </si>
  <si>
    <t xml:space="preserve">Powers and attributions of PPP bodies in Costa Rica are not clearly assigned, despite the fact that the institutional setup and design would suggest a satisfactory framework. This generates vacuums, conflicts of interest and co-ordination problems between agencies. For example, the National Highways Council does not take part in formulating road projects, awarding them or controlling construction. However, it is the only principal with the power to expropriate land. Meanwhile, the National Concessions Council controls and supervises contracts. Furthermore, regulatory bodies must ensure that tariffs are correctly applied, but they cannot judge the reasonableness of tariff changes for additional works. On the other hand, the Comptroller, who is responsible for making sure that public acts are abided by, is involved in questioning aspects concerning policies or management. </t>
  </si>
  <si>
    <t>In Colombia, the Supreme Court is impartial and well respected while the lower levels of the judiciary and civil service are susceptible to corruption and intimidation. The concession mechanism (Act 80) establishes arbitration proceedings to resolve conflicts between concessionaries and the state. This scheme, together with the obligation to keep concessions financially balanced in the event of any unforeseen economic conditions, has created a very favourable and flexible system for contractors. It effectively enables a project’s commercial risks to be passed on to the state, irrespective of what has been explicitly established in contracts. The system lacks any sort of technical dispute resolution system.</t>
  </si>
  <si>
    <t xml:space="preserve">The legal environment in Costa Rica is favourable to business. The judiciary is independent, and it is highly unlikely that future governments will violate this well-established provision of the Constitution. However, the problems of the slowness and complexity of the judicial process are not expected to be solved soon. Controversies between the state and concessionaries must be resolved by national courts and the alternative mechanisms established in 1997 by Laws 1707 and 7715. These laws set up dispute resolution mechanisms to be used prior to going to court. Once the arbitration option has been chosen, only extraordinary appeals may be made, although the law also establishes that only matters concerning technical issues may be submitted to arbitration. To challenge unilateral actions by the government, the use of national courts is mandatory. Although arbitration mechanisms are consistent with international proceedings, they follow equity grounds and are flexible in nature, creating the possibility of resolving conflicts through amicable deals between the concessionaire and the state. This method is not appropriate for settling conflicts that originate from a public tender process. </t>
  </si>
  <si>
    <t xml:space="preserve">The Ministry of Transport is the authority responsible for deciding investment in the sector; even so, the Ministry of Finance and Planning plays a fundamental role in the selection of concession projects. In the early 1980s, a national investment system was established and administered by the Ministry of Finance and Planning, which has been strengthened as part of the planning and proposal process.  However, the evaluation processes are less standardised than in the most developed Latin American countries. In the case of key concession projects, such as the Highway 2000 program (Kinston-Montego Bay), there is no proper economic evaluation of the full project, with the risk that some projects will become “white elephants". This risk remains despite the creation of the National Road Operating and Constructing Company (NROCC) in 2002 to handle the preparation and bidding of concessions for Plan Highway specifically. The first phase of the Highway 2000 project has enough traffic to justify the investment, and  the social evaluation of the project  is available online. The remainder of the programme is projected to have lower traffic volumes and very high construction costs, making a full-fledged feasibility analysis essential before undertaking it. For each project proposal, the Ministry of Finance and Planning only evaluates the budget impact over the next three years. There are no budgetary accounting standards to evaluate project contingencies, nor are such contingencies included in project considerations or planning. </t>
  </si>
  <si>
    <t xml:space="preserve">Responsibility for the concessions management process is excessively concentrated in the hands of the executive secretariat of the National Concessions Council. However, this secretariat has limited technical capacity, its directors are frequently changed and boasts few qualified personnel. This results in poorly prepared projects that generate multiple conflicts with concessionaires in the long-term. </t>
  </si>
  <si>
    <t xml:space="preserve">There is limited capacity at the planning offices of the Secretariat for Transport and Public Works when it comes to formulating PPP project plans. Nevertheless, the Viadon programme involves a concession of a network of highways and places great emphasis in recouping and maintaining the standard of the roads, which is always a significant issue in the country. This is a well-designed project and is tailored to actual demand. However, serious restraints exist regarding the financial aspects of the contract. One big bottleneck is that most projects are propelled by a unit called OPRET (Oficina Para el Reordenamiento del Transporte)  that reports to the Presidency. It has recently suggested and called tenders for the concession of a new line of Metro without any prior reasonable technical studies concerning demand. The first line of Metro in Santo Domingo transports one third of the forecasted demand.  This is exemplary of the lack of technical capacity of OPRET and the bodies involved in many of the country’s proposed projects. </t>
  </si>
  <si>
    <t xml:space="preserve">Government effectiveness has been eroded by the pursuit by successive administrations of their own interests when in power and by endemic corruption. This has complicated policy formulation and the implementation of programmes. Despite a tightening of the mechanisms for appointing qualified personnel to the top posts of key institutions, an improvement in government effectiveness is hampered by the president's limitations in mustering the level of political support in Congress necessary for institutional strengthening. Progress is also slowed by scarce fiscal resources. Financial reforms and international assistance will help improve supervision and regulation in the banking sector, but concerns persist over enforcement capability. Addressing corruption, which remains widespread, and tackling rising crime are formidable challenges. </t>
  </si>
  <si>
    <t xml:space="preserve">Honduran politics are notoriously open to corruption, and legislation is slow to pass through Congress. In recent years legislation has been held up in Congress by factions within the major parties. Governments tend to lack a congressional majority so rely on support from minority parties to pass legislation, which can slow reform. Government attempts to pursue liberal, pro-business policies are sometimes blocked by vested interests in the legislature. The authorities' desire to maintain popular support militates against fiscal reform. Some judicial, financial sector and tax reforms have been passed and there is a general consensus among the main parties of the need to tighten political accountability and transparency further and deepen financial sector reform. The central bank has maintained an independent stance, which has shored up investor confidence. </t>
  </si>
  <si>
    <t>The government has limited capacity for project preparation and implementation. That said, the existence of the Superintendency implies that there exists some capacity for contract monitoring and investigation.</t>
  </si>
  <si>
    <t xml:space="preserve">Capital markets are underdeveloped. The number of companies trading on Paraguay’s first stockmarket, the Bolsa de Valores y Productos de Asunción (BVPASA), rose from five in 2004 to ten in 2005. In 2005, for the first time, government bonds were launched on the market, at the value of US$167m. At end-2006 there were 33 insurance companies licensed to operate in Paraguay. The top 12 companies account for more than one-half of all premiums. Companies generally protect themselves against risk through reputable international reinsurance firms.  Paraguay has not done a pension reform as other Latin American countries; therefore, the size of the asset managed by private institutional investors is very small. </t>
  </si>
  <si>
    <t>Government effectiveness is aided by stable government majorities, which have facilitated passage of the government's policy agenda and by consensus across the political spectrum on the maintenance of Jamaica's pro-business environment. A number of reforms over recent years have simplified regulations, improved public-sector procurement policy, eliminated constraints on investment and significantly reduced red tape. This is reflected in the World Bank's 2008 Doing Business report, where Jamaica ranks 11th out of 178 countries for ease of starting a business. There have been very few scandals over public corruption or mismanagement in recent years, but accountability is still a concern. Moreover, within the private sector extortion (linked to criminal dons) is a real problem for many companies, particularly in the construction industry and in the retail trade.</t>
  </si>
  <si>
    <t>Since 2000, Mexico has moved from a system in which political power was highly concentrated in the presidency to one in which the legislature and the state governors have been empowered and the executive weakened. This shift has exposed institutional weaknesses that impair political effectiveness. Once again, no single party has a majority in the Congress elected in 2006. Mr Calderón of the Partido Acción Nacional (PAN), who took office at the end of 2006, faces the same challenges in pushing his agenda through Congress as his predecessor, Vicente Fox. Although governability initially improved under Mr Calderón, looming mid-term elections in July 2009 have since slowed the legislative agenda. Several initiatives have been put forward to tackle pervasive corruption. Advances will be slow, but such efforts may receive impetus from growing media coverage of misconduct. The influence of interest groups remains prevalent despite various efforts to promote more transparent rules.</t>
  </si>
  <si>
    <t>According to data from the World Bank, in the past ten years the Dominican Republic has had a total of 7 projects across the water and transport sectors; however, these were exclusively in the transport sector. Across the four major infrastructure sectors (i.e., water, transport, energy and telecoms), transport concessions represented 58% of all projects. (Figures do not include management and lease contracts or divestitures. Please note that numbers do not necessarily match explanations for other indicators in this index due to different counting methods and time frames.)</t>
  </si>
  <si>
    <t>According to data from the World Bank, in the past ten years Ecuador has had a total of 12 projects in the water and transport sectors. Across the four major infrastructure sectors (i.e., water, transport, energy and telecoms), transport concessions represented 61% of all projects and water represented 6%. (Figures do not include management and lease contracts or divestitures. Please note that numbers do not necessarily match explanations for other indicators in this index due to different counting methods and time frames.)</t>
  </si>
  <si>
    <t>According to data from the World Bank, in the past ten years Jamaica has had a total of 2 projects across the water and transport sectors; however, these were exclusively in the transport sector. Out of the four major infrastructure sectors (i.e., water, transport, energy and telecoms), transport concessions represented 50% of all projects. (Figures do not include management and lease contracts or divestitures. Please note that numbers do not necessarily match explanations for other indicators in this index due to different counting methods and time frames.)</t>
  </si>
  <si>
    <t xml:space="preserve">In 2001 and again in 2008 Jamaica improved its procurement procedures for public purchases of goods and services with policies in its “Handbook of Public Sector  Procurement Procedures.” This framework addressed traditional public works but did not directly reference processes meant for PPP projects. Jamaica has eliminated regulatory clauses that establish preferences for domestic firms over foreign ones. Indeed, projects of a certain size and complexity are pursued through international appeals, and foreign companies are often the primary bidders. Under the Anglo Saxon legal system, the renegotiation process is not regulated, a fact that introduces an enormous amount of flexibility and government discretion into the process. To guard against excess political discretion, agencies and laws—such as the Fair Competition Act (1992) and the Corruption Prevention Act (2003)—have been created to deter bias. Concessions in the highway, port and airport sectors have progressed with the help of improved supervisory capabilities in bodies separate from, but linked to, the Ministry of Transport and Public Works, which is responsible for supervising these entities. </t>
  </si>
  <si>
    <t>According to data from the World Bank, from 1997-2006 Trinidad and Tobago has had only one build, own and operate project. This was in the water sector. Across the four major infrastructure sectors (i.e., water, transport, energy and telecoms), this project represented 25% of all projects. (Figures do not include management and lease contracts or divestitures. Please note that numbers do not necessarily match explanations for other indicators in this index due to different counting methods and time frames.)</t>
  </si>
  <si>
    <t xml:space="preserve">In principle, Peru has the necessary checks and balances in its institutional framework for infrastructure concessions. However, these systems do not always work well. The investment promotion agency, ProInversión, which is responsible for transactions and project promotions at a federal level, does not play an effective role in supporting regional projects. (Fonace handles ProInversión’s role for public firms.) The transport regulator is responsible for evaluating service quality agreed to in the contract, although its role could be strengthened if it helped to define these standards. The Superintendency of Sanitation Services has been created to supervise the operation of concessions (particularly service quality). There is an important concession in the water sector in Tumbes, and there are possibilities of expanding the system. The Ministry of Housing and Urban Works is developing the capacity to advise regional and municipal entities in this area. The legal changes introduced in 2008 are aimed at reducing the bureaucracy that delays the concessions process. However, the law of administrative silence, which automatically grants investment approval if an authority does not issue a response within a specified period, reduces the ability to influence the selection and adjustment decisions for projects. Furthermore, despite the existence of checks and balances, the modification of contracts seems very arbitrary. </t>
  </si>
  <si>
    <t xml:space="preserve">All privatisation decisions must go through the National Management and Strategic Investment Office, instead of the Divestment Secretariat. Previously, the Divestment Secretariat reported to a minister and then to the Prime Minister, but currently the National Management and Strategic Investment Office reports directly to the prime minister. The office is not independent, as its mandate is to represent the government and uphold government policy. However, the office does partner with independent consultants during the bidding and selection process. The enactment of the Fair Trade Act in 2006 creates some additional checks and balances on government decisions. Yet the underdevelopment of proper concession processes and agencies is the main challenge for PPP development in Trinidad and Tobago; furthermore the volumes and size of potential concession projects may not be sufficient to motivate the development of the appropriate design, evaluation and oversight capacities. </t>
  </si>
  <si>
    <t>El Salvador has an investment evaluation system that orients public investment. However, concession decisions are the exception, as these are tied to political gerrymandering; political deadlock has prevented developing water, port and airport concessions.</t>
  </si>
  <si>
    <t xml:space="preserve">Concession projects are part of a process that is highly political. Generally speaking, there is no system for accounting of government contingent liabilities or comparative analysis of concession projects with public projects. Neither are there rules for accounting for deferred payments associated with investments that are in line with accounting for public investments.  </t>
  </si>
  <si>
    <t xml:space="preserve">Government regulations for evaluating public investments theoretically apply to concession projects, but in reality such considerations do not have a strong influence over decisions for public-private partnerships. An established system for assessing passive contract contingencies does not exist, and subsidies for the investment component of concession projects are not allowed. </t>
  </si>
  <si>
    <t>Mexico has a national investment system which is overseen by the Ministry of Finance. The law requires cost-benefit analysis to be conducted when considering public investment projects and concessions. At the federal level, investments in infrastructure are planned for each presidential term.  This process still has a political component that involves negotiation with state and local stakeholders, which reduces the profitability of investments. In the case of road concessions, free alternatives to expensive toll road systems lead to low profitability. There is no evaluation procedure that compares PPP projects and public investment with regard to cost and value. The public accounting system is biased against public investment since debt from deferred payments for PPS is not accounted for in the same way as public investment debt. This is often the fundamental consideration when determining investment modalities. In the water sector, decisions are typically influenced by politics, tariffs do not cover the cost of conserving water systems, and private participation is very complicated.</t>
  </si>
  <si>
    <t xml:space="preserve">To a large degree, political factors influence decisions taken regarding concession awards. Although there is an evaluation system for investment in public projects, which the Secretary of the President oversees, this system has not been used to a large extent for decisions regarding concessions. </t>
  </si>
  <si>
    <t>Panama established the SINIP (Sistema Nacional de Inversión Publica), a national system for public investments, as an evaluation mechanism and oversight body for public investment decisions. The Ministry of Tourism and Finance is linked to the proposal process, which increases its effectiveness. However, this fairly effective framework does not apply to concessions. Procedures have not been established to evaluate contingent liabilities, and decisions for proposing projects are largely political.</t>
  </si>
  <si>
    <t xml:space="preserve">The Technical Secretariat of Planning is responsible for prioritising, monitoring and evaluating public investments in accordance with the government’s economic and social strategic plan. This agency reports directly to the president and assists the National Economic Coordination Council. The secretariat’s institutional capabilities are not well developed, however. Accounting practices are not appropriate and economic considerations such as cost-benefit analysis and comparing private investment with other investment options are occasionally considered but are not required. In practice, decisions regarding infrastructure projects are politically motivated, with limited economic discipline. </t>
  </si>
  <si>
    <t>According to data from the World Bank, in the past ten years the Guatemala has had a total of 2 projects across the water and transport sectors; however, these were exclusively in the transport sector. Across the four major infrastructure sectors (i.e., water, transport, energy and telecoms), transport concessions represented 17% of all projects. (Figures do not include management and lease contracts or divestitures. Please note that numbers do not necessarily match explanations for other indicators in this index due to different counting methods and time frames.)</t>
  </si>
  <si>
    <t>According to data from the World Bank, in the past ten years Honduras had a total of three projects in the water and transport sectors. Across the four major infrastructure sectors (i.e., water, transport, energy and telecoms), transport concessions represented 29% of all projects and water represented 14%. (Figures do not include management and lease contracts or divestitures. Please note that numbers do not necessarily match explanations for other indicators in this index due to different counting methods and time frames.)</t>
  </si>
  <si>
    <t xml:space="preserve">The National Investment Bank has the experience to oversee bidding processes and international participation. Regarding the technical aspects of projects (engineering, economic analysis, environmental studies), the weakest area is in the water and sanitation sector. There is also limited capacity in the transport sector, although the European Union and multilateral agencies have been supporting improvements among the entities that have regulatory and implementation responsibilities. </t>
  </si>
  <si>
    <t>The capacity for project planning and development is very limited at all levels of government. Resources are especially limited at the municipal level, which constitutes a significant bottleneck for implementing PPP programs. The efforts and expertise dedicated to supervision of PPP contracts are minimal. The limited human resources dedicated to public works focus on project preparation rather than oversight of service quality. The fiscal adjustment following the financial crisis of the 1990s led to a dramatic reduction in public investment; this reduced significantly the number of engineers working in project preparation at all levels of government</t>
  </si>
  <si>
    <t xml:space="preserve">There is low transparency surrounding the bidding and selection processes, and contract awards are often decided by political factors. There is an inadequate level of skills in the public sector to handle the technical details of project preparation, selection and planning. </t>
  </si>
  <si>
    <t xml:space="preserve">Panama’s three highway projects have been poorly prepared from an engineering, environmental and land-planning standpoint. The government has little capacity for project preparation and even less competence in properly awarding projects. This has forced concessionaires to carry out management, permit and planning studies, with the support of the Ministry of Public Works. The incentives for concessionaires to conduct their own planning studies in a well thought-out manner are low because it is easy to renegotiate contract terms after the project has begun. </t>
  </si>
  <si>
    <t>Concessions laws do not obstruct the use of arbitration to resolve disputes between the private sector and the government. However, arbitration procedures are not regulated. No legal framework exists to protect creditors or to ensure their rights to concession revenues. In May 2005, only several years after concessions were put in place, Law 512 was passed establishing the Reformed Rural and Urban Property Institute; although general in nature, this law would have allowed for mediation and arbitration rules which could be used for concessions disputes. However, the reform was never implemented and was declared unconstitutional in January 2008. General bankruptcy laws are not adequate to protect long-term investors. Potential investors must also carefully verify property titles before making purchases. Over 300 entities were sold under the administration of Violeta Chamorro (1990–96) and the Sandinista government of the 1980s confiscated thousands of homes, businesses and tracts of land without compensation; the resolution of these cases remains a divisive issue in Nicaragua. Comprehensive judicial reform designed to improve legal procedures and enhance enforcement of contracts and property rights is proceeding very slowly. When the state must compensate investors, disputes must be resolved by local courts which lack competencies and independence. Nicaragua is a signatory of the International Centre for Settlement of Investment Disputes (ICSID) and the New York Convention for dispute resolutions.</t>
  </si>
  <si>
    <t>The new constitution establishes that the state will encourage domestic and international investments and it will implement specific regulations for each sector. However, the new constitution gives precedence to domestic investment (Article 339), and direct foreign investment is subject to the National Development Plan. Strategic sectors could receive financing through public-private companies in which the state holds a majority stake (over 50%). In exceptional cases, the state may allow companies to be privatised in strategic sectors such as water and transport, but again foreign bidders will be at a disadvantage relative to domestic ones. Regardless of any changes to the legal framework for concessions, previous efforts to bring in investors or to award contracts for other infrastructure sectors (such as electricity and telecom) have failed repeatedly. Attempts by the last several administrations failed because of political resistance, legal difficulty or simply lack of investor interest.</t>
  </si>
  <si>
    <t xml:space="preserve">The public works tender system and the Acquisitions Act establish general requirements of non-discrimination and transparency during project tenders. Sector or concession-specific rules governing tender processes do not exist, however. Specifically, a number of basic infrastructure projects are being carried out under the administration’s Red Solidaria programme; projects include potable water systems, electricity installation and road improvement projects. </t>
  </si>
  <si>
    <t xml:space="preserve">Laws establish requirements for tenders and transparency, although exceptions often are the norm. In general, the infrastructure sector has a low level of transparency with regard to contract awards. Foreign investors, however, do not face discrimination. </t>
  </si>
  <si>
    <t>As part of the DR-CAFTA agreement, the Dominican Republic modified in 2006 the legal framework for public purchases, contracting of public works and concessions. It did this by establishing new transparency and public bidding requirements. Unfortunately these have not been well implemented in the past few years, as the enforcement of this new legislation has been especially weak in the infrastructure sector. Nor are the award criteria established in the Public Purchases Law optimal for highway concessions. For example, the present value of revenue is not included and the award mechanisms are arbitrary and opaque. For the sole highway project in which the government estimated minimum traffic to guarantee a project, subsidy transfers ended up being at least three times the toll revenue.</t>
  </si>
  <si>
    <t xml:space="preserve">Although policy administration is reasonably effective in most areas, serious concerns about corruption and mismanagement erode government effectiveness. Corruption is widespread at all levels and bureaucratic procedures delay court proceedings, reducing the accountability of public officials. Public pressure for the government to review procedures for public procurement and improve the legal framework are likely to result in some progress in the future, but the system of checks and balances is likely to remain insufficient to significantly reduce corruption. </t>
  </si>
  <si>
    <t xml:space="preserve">In Argentina, contract decisions have been highly politicised. During the nineties, when the majority of public services were contracted, the government favoured maximising short-term fiscal revenues over other bidding criteria. For example, highway contracts set 12-year project terms, with payments to the government as the main project award criteria. However, the Infrastructure Trust Fund creates reserves for future fiscal contingencies, which was a step in a positive direction. Yet toll charges were frozen as a result of the currency devaluation and the deterioration in Argentina's investment climate, which ultimately led to a general worsening of service levels. This service quality decline also had a spillover effect into other elements of concession projects, negatively affecting contract management decision processes especially. However the country's regions have a respectable degree of autonomy for awarding water concessions and have shown varied, though occasionally better, performance for this metric. </t>
  </si>
  <si>
    <t xml:space="preserve">Concession tenders in most infrastructure sectors have been negatively affected by a lack of transparency and the arbitrary choices resulting from the non-economic and non-technical factors which play a key role in decision making. This is especially the case for port projects. It is common for negotiations to be held after the tender in order to determine the conditions of the concession. Generally, there has been little competition in the bidding processes. Furthermore, the selected bidder is usually involved in a long process of negotiation on economic and service conditions. In part, this is due to the insufficiency of the studies presented during the bidding process. </t>
  </si>
  <si>
    <t>By constitutional requirement, disputes between the federal government and private sector actors must be resolved by the Contencioso-Administrativo tribunals, which enjoy a relative degree of independence. Only technical issues, such as disputes over construction techniques, quality of engineering, cost factors, and the quality of demand measures, can be brought to arbitration. Nevertheless, there is ambiguity over whether certain disputes belong to the courts or to arbitration, especially for decisions that involve political and judicial risk to government officials. Conciliation schemes to guarantee equity and transparency are not in place, and in practice disputes are often resolved by direct negotiations between parties, which avoids the use of tribunals. In the case of water services, the resolution system depends on the terms of each contract. If a municipality enters a concession directly, disputes are resolved by tribunals. However most PPP water projects are contracted by municipal companies, which have the power to establish ad hoc arbitration schemes. Mexico is a signatory of the International Centre for Settlement of Investment Disputes (ICSID).</t>
  </si>
  <si>
    <t xml:space="preserve">Law 1299 allows the use of arbitration for resolving concession disputes. Argentina is also a member of the International Centre for Settlement of Investment Disputes (ICSID), which allows foreign investors to make claims against arbitrary actions by the government. However, in 2004 an unprecedented ruling by the Argentinean Supreme Court determined that any arbitration related to Argentina’s "public policies" may be appealed at domestic courts, even if the parties have explicitly waived appealing. This damaged the credibility of dispute resolution systems in place to resolve disagreements between the state and contracting companies. It also increases the risk that domestic politicians and judges will be hostile to international arbitration agreements. </t>
  </si>
  <si>
    <t xml:space="preserve">Law 11079/04 establishes, for the first time, the possibility of arbitrating disputes according to the arbitration regulations established in Law 9307 of 1996. However laws do not regulate arbitration proceedings, allowing these to follow a free-flowing, consensus-based path which could transform the process into a discretionary and subjective one. Not surprisingly, there is a growing tendency to resolve contract disputes bilaterally, using arbitration rulings merely to validate, rather than oversee, informal agreements.  In addition to significant improvements that could be made regarding the nature of arbitration, other pre-court settlement mechanisms are only in incipient stages. Finally, Judicial Courts do not handle cases in a predictable way, moreover appeals to courts should be limited to extraordinary situations only. Dispute resolution mechanisms do not incorporate technical settlement options. </t>
  </si>
  <si>
    <t xml:space="preserve">Costa Rica has an investment planning system that each government undertakes seriously. The National Development Plan defines the strategic objectives of economic, social and sector policies.  In general, cost/benefit analysis is used in decisions concerning investments in public infrastructure sectors. No formal comparison of concessions with public investment options is required. However, there is enough clarity and technical agreement concerning which projects qualify for a concessions scheme. These are high-traffic highways, ports, airports and water and drainage services in high density and urban areas. There is no formal accounting system for contingent liabilities used by the Treasury. However, until now the state has effectively awarded and managed guarantees; a majority of projects are sustained by traffic guarantees that represent 70% of the expected cost of cash flows. Deferred investment payments are not accounted for in a manner consistent with public investment accounting. </t>
  </si>
  <si>
    <t xml:space="preserve">Recent reforms in the organisation of the state oblige the Secretariat for Economy and Planning to check the social implications of infrastructure projects. However, there is no obligation to compare concessions with public investments. Nevertheless, examinations of project implications on economic and social issues are not followed and the selection process is fundamentally political. A system does not exist for measuring contingent contractual liabilities associated with projects. </t>
  </si>
  <si>
    <t>At present, investment decisions and how they are financed at the central government level are eminently political. Sector-specific Ministries are responsible for these decisions and associated services undertaken for the projects and services. Only public or mixed enterprises (with a public majority stake) are allowed to provide public services or control strategic sectors. In exceptional cases, legislation allows the state to concede these areas to private enterprises (Article 316).</t>
  </si>
  <si>
    <t>The country does not have enough experience with PPP projects to offer a detailed rationale; however the country's one transport project during the 1997-2007 period was not cancelled or distressed. The score is based on the country’s performance in related areas, particularly the inadequacy of risk allocation considerations in the legal framework and the low project preparation capacity which makes the need for contract renegotiations more likely, though admittedly laws attempt to limit the scope of such changes.</t>
  </si>
  <si>
    <t xml:space="preserve">Peru’s PPP laws clearly establish a framework for distributing risk. This contrasts with the past perception that previous risk allocation efforts and the subsequent renegotiations have been excessive, as three out of five tranposrt concessions were renegotiated between mid 1980-2000 (Guasch 2004). More recent conflicts with concessionaires have also forced renegotiations for several projects since then. 
Currently, risk-allocation principles are related to a party’s ability to mitigate these risks. Compensation for changes in financial equilibrium is limited. Capital markets in the country are also developed enough to allow the use of local currency debt instruments for currency and interest-rate hedging. There is also a newly developing market to cover financial risk. Completion risk instruments are in incipient stages. </t>
  </si>
  <si>
    <t xml:space="preserve">Trinidad and Tobago has minimal experience with PPPs for the transport and water sectors specifically. The government's risk allocation track record for similar PPP projects in other infrastructure sectors is mixed. For example, contracts in the telecommunications sector were awarded successfully and led to a 40% annual growth in cell phones and new investments of over US$600m in two and a half years. On the other hand, performance has been mediocre for fixed lines and Internet access. This is in part due to the fact that the government has been unable to unbundle local loops, as too much power has been given to the incumbent company. </t>
  </si>
  <si>
    <t xml:space="preserve">The four roadway and port concessions transferred commercial risk to the State. The financial crisis triggered by Argentina’s default early in this decade severely affected Uruguay, and constituted an external shock of enough magnitude to endanger the viability of the original schemes that were negotiated. In the case of road projects, a net prevent value criteria was used in two projects to assign concessions, which permits the incorporation of demand risk factors. As is the case with the majority of countries in the region, projects have not used completion risk instruments to diversify project risk. </t>
  </si>
  <si>
    <t xml:space="preserve">The concessions law establishes two contradictory clauses. It first enables opportunism by the concessionaire by establishing a government obligation to maintain financial equilibrium in the face of unforeseeable changes in economic project conditions. On the other hand, the law explicitly states that it is the prerogative of the body responsible for leasing the public asset or service to establish a unilateral interpretation of the contract via an administrative act in cases of disagreement with the concessionaire. Furthermore, the law also allows unilateral modification of the contract for public interest reasons. In practice, the shaky independence of justice tribunals and the concentration of power at the central level tip the balance in favour of the government. This ensemble of factors has been systematically used to terminate contacts. </t>
  </si>
  <si>
    <t>According to data from the World Bank, in the past ten years Argentina has had a total of 27 projects in the water and transport sectors. Across the four major infrastructure sectors (i.e., water, transport, energy and telecoms), transport concessions represented 33% of all projects and water represented 20%. (Figures do not include management and lease contracts or divestitures. Please note that numbers do not necessarily match explanations for other indicators in this index due to different counting methods and time frames.)</t>
  </si>
  <si>
    <t>At the outset, various road concession projects were developed by leveraging the general framework established in public contracting laws. However, in 1999 a uniform, national-level framework was created for roads, ports, airports and water sanitation services (Law No 5.394). In this law, regions or municipalities were obliged to create an entity that would be responsible for guiding and carrying out the concessions process. This law also outlined bidding mechanisms, firm rights and government rights during the concessions process. Regions and municipalities can use this law to offer concessions in works and services within their respective sectors. Concessionaires’ rights outlined in the law include maintenance of financial equilibrium, where firms are allowed to solicit revisions to the economic regimen and term length. This clause allows for free transfer of risks to the state beyond what is specified in a particular contract. Unfortunately, the current government has also set back the concession process by centralising road development efforts and freezing (and later eliminating) tolls, leaving its financial obligations for concession projects unpaid. In the water drinking and sanitation sector, the 2001 Drinking Water and Sanitation Service Provision Law (Ley Orgánica para la Prestación de los Servicios de Agua Potable y de Saneamiento), was created to regulate the supply of these services through concessions and formulated a standard for auditing, monitoring and evaluating these services. The Superintendency and a National Office were made responsible for these tasks. In 2007 the law was changed to transfer the functions previously served by the National Office and the Superintendency to the state company Compañía Anónima Hidrológica (HIDROVEN). The clauses contained within this law apply to all drinking water and sanitation providers regardless of whether these are public, private or a mix of both. In both the water and transport sectors, there is a pull back from incorporating private capital. Venezuela returned to a model that integrates service provision with regulatory responsibilities. Also, there is an attempt by the central government to reduce the involvement of the regions and municipalities in infrastructure provision.</t>
  </si>
  <si>
    <t>Uruguay established a legal framework for public works concessions with Law No 15.367 in 1984. This framework is of a general nature, leaving project details up to each contract. The law permits investment in the transport and drinking-water sectors at various levels of government. When a 1992 referendum established that the majority of the population was against the privatisation of state enterprises, concessions became one of the few options for introducing private capital in infrastructure development. Using the 1984 law as a foundation, road concessions and a concession for a transport corridor in Rio de la Plata were developed in the nineties. A later law from 1991reorganised the port sector into regional firms and included the option of concessioning out specific terminals within the jurisdiction of each firm. In the water sector, a law allowed Obras Sanitarias del Estado (OSE),  the state firm, to award concessions in cities or specific regions. After the first concessions in Maldonado, however, a political movement forced a constitutional reform that made all hydrological resources subject to social considerations before economic ones and authorised the termination of any concession that threatened this principle. In 2001 the government developed a new road concessions system, called the Roads Mega Concession. In this scheme, the ministry created a National Road Company as the operator of more than one thousand kilometers of roads, although its network will be expanded to include other roads once their concessions expire. This company can incorporate up to  40% private capital and is responsible for contracting private construction companies for the development and maintenance of the network, and must obtain financing from the market or from government subsidies. In reality, this creates a quasi-state monopoly without any formal regulator to manage the main road networks. This is a radical shift from the road concessions that were originally implemented in Uruguay at the beginning of the 1990s. Current regulations require adherence to financial equilibrium and do not allow the use of arbitration mechanisms to resolve conflicts.</t>
  </si>
  <si>
    <t>Trinidad and Tobago does not possess a legal framework that specifically establishes concessions in the transport or water sectors. Public entities regulate ports and airports, and they develop activities on their own or through concessions. For example in 2006 a process was initiated to establish a private operator for the Port of Spain but a firm project award has not yet materialised, leaving the country as one of the few nations in the region that has not yet contracted out any of its airports using concessions. In the road sector, no toll roads have been contracted through concessions either. The Ministry of Works and Transport is responsible for planning the development of infrastructure in roads ports and airports. Infrastructure operations are the responsibility of sector authorities. In the water sector, the Water and Sewage Authority (WASA) serves as the country's water and sanitation authority and provider. Between 1996 and 1999  a management contract between WASA and a British Water Company was implemented as an interim step for dividing WASA and concessioning the operational part to a private operator and  turning WASA into a regulatory entity. However, this plan was ultimately discarded and only one investment contract for operation of specific services for water desalination was offered. This has kept WASA as the main operator for drinking water and sanitation. Nevertheless, the government of T&amp;T is working with multilateral agencies to create favourable conditions for such projects. A regulatory commission for public services (Regulatory Commission of Regulated Industries) was established in 1998 and private investment has been effectively utilised in the electricity and telecommunications sectors via concessions.</t>
  </si>
  <si>
    <t>Peru is in the process of improving its regulatory and legal framework for PPPs. A public-works concession law has been in place since 1996, and allows public works to be contracted out for highways, water sanitation works and airports. Without replacing the main concessions law, another series of laws were passed in 2008 to provide more flexibility regarding financing and risk-allocation options. President García signed the Regional and Local Public Investment with Private Participation Law (Law 29230, May 20th 2008), making it easier for the government to attract public investment by relaxing some of the conditions for approving disbursement of funds through the National Public Investment System (Sistema Nacional de Inversión Pública—SNIP). The change facilitates faster approval of water/sanitation, road-building and other public works projects that expand existing services. In addition to Law 29230, the administration passed legislation defining private investment in public projects. Legislative Decree 1012 (May 11th 2008) regulates the private sector’s participation in public infrastructure and services through PPPs, establishing risk-allocation principles according to each party’s ability to mitigate these risks. An earlier norm, Supreme Decree 104/2007-EF (July 19th 2007), approved guidelines for the provision of public services through co-financed concessions involving the government and private sector. This 2008 framework also regulates private investment and the participation of different government bodies in the project approvals process. The participation of ministries and national/regional services is established in the project preparation stage. The agency in charge of privatisations, ProInversión, will now concentrate on major concession projects, especially in infrastructure, by managing the bidding and contractual stages of federal projects. For example, in the transport sector, ProInversión planned to offer two highway network and regional port concessions in 2008. Road concessions had not been awarded as of March 2009, and the port concession experienced serious difficulties due to negative social opposition. The change in the role of ProInversión from promoting privatisation to promoting concessions reflects the fact that Peru no longer has major assets ready for privatisation as it did when the Privatisation Law (Decree Law 674) was implemented in 1991. Now Peru has to rely more significantly on the concession law of 1996 and its amendments of 2008 for incorporating private investment in infrastructure. Regional bodies oversee non-federal projects. Compensation for changes in financial equilibrium is restricted. It is allowed only in cases in which legal changes have specific impacts on the project. The supervision of the technical aspects of a project during the preparation and execution phases is handled by the sectoral authority. Since 1998 the supervision of service levels and tariff adjustments for transport infrastructure has been overseen by OSITRAN (Organismo Supervisor de la Inversión en Infraestructura de Transporte de Uso Público), and a more recently created sectoral regulator,  SUNASS (Superintendencia Nacional de Servicios Sanitarios) oversees these aspects of water and sanitation.</t>
  </si>
  <si>
    <t xml:space="preserve">The Concession Works and Public Services Law No 1618, passed in 2000, established the legal framework that allows the central government and government departments and municipalities to offer concessions and concessioned services. Concessions must be authorised by law, by departmental ordinance or by-laws. Once the work is authorised, it can be put out for concession by executive decree. The respective ministry is responsible for undertaking preliminary studies, qualifying proposals, and selecting and executing the contracting process through an obligatory public bidding process. The length of the concession cannot exceed 30 years. Risk allocation is addressed in Law 1618 in an ambiguous manner, although the country's Public Contracting law provides basic guidelines for concession negotiations. In practice, Paraguay has very little experience with concession projects. However, the Ministry of Public Works and Communication (MOPC- Ministerio de Obras Publicas) recently presented a tentative plan for future road-network concessions within the so-called Plan Triángulo. In the drinking water sector, Law No 1614 sets the legal framework and tariff structure for public service and provision of drinking water and water sanitation. This law specifies that public agencies will always be the competent authorities in this area and that delegation of service provision should favour municipal governments. The regulatory entity for sanitary services ERSSAN (Ente Regulador de Servicios Sanitarios) has final control over service provision, supervises the quality and efficiency levels of the service, protects the interests of the community and users, and audits and verifies application of the legal provisions in force. ESSAP (Empresa de Servicios Sanitarios del Paraguay) a public firm, provides drinking water and sewage in municipalities with more than 10,000 inhabitants (this accounts for 72% of the urban population). In 2002 unions and community organisations helped enact Law No 1932, which prevents the privatisation of public service firms, after the former water firm, Corposana, attempted privatisation. </t>
  </si>
  <si>
    <t xml:space="preserve">The Ministry of Public Works’ Law No 5 of 1988 regulates the creation of concession projects; this includes roads and airports. In the case when there are state-owned companies owning the infrastructure, private contract laws are used for these contracts as the lessor firms are the state-owned firms themselves. Neither the water nor transport sector benefits from oversight or supervision provided in the legal and regulatory framework. Ports have a different legal framework and have been covered through contract-laws approved by Congress, with an ad-hoc judicial arrangement for each port. The concept of financial equilibrium in contracts has often been used by road concessionaires to solicit substantial modifications to project contracts, resulting in the paralysis of important works (for example the Panama-Colón highway project). Law No 5 established compensation by offering public land rights to concessionaires. Conflicts over interpretation obliged the government to modify the law to allow compensation to concessionaries with public land. In September 2002 the Moscoso administration announced the creation of an autonomous state corporation to administer the Tocumen International Airport. The new entity, Aeropuerto de Tocumen, began operating in June 2003 with a seven-member board of directors, including representatives from the government and private sector. The state has established regional firms in the water sanitation sector, as well as a plan to create a regulatory body that would permit the sale of 51% of equity shares to incorporate private capital. Indeed, Law No 2 of 1997 established the legal and regulatory framework to incorporate private sector capital, but political difficulties have prevented implementation, and private capital has not been incorporated in these firms in a significant way. The public water company (Instituto de Acueductos y Alcantarillados Nacionales—IDAAN) was included in the privatisation process as a result of Law No 2 of 1997, but this sale was suspended following violent demonstrations in Panama City. The Moscoso government reached an agreement with the International Monetary Fund in 2000 to restructure the company, allowing private companies to take charge of billing, metering and other services. The National Assembly subsequently passed a law that reorganised IDAAN, creating a board of administrators and granting the company more financial autonomy. This restructuring left a regulatory vacuum in the water sector. </t>
  </si>
  <si>
    <t>Mexico does not have an integrated concession or PPP law for infrastructure sectors. The power to issue a concession or contract for infrastructure projects with the private sector rests with different legal bodies for each sector and level of government. State governments have their own legislation and procedures for approval. This heterogeneous framework is inflexible and difficult for promoting private-sector participation in infrastructure.  To correct this situation, PPP contracts, called Service Project Provision (PPS), have been structured by regulations contained in the Public Acquisitions Law of 1983. However, this is not adequate for infrastructure investment projects because it does not allow for project modifications. The law also establishes the concept of financial equilibrium, which forces the state to take on risks and increases ex-post opportunism. In the transport sector, federal law grants supervisory roles to the departments within the Ministry of Transport for all steps of every project. In the water sanitation sector, PPS contracts can be offered by municipal firms, which are also responsible for the supervision of each project stage. This sector is much atomised, since each municipality is responsible for service provision. In a few metropolitan areas, larger companies have developed to span several municipalities.  The preservation of the autonomy of the states and municipalities complicates the investment process.</t>
  </si>
  <si>
    <t>The Minister of Transport and Infrastructure is responsible for planning in the infrastructure sector. Nicaragua has a special PPP law for concessions for the road sector. Law No. 264 of 1997 established a framework for concessions where the revenues for tolls can be complemented by subsidies. Also under the law of the ENAP (Empresa Nacional de Puertos) the national port company can license specific infrastructure, according to 1997 regulations. In 1998 the Drinking Water and Sewage Law (Law 297) split the national water company into a regulatory agency (Instituto Nicaragüense de Acuaeductos y Alcantarillas—INAA) and an operating company (Enacal), a move that authorised the government to seek private investment in the sector and was considered a prelude to the eventual privatisation of Enacal. A public contracting law supplements this by establishing the requirement for public bidding for these types of projects. The regulations contained within the law consider the obligation to maintain concessions’ financial equilibrium. This obliges the concessionary to request adjustments when it feels that the financial equilibrium has been altered. In the case of projects which require subsidies for operations or investment, such subsidies must be approved by Congress. Projects which are self-sufficient do not require prior approval. The inability to commit future revenue flows from the project in favour of a third party (creditors) make project financing for private concessions almost impossible. The maximum term for concession contracts is 30 years. The Ministry of Transport and Infrastructure plays the contracting, supervising and economic oversight roles.</t>
  </si>
  <si>
    <t xml:space="preserve">There is no single, common legal framework that regulates concessions in the transport and water sectors; each sector has specific laws that authorise the private sector participation and that govern concessions. Under these individual laws, Jamaica has developed road, airport and port concessions in the transport sector. In 2002 the government passed the Toll Road Act to established the conditions for PPP projects in the road sector. The National Road Operating and Constructing Company (NROCC) was also created in 2002 to handle the preparation and bidding of concessions for Plan Highway 2000. The country has also developed concessions in the water sector, albeit on a minimal scale. The Parishes Water Supply Act permitted private participation in the provision of water services at the parish level (in the rural areas each Parish Council is responsible for providing basic services, including drinking water). The National Water Commission Act of 1980 outlines the operation of the National Water Commission, the entity responsible for providing water and sewerage in cities. The National Water Act of 2007 transfers oversight responsibilities for water quality and policy decision-making power  to the Ministry of Health and gives quality assurance responsibilities to operators. The Airport Authority Act of 1974 established the regulatory responsibilities of the Airport Authority and created a very general framework to delegate activities to the private sector. Later, in 2002, the Airport Economic Regulation Act granted authorities the power to regulate and designate a private operator for airports. It also outlines a general mechanism for granting licenses to airport operators and rights to levy charges. The Port Authority Act of 1972 established regulations for public ports and created the Port Authority of Jamaica, the primary institution responsible for the development and regulation of public ports, and allowed it the right to grant private licenses in very general terms. 
Overall, regulatory responsibilities between license-granting authorities and the national regulatory authorities are split depending on the sector. This produces a heterogeneous framework in which rules are flexible and subject to change. Furthermore, regulatory acts that establish the conditions for granting licenses to the private sector do so in general terms only, leaving out any references to risk allocation between the private operator and the state as well as the details of contract modification mechanisms. An example of the problems caused by this can be seen with Plan Highway 2000. The first phase of the plan, an 85km highway between Kingston and Sandy Bay, was awarded to a French company (Bouyguess) for a concession term of 35 years. The government contributed 25% of the investment as a subsidy to the special-purpose company, Transjamaican Highway Limited.  However, financing difficulties obligated the NROCC to go into debt to fund the project, ultimately causing delays and placing excessive risk on the state. 
Finally, there is a lack of political will to break the National Water Commission (NWC) monopoly, which owns most of the licenses in urban areas and is responsible for water service quality. For several years now, the government has been discussing the passage of a Water Supply and Sewerage Act with Congress which would separate the water regulatory role from the contract-awarding role. It would also eventually allow private operators in the sector to be supervised by the OUR. </t>
  </si>
  <si>
    <t>The 1983 Constitution and the Acquisitions Act of 2000 allow concessions to be granted for public services and works. However, they do so in general terms, and approval of Congress is required for each individual project. The concessions concept as defined in Nicaragua's legal framework is restrictive inasmuch that projects must be developed at the risk and cost of the contractor without any funds from public entities. Political polarisation also makes it virtually impossible to establish ad-hoc legislation or pass contract laws for specific projects. These two key factors make it extremely difficult to carry out any concession projects in the transport, water and drainage sectors. For several years, the government has placed a priority on developing concessions for the Ports of Acajutla and Unión yet the difficulty of obtaining legal approvals indefinitely delay any success.</t>
  </si>
  <si>
    <t xml:space="preserve">Article 130 of Guatemala’s constitution provides that the state should protect the market economy, prohibiting all types of monopolies and privileges that would restrict market freedoms. Guatemala does not have a general concessions law or a PPP statute, but the Ley de Contrataciones del Estado of 1992 establishes four articles of a general nature that permit tenders for projects under concession. The Constitution compels each contract, and any modifications of a contract, to be approved by Congress. The Constitution also establishes the mechanism for expropriating land and requires payment prior to taking possession, which makes it difficult to secure land for infrastructure projects. This allows land owners to postpone the transfer of land ownership and use for construction until price negotiations have fully closed, whereas ideally land occupation and price issues would be dealt with separately). Each contract defines the regulations of a concession, leading to regulatory inconsistency and uncertainty. Projects are subject to political negotiations that often delay approval or elevate costs for the government. Nonetheless, Congress has approved in the first instance a PPP law that could significantly improve the regulatory framework for private participation in transport, water and drainage infrastructure. </t>
  </si>
  <si>
    <t>The Honduran constitution mandates that concession projects be approved by Congress. The 1998 Promotion and Development of Public Works Law and a law that created the Superintendency of Concessions and Licenses as an entity dependent upon the Congress both establish regulations that facilitate concessions for transport and water/sanitation infrastructure projects. The regulations are, however, very restrictive in that they only allow the private sector to receive revenue from users. There is no provision for the state to fund part of the investment. The length of concessions is 22 years, generally too short to appeal to investors. With such restrictions in place, Honduras has only been able to pursue modest improvements in infrastructure through concessions. Moreover, the legal framework for acquisitions established the concept of financial equilibrium for PPP contracts, which allows the private sector to transfer risks back to the State. This occurred in the Tegucigalpa Airport concession and served to taint any future deals. It is hoped that a new framework law for transport will be introduced soon; the International Monetary Fund has asked the government to redirect public spending towards this priority area, as part of a new stand-by agreement approved in April 2007. The law would allow the private sector to obtain concessions to operate Puerto Cortes, the country’s main port. It was also hoped that the Defence and Promotion of Competition Law passed in 2006 would help open up both state-dominated markets and private monopolies, but by end-May 2008, however, this had not yet happened. The government continued to exert monopoly control in maritime ports, sanitation services, rail and water provision.</t>
  </si>
  <si>
    <t>Ecuador has experienced two key periods of development with regards to its legal and regulatory framework for concessions. In a first instance, the country passed a State Modernisation Act in 1993 to delegate public services to the private sector. This law included the transport, drinking water and drainage sectors. A National Council with ministerial powers was also established to supervise PPP processes. Additional laws building upon the 1993 Act were passed for specific sectors to further facilitate private participation in infrastructure. For example, port authorities were given the powers to tender specific terminals for private sector concessions. Highways, airports and water and drainage systems have also been contracted under the Act from 1993. Regulations within the law established that the economic equation of a contract must be maintained, paving the way for multiple contract renegotiations and excessive transfers of commercial risk to the state. Under this first framework, 12 concessions were granted in the transport and water sectors by regional governments. The new 2008 state constitution made significant changes to the previous frameworks, however. Article 314 states that government is responsible for public “universal” service provision, ensuring “fair” prices. Article 316 of the constitution states that "the state may, as an exception, delegate…exercising these services…out to private initiative". Article 318 points out that public drainage services and the supply of drinking water will be rendered exclusively by state-owned or community legal bodies. These constitutional rules make existing concession initiatives highly vulnerable to expropriation and unilateral contract changes, also decreasing the likelihood of developing new projects. The central government has already attempted to annul existing concessions such as the Port of Manta, the Quito airport and select drinking water concessions. These concessions have survived thanks to the efforts of regional governments to maintain current projects, though they have not be able to prevent the resulting investment paralysis.</t>
  </si>
  <si>
    <t>Costa Rica’s Public Works Concessions Act of 1998 enables the establishment and regulation of private investment in public projects and sectors irrespective of the government agency responsible for contracting out the service or asset. An executive secretariat in the National Concessions Council (Consejo Nacional de Concesiones- CNC, an autonomous agency under the Ministry of Public Works and Transport), bears the responsibility of preparing, tendering and supervising projects. The CNC executive secretariat is also in charge of monitoring project construction and operations. The Regulatory Agency of Public Services has some limited responsibilities regarding tariff modification. However, the bodies responsible for contracted public services which benefit from fiscal resources can vary. The law establishes a contractor’s right to be compensated in the event that a project’s financial situation changes. However laws do not clearly establish creditors’ rights to future concession project cash flows, a problem that generates risk for investors in cases of premature contract termination.</t>
  </si>
  <si>
    <t>The Dominican Republic does not have any specific concessions laws. All concession contracts must be approved by Congress, giving political considerations much influence over project selection and execution decisions. Once a project has been approved, it is regulated in general terms under the Law for Public Purchases and Acquisitions 360-06. This law establishes that each principal is responsible for supervising the various stages of a concession project. The legal framework compels regulations to be established for each contract, resulting in the instability of rules governing private participation. The law obliges the contract to explicitly assign the main risks of an infrastructure project to participant parties and requires financial-economic balance for projects, referencing a project’s internal rate of return (IRR). This implicitly transfers commercial risks to the state. Another downside is that no independent project supervision is required from entities other than the principal. On the more general lever, a fragmented system of public works supervision has been created, as the head of the agency responsible for public works has a Ministerial title and 50% of its funds come from the Ministry of Public Works. Congress is currently debating a Concessions Law that would reduce fiscal discipline and introduce additional inequities in the competitive environment. Nevertheless, at the beginning of 2009 the government also sent a new bill to Congress that would substantially improve the country’s regulatory framework, albeit without changing the legal requirement for guaranteed returns on investments often used to justify contract renegotiations.</t>
  </si>
  <si>
    <t xml:space="preserve">Colombia does not have any special laws for concessions. However the government did establish the power to contract out public services in the General Public Acquisitions Act (Act 80). At the same time, specific sector laws were passed, such as Law No 105 of 1993, to authorise different levels of government to commit funds for highways to facilitate development through concession projects. In practice, regulations change as a result of resolutions handed down by the Economic Council of Ministers (CONPES) and as a result of the contracts themselves. Act 80 compels the state to re-establish the balance of a project’s economic equation, as defined in a project’s contract, “when unforeseen factors arise that alter it or which cannot be blamed upon the concessionaire”. The silence of Act 80 in key contract renegotiation areas compelled public bodies to establish regulations by decree. This meant that significant changes were made to the regulatory framework over a period of only a few years. For example, Decree 4533 of 2008 issued by the Ministry of Transport allows contractors to submit substantial modifications to concessions granted, allowing them to expand on an existing concession, without any limits on deadlines or costs. Thus, it is possible to indefinitely extend a deadline and exploit state assets by means of a concession, without being subject to a fairly regulated tender. The complexities created by such decrees, along with the different regulatory and contracting powers at different levels of government, have thereby created a system where regulations do not properly oversee concessions. These difficulties are compounded by the fact that the law used to grant concessions was originally conceived for public purchases of goods and services and not for infrastructure investments. It also imposes obligations on applicant shareholders which prevent non-recourse contract financing, putting project financing at risk and burdening equity holders. Fiduciary mechanisms key to reducing risks for creditors are also constrained by regulations, further making project financing difficult. </t>
  </si>
  <si>
    <t>0=The granting agency awards projects based on subjective considerations and does not use objective, economic variables; 
1=The granting agency has a poor track record, but does consider economic factors with some limits to discretion; 
2=The regulator considers economic criteria to award projects although these are not always the most efficient and appropriate ones, and subjective factors still play an important role; 
3=The regulator has a good track record that could be improved (i.e. it uses economic variables but does not prioritise these over other factors); 
4=The regulator has an excellent track record and uses economic criteria in an effective, transparent and regular manner</t>
  </si>
  <si>
    <t>OPER03</t>
  </si>
  <si>
    <t>Regulators' risk allocation record</t>
  </si>
  <si>
    <t>"Has the allocation of risk between the state and private sector been successful in recent years? How effective has the use of guarantees and performance bonds for project risk diversification been?"</t>
  </si>
  <si>
    <t>0=Risk allocation is often handled inappropriately; 
1=Risk has been allocated properly in only certain occasions, as evidenced by high instances of contract renegotiation, and hedging and insurance instruments have been minimally used; 2=Risk is usually distributed fairly between the state and the operator, but renegotiations are still common and financial instruments such as insurance, guarantees and performance bonds are occasionally used; 
3=Risk has been fairly distributed and renegotiations have been moderate, and parties employ some financial risk hedging practices; 
4=Risk has been consistently allocated correctly between the state and the private sector to minimise renegotiations, with extensive and effective use of financial instruments</t>
  </si>
  <si>
    <t>OPER04</t>
  </si>
  <si>
    <t>MM</t>
  </si>
  <si>
    <t>OPER05</t>
  </si>
  <si>
    <t>0-4, where 4 = best and 0 = worst</t>
  </si>
  <si>
    <t>INVT</t>
  </si>
  <si>
    <t>Investment climate</t>
  </si>
  <si>
    <t>INVT01</t>
  </si>
  <si>
    <t>Political distortion</t>
  </si>
  <si>
    <t xml:space="preserve">Economist Intelligence Unit Risk Briefing Service and the World Bank Public Sector Ethics Index. </t>
  </si>
  <si>
    <t>How distortionary is the country's general political environment for the private sector?</t>
  </si>
  <si>
    <t>This indicator is a weighted average of the Economist Intelligence Unit's political stability and government policy effectiveness risk scores and the World Bank public sector ethics index. Scores range from 0-100, where 0=worst and 100=best.</t>
  </si>
  <si>
    <t>INVT02</t>
  </si>
  <si>
    <t>Business environment</t>
  </si>
  <si>
    <t xml:space="preserve">Economist Intelligence Unit Business Environment Rankings, Risk Briefing Service and World Bank Corporate Ethics Index. </t>
  </si>
  <si>
    <t>How attractive is the general business environment in the country for infrastructure projects, pay-for-service schemes and what is the level of corporate corruption?</t>
  </si>
  <si>
    <t xml:space="preserve">This indicator is a weighted average of the Economist Intelligence Unit's market opportunities and macroeconomic risk scores and the World Bank corporate ethics index. </t>
  </si>
  <si>
    <t>INVT03</t>
  </si>
  <si>
    <t>FINC</t>
  </si>
  <si>
    <t>Financial facilities</t>
  </si>
  <si>
    <t>This is the weighted sum of the following indicator scores: 
1) Government payment risk; 2) Maturity of capital markets; 3) Marketable debt; 4) Government support for low-income users</t>
  </si>
  <si>
    <t>FINC01</t>
  </si>
  <si>
    <t>Government payment risk</t>
  </si>
  <si>
    <t>FINC02</t>
  </si>
  <si>
    <t>Capital market: private infrastructure finance</t>
  </si>
  <si>
    <t>How available and reliable are long-term debt  instruments for infrastructure financing? Is there a developed insurance and pension market with useful products for infrastructure risk reduction? Are interest rate, exchange rate hedging instruments available?</t>
  </si>
  <si>
    <t>0=The markets for finance and risk instruments are underdeveloped or nonexistent, and only foreign sources provide project funding; 
1=The market for local finance is slowly developing, though most finance comes from international sources and risk hedging instruments are not robust; 
2=Some finance and risk instruments exist, though financing still mainly comes from foreign and multilateral organisations; 
3=The domestic market presents a large, reliable financing market but risk instruments are still developing in size and complexity; 
4=There is a deep, liquid finance market locally, as well as a reliable and large local market for hedging instruments</t>
  </si>
  <si>
    <t>FINC03</t>
  </si>
  <si>
    <t>Marketable debt</t>
  </si>
  <si>
    <t>Is there a liquid, deep local-currency denominated fixed-rate medium-term (5yrs+) bond market in marketable debt (that is debt that is traded freely)?</t>
  </si>
  <si>
    <t>0=There is no securities market for fixed rate financing of over one year;
1=There is a government securities market in place, though for short maturities only
2=The government is fostering a medium term market and it should be in place soon;
3=There is a medium-term (5yr+) debt market but only for public-sector (govt bond) issuers;
4=There is a medium-term (5yr+) debt market for both public and private sector issuers</t>
  </si>
  <si>
    <t>FINC04</t>
  </si>
  <si>
    <t xml:space="preserve">The country’s first and original concession contract law dates from 1967. It was modified in 1989 to allow states and municipalities to use it and also to regulate private project initiatives; since the early nineties, this framework has enabled over 10,000 kilometres worth of highways to be contracted to private providers as well as railway projects, ports, and sanitary services. However the application of and adherence to financial equilibrium principles was often used to re-negotiate contracts and obtain post-contract compensation for private sector operators. In 2000, a new law was passed to facilitate projects where the government finances over 40% of investment through deferred payments and private concessionaires provide services. Regulating entities were also established through sector specific laws for both transport and water projects to supervise tariff levels and ensure service quality. Additionally, Law 1299 of 2000 and Decree 678 of 2001 established an infrastructure development trust fund to guarantee future fiscal commitments to concessionaires. </t>
  </si>
  <si>
    <t xml:space="preserve">Brazil’s legal mechanisms for leasing state assets and establishing PPP projects are in effect at different layers of government; activities are regulated by various laws and regulations such as the 1995 Lease Law, the 2004 Private-Public Association Law (which extended contract lengths to 35 years), and individual laws in nine states. Contracts with mixed financing by users and the state are allowed, although any such projects where the state contributes more than 30% of resources must be approved by the Congress. The legal framework also roots itself in the 1988 Constitution, the Public Contracting Law of 1986, and a Public Tendering Law of 1993, which establish an “honest service balance” principle. This principle forces the state to compensate concessionaires in anticipation of changes in a project’s external conditions. It applies to the transport and water sectors, among others. General standards on contract modifications further make transferring commercial risks to the state possible, despite the fact that the law requires that risk allocation between the public and private sectors follow economic criteria. Fiscal responsibilities are also defined through a set of regulations preventing government administrators from using PPPs to transfer contingencies or improve the outlook of their fiscal obligations. Projects must be overseen at different stages of implementation, although supervisory responsibilities are not always assigned to the same entity in all cases.  For example, in some states contract supervision is the responsibility of state-level regulators; in others, it is the responsibility of the entity which legally authorised the private sector provision of the service. For federal-level transport projects, operations are supervised by the National Transport Regulating Entity (ANTT- Agência Nacional de Transportes Terrestres) and the Ministry of Transport is responsible for project planning and design. For water and sanitary services,  municipalities supervise projects.  </t>
  </si>
  <si>
    <t>SELECT COUNTRY</t>
  </si>
  <si>
    <t>INDICATOR RANKING</t>
  </si>
  <si>
    <t>SORT BY</t>
  </si>
  <si>
    <t>SELECT INDICATOR</t>
  </si>
  <si>
    <t>HIGHLIGHT COUNTRY</t>
  </si>
  <si>
    <t>COUNTRY HIGHLIGHT</t>
  </si>
  <si>
    <t>REGION_FILTER_ID</t>
  </si>
  <si>
    <t>REGION_HIGHLIGHT_ID</t>
  </si>
  <si>
    <t>HIGHLIGHT REGION</t>
  </si>
  <si>
    <t>REGION FILTER IF YOU NEED IT</t>
  </si>
  <si>
    <t>SORT ORDER</t>
  </si>
  <si>
    <t>REGION HIGHLIGHT</t>
  </si>
  <si>
    <t>TFORMAT</t>
  </si>
  <si>
    <t>2009 Raw data</t>
  </si>
  <si>
    <t>2009 Normalised scores</t>
  </si>
  <si>
    <t>2008 Raw data</t>
  </si>
  <si>
    <t>WEIGHTS</t>
  </si>
  <si>
    <t>Weight, %</t>
  </si>
  <si>
    <t>Category</t>
  </si>
  <si>
    <t>Indicator</t>
  </si>
  <si>
    <t>0-100, 100=best</t>
  </si>
  <si>
    <t>Delta</t>
  </si>
  <si>
    <t>IndiCode</t>
  </si>
  <si>
    <t>ParentCode</t>
  </si>
  <si>
    <t>Desc</t>
  </si>
  <si>
    <t>CORREL_X</t>
  </si>
  <si>
    <t>CORREL_Y</t>
  </si>
  <si>
    <t>COUNTRY_ID</t>
  </si>
  <si>
    <t>SHOW_OUTLIERS</t>
  </si>
  <si>
    <t>SHOW_LABELS</t>
  </si>
  <si>
    <t>Active</t>
  </si>
  <si>
    <t>X</t>
  </si>
  <si>
    <t>Y</t>
  </si>
  <si>
    <t>Convert blanks and errors to N/A</t>
  </si>
  <si>
    <t>slope</t>
  </si>
  <si>
    <t>INTERCEPT</t>
  </si>
  <si>
    <t>CORREL</t>
  </si>
  <si>
    <t>ANTICIPATED (to get outliers)</t>
  </si>
  <si>
    <t>Anti-Y</t>
  </si>
  <si>
    <t>Diff</t>
  </si>
  <si>
    <t>NON_HIGHLIGHT</t>
  </si>
  <si>
    <t>remove if region highlight, or active country</t>
  </si>
  <si>
    <t>HIGHLIGHT REGION (LABELS)</t>
  </si>
  <si>
    <t>INDIVIDUAL COUNTRY</t>
  </si>
  <si>
    <t>MAX</t>
  </si>
  <si>
    <t>MIN</t>
  </si>
  <si>
    <t>OUTLIERS</t>
  </si>
  <si>
    <t>INDI2_DD</t>
  </si>
  <si>
    <t>INDI2_ID</t>
  </si>
  <si>
    <t>SCATTER</t>
  </si>
  <si>
    <t>Y-AXIS INDICATOR</t>
  </si>
  <si>
    <t>VS</t>
  </si>
  <si>
    <t xml:space="preserve">Correlation coefficient: </t>
  </si>
  <si>
    <t>X-AXIS INDICATOR</t>
  </si>
  <si>
    <t>REGION FILTER</t>
  </si>
  <si>
    <t>0 - 100 where 100= best and 0=worst</t>
  </si>
  <si>
    <t xml:space="preserve">Weighted sum of indicator scores. </t>
  </si>
  <si>
    <t xml:space="preserve">Weighted sum of section scores. </t>
  </si>
  <si>
    <t>SECTION_ID</t>
  </si>
  <si>
    <t>Year on year (2009 minus 2008)</t>
  </si>
  <si>
    <t>YOY</t>
  </si>
  <si>
    <t>YOY Sign</t>
  </si>
  <si>
    <t>&lt;none&gt;</t>
  </si>
  <si>
    <t>(includes none)</t>
  </si>
  <si>
    <t>COUNTRY1_DD</t>
  </si>
  <si>
    <t xml:space="preserve"> </t>
  </si>
  <si>
    <t>Rating, 0-100 where 100=best</t>
  </si>
  <si>
    <t>0-4, 4-best</t>
  </si>
  <si>
    <t>higher=better</t>
  </si>
  <si>
    <t>lower=better</t>
  </si>
  <si>
    <t>COUNTRY3_DD</t>
  </si>
  <si>
    <t>COUNTRY4_DD</t>
  </si>
  <si>
    <t>2008 Text</t>
  </si>
  <si>
    <t>FIX_RANK</t>
  </si>
  <si>
    <t>Chile has a very flexible contract law which allows for contracting of public works under the condition that such works be regulated by the Ministry of Public Works (MOP). The framework was initially approved in 1991 and was later modified in 1996 to enable contractor compensation through a combination of service rates, guarantees, asset contributions, and government resources. Public property may also be leased from other ministries and municipalities through formal agreement with MOP. However, a different lease arrangement was structured for the port system, which is subject to a less flexible law and follows an ad-hoc supervision system. In the sanitary sector, Chile either has vertically integrated and privatised regional companies or sources its utility management function to private parties. Public works contract law allows unlimited contracting of additional work through direct state negotiation with the contractor. On the other hand, compensation clauses are vague, enabling potential transfer of commercial risks from the private party to the state. Nor does the law establish criteria for allocating risk among the different parties; however, it does protect creditors in the event that the MOP decides to fire a concessionaire, by forcing repeated project bidding (with a floor price) to facilitate project financing. Currently, Congress is discussing legislation that will substantially improve risk assignment and supervision schemes at different project stages by establishing regulations and mechanisms that would increase the transparency of contract modification processes.</t>
  </si>
  <si>
    <t>CountryID</t>
  </si>
  <si>
    <t>RegionCode</t>
  </si>
  <si>
    <t>CountryEIU</t>
  </si>
  <si>
    <t>Country</t>
  </si>
  <si>
    <t>DispStatus</t>
  </si>
  <si>
    <t>RegionFilter</t>
  </si>
  <si>
    <t>RegionHighlight</t>
  </si>
  <si>
    <t>None</t>
  </si>
  <si>
    <t>All</t>
  </si>
  <si>
    <t>Caribbean</t>
  </si>
  <si>
    <t>Central America</t>
  </si>
  <si>
    <t>South America</t>
  </si>
  <si>
    <t>All, ex Brazil+Mexico</t>
  </si>
  <si>
    <t>AR</t>
  </si>
  <si>
    <t>Argentina</t>
  </si>
  <si>
    <t>BR</t>
  </si>
  <si>
    <t>Brazil</t>
  </si>
  <si>
    <t>CL</t>
  </si>
  <si>
    <t>CH</t>
  </si>
  <si>
    <t xml:space="preserve">Chile </t>
  </si>
  <si>
    <t>CO</t>
  </si>
  <si>
    <t>CB</t>
  </si>
  <si>
    <t>Colombia</t>
  </si>
  <si>
    <t>CR</t>
  </si>
  <si>
    <t>Costa Rica</t>
  </si>
  <si>
    <t>DO</t>
  </si>
  <si>
    <t>DR</t>
  </si>
  <si>
    <t>Dominican Rep.</t>
  </si>
  <si>
    <t>EC</t>
  </si>
  <si>
    <t>Ecuador</t>
  </si>
  <si>
    <t>SV</t>
  </si>
  <si>
    <t>ES</t>
  </si>
  <si>
    <t>El Salvador</t>
  </si>
  <si>
    <t>GT</t>
  </si>
  <si>
    <t>GU</t>
  </si>
  <si>
    <t>Guatemala</t>
  </si>
  <si>
    <t>HN</t>
  </si>
  <si>
    <t>HD</t>
  </si>
  <si>
    <t>Honduras</t>
  </si>
  <si>
    <t>JM</t>
  </si>
  <si>
    <t>Jamaica</t>
  </si>
  <si>
    <t>MX</t>
  </si>
  <si>
    <t>Mexico</t>
  </si>
  <si>
    <t>NI</t>
  </si>
  <si>
    <t>NC</t>
  </si>
  <si>
    <t>Nicaragua</t>
  </si>
  <si>
    <t>PA</t>
  </si>
  <si>
    <t>PN</t>
  </si>
  <si>
    <t>Panama</t>
  </si>
  <si>
    <t>PY</t>
  </si>
  <si>
    <t>PG</t>
  </si>
  <si>
    <t>Paraguay</t>
  </si>
  <si>
    <t>PE</t>
  </si>
  <si>
    <t>Peru</t>
  </si>
  <si>
    <t>TT</t>
  </si>
  <si>
    <t>Trinidad &amp; Tobago</t>
  </si>
  <si>
    <t>UY</t>
  </si>
  <si>
    <t>UR</t>
  </si>
  <si>
    <t>Uruguay</t>
  </si>
  <si>
    <t>VE</t>
  </si>
  <si>
    <t>VZ</t>
  </si>
  <si>
    <t>Venezuela</t>
  </si>
  <si>
    <t>Region_Filter</t>
  </si>
  <si>
    <t>Region_Highlight</t>
  </si>
  <si>
    <t>RegionCount</t>
  </si>
  <si>
    <t>WEIGHT_PROFILE_ID</t>
  </si>
  <si>
    <t>Code</t>
  </si>
  <si>
    <t>Parent</t>
  </si>
  <si>
    <t>Level</t>
  </si>
  <si>
    <t>Process</t>
  </si>
  <si>
    <t>XX_Offset</t>
  </si>
  <si>
    <t>XX_Mult</t>
  </si>
  <si>
    <t>0=High is good,1=High is bad</t>
  </si>
  <si>
    <t>Short</t>
  </si>
  <si>
    <t>Unit</t>
  </si>
  <si>
    <t>Source</t>
  </si>
  <si>
    <t>High Value</t>
  </si>
  <si>
    <t>Statement</t>
  </si>
  <si>
    <t>Year</t>
  </si>
  <si>
    <t>Notes</t>
  </si>
  <si>
    <t>Format</t>
  </si>
  <si>
    <t>Tidy</t>
  </si>
  <si>
    <t>Indi Full</t>
  </si>
  <si>
    <t>TOTL</t>
  </si>
  <si>
    <t>WS</t>
  </si>
  <si>
    <t>OVERALL SCORE</t>
  </si>
  <si>
    <t>GOOD</t>
  </si>
  <si>
    <t>0-100, where 0= worst and 100= best</t>
  </si>
  <si>
    <t>0.0</t>
  </si>
  <si>
    <t>LEGF</t>
  </si>
  <si>
    <t>Legal and regulatory framework</t>
  </si>
  <si>
    <t>This is the weighted sum of the following indicator scores: 
1) Consistency and quality of PPP regulatory framework; 2) Efficiency of PPP project selection and decision processes;
3) Fairness and transparency of PPP bidding and contract changes; 4) Dispute resolution mechanisms</t>
  </si>
  <si>
    <t>LEGF01</t>
  </si>
  <si>
    <t>XX</t>
  </si>
  <si>
    <t>Consistency and quality of PPP regulations</t>
  </si>
  <si>
    <t>0-4, where 4=best and 0=worst</t>
  </si>
  <si>
    <t>EIU qualitative assessment</t>
  </si>
  <si>
    <t xml:space="preserve">“How consistent are PPP laws and regulations at different levels of government and across sectors? Do regulations establish clear requirements and oversight mechanisms for project implementation (project preparation, bidding, contract awards, construction and operation)? Must risk be allocated to different parties according to ability to manage them? Is there a clear system for compensating the private sector for acts of authority that change sector-specific economic conditions not foreseen during bidding?" Also considers if regulations avoid open-ended compensation rights for changes in financial equilibrium so that the state only assumes explicitly written commercial contractual contingent liabilities. </t>
  </si>
  <si>
    <t>0</t>
  </si>
  <si>
    <t>LEGF02</t>
  </si>
  <si>
    <t>Effective PPP selection and decision making</t>
  </si>
  <si>
    <t>"Do regulations establish efficient planning frameworks and proper accounting of contingent liabilities? Have regulators determined appropriate project planning and cost-benefit analysis techniques to ensure that a PPP is the optimal project financing and service provision option? Does the Budget Office systematically measure contingent contractual liabilities and account for delayed investment payments in a way consistent with public investment accounting?"</t>
  </si>
  <si>
    <t>0=Decision making processes are not defined - they are erratic and subject to change, without accounting for liabilities; 
1=Decision making processes are defined but are occasionally followed, and liability accounting is not well established; 
2=Decision making processes are defined and upheld but accounting practices are not adequate; 
3=Proper decision making is both defined and used for PPP project decisions, although liability accounting should be improved for more consistent decisions; 
4=PPP project selection is a consistent result of various efficiency, cost-benefit and social evaluation considerations required by law and accompanied by rigorous accounting practices</t>
  </si>
  <si>
    <t>LEGF03</t>
  </si>
  <si>
    <t>Fairness/openness of bids, contract changes</t>
  </si>
  <si>
    <t>“Do regulations unfairly favour certain project bidders and operators over others?  Do regulations require and establish competitive bidding (i.e. use of objective criteria during the selection process, requiring the publishing of necessary bidding documents, contracts and changes in contracts)? Do regulations require bidding for any significant, additional work necessary? Is a system established for independent  oversight of such renegotiation procedures and conditions?"</t>
  </si>
  <si>
    <t>0=Regulations unfairly favour certain bidders over others, transparency requirements are not in place and contracts are changed in a discretionary manner; 
1=Regulations introduce some bias towards particular parties, and bidding, transparency and renegotiation schemes are poor; 
2=Project bidding is fair and transparent, but renegotiations and expansions are regulated poorly; 
3=Regulations generally define a fair playing field, with considerations for contract expansion, renegotiation and adjustments; 
4=Regulations establish fair and transparent bidding procedures, set limits to renegotiations and adjustments and require independent oversight of post-award procedures</t>
  </si>
  <si>
    <t>LEGF04</t>
  </si>
  <si>
    <t>Dispute resolution mechanisms</t>
  </si>
  <si>
    <t>"Are there fair and transparent mechanisms for solving controversies between the state and the operator? Does the law provide technically adequate and efficient conciliation schemes? Must arbitration rulings proceed according to law and to contracts, without lengthy appeals?"</t>
  </si>
  <si>
    <t>0=Dispute resolution systems for PPPs are undefined and insufficient; 
1=Dispute resolution mechanisms exist but these are not transparent or efficient; 
2=Adequate dispute resolution mechanisms exist but arbitration and appeals are lengthy and complex; 
3=Comprehensive, effective dispute resolution mechanisms exist, incorporating necessary technical considerations; 
4=Effective and efficient dispute resolution mechanisms establish independent arbitration according to law and contracts, without lengthy appeals and with accompanying viable prejudicial reconciliation options</t>
  </si>
  <si>
    <t>INST</t>
  </si>
  <si>
    <t>Institutional framework</t>
  </si>
  <si>
    <t>This is the weighted sum of the following indicator scores: 
1) Quality of institutional design; 2) PPP contract enforcement, hold-up and expropriation risk</t>
  </si>
  <si>
    <t>0-100, where 0=worst and 100=best</t>
  </si>
  <si>
    <t>INST01</t>
  </si>
  <si>
    <t>Quality of institutional design</t>
  </si>
  <si>
    <t>Evaluates the existence and role of various agencies necessary for proper PPP oversight and planning, such as a PPP board at ministerial level, a State Contracting Agency and a PPP Advisory Agency and a Regulatory Agency for enforcement of project standards.  Also considers the oversight role and involvement of government budget and planning offices.</t>
  </si>
  <si>
    <t>0=PPP-specific agencies or boards do not exist and relevant institutions in this sector lack accountability and independence from rent seekers; 
1=Some oversight and checks and balances exist, but these are not comprehensive and agencies are highly prone to political distortion; 
2=Agencies exist and are fairly technical in nature but do not play all necessary roles for comprehensive sectoral oversight; 
3=The necessary agencies exist and generally fill all necessary roles for sector oversight, though their structure and roles could be improved; 
4=The institutional design establishes satisfactory oversight and planning agencies, and incorporates checks and balances so as to ensure effective planning, regulation and increase accountability</t>
  </si>
  <si>
    <t>INST02</t>
  </si>
  <si>
    <t>PPP contract, hold-up and expropriation risk</t>
  </si>
  <si>
    <t xml:space="preserve">"Does the judiciary enforce property rights and arbitration rulings? Does the judiciary uphold contracts related to cost recovery?  Can investors: appeal rulings by regulators, expedite contract transfer for project exit, obtain fair compensation for early termination?" Also considers whether the state has an expedite mechanism for replacing failed operators to protect creditors' rights. </t>
  </si>
  <si>
    <t xml:space="preserve">0=The judiciary poorly enforces PPP operator and investor rights and arbitration rulings, and there is no effective appeals process; 
1=The judiciary occasionally upholds PPP operator and investor rights and arbitration rulings, but in an inefficient manner; 
2=The judiciary usually upholds contracts, PPP operator and investor rights and arbitration rulings but hold-ups are common; 
3=The judiciary consistently and effectively upholds contracts and allows for appeals to regulator rulings, ensures fair compensation for early termination and transfer of contracts, although delays occur and can generate hold up risk;  
4=The judiciary effectively enforces PPP operator and investor rights and  arbitration rulings, allowing for expedited contract transfers and ensuring that early termination only occurs in exceptional public interest circumstances,  with fair compensation to the operator and protection to creditors </t>
  </si>
  <si>
    <t>OPER</t>
  </si>
  <si>
    <t>Operational maturity</t>
  </si>
  <si>
    <t>This is the weighted sum of the following indicator scores: 
1) Public capacity for project preparation and oversight; 2) Efficiency of methods and criteria for awarding PPP project bids; 3) Regulators' risk allocation and financial enhancement record; 4) Experience with transport and water concessions; 5) Quality of transport and water concessions</t>
  </si>
  <si>
    <t>OPER01</t>
  </si>
  <si>
    <t>Public capacity to plan and oversee PPPs</t>
  </si>
  <si>
    <t>DEPE</t>
  </si>
  <si>
    <t>Dependent variables</t>
  </si>
  <si>
    <t>DEPE01</t>
  </si>
  <si>
    <t>DEPE02</t>
  </si>
  <si>
    <t>DEPE03</t>
  </si>
  <si>
    <t>DEPE04</t>
  </si>
  <si>
    <t>Min</t>
  </si>
  <si>
    <t>Max</t>
  </si>
  <si>
    <t>Range</t>
  </si>
  <si>
    <t>W-row</t>
  </si>
  <si>
    <t>W-nom</t>
  </si>
  <si>
    <t>W-percent</t>
  </si>
  <si>
    <t>Weight</t>
  </si>
  <si>
    <t>"Are public capabilities for planning, design/engineering, environmental assessment, oversight of project service standards and conflict resolution robust? And do government officials have expertise on project financing, risk evaluation and contract design?  Do financial authorities employ proper accounting practices when considering fiscal and contingent liabilities? Do they have a reputation for designing contracts that reduce post-bid opportunism?"</t>
  </si>
  <si>
    <t>0=Agencies do not have any of the necessary expertise or experience; 
1=Agencies have very limited project expertise and experience; 
2=Agencies have some project planning, design and  financing  expertise or experience; and oversee service quality to a limited extent; 
3=Agencies generally have the necessary comprehensive project planning, design and financing expertise and experience, exhibiting moderate service quality oversight capacity; 
4=Agencies have the necessary expertise and experience and effectively regulate the sector on a consistent basis</t>
  </si>
  <si>
    <t>OPER02</t>
  </si>
  <si>
    <t xml:space="preserve">Methods and criteria for awarding projects </t>
  </si>
  <si>
    <t>"What is the PPP Agencies ' track record for using competitive bidding and objective economic factors as the primary consideration in final project and contract awards? Are incentive-efficient schemes used for allocating projects (for example, in toll road projects, using net present value of revenue with contract periods of variable length)?"</t>
  </si>
  <si>
    <t>Is2008and2009</t>
  </si>
  <si>
    <t>Political will</t>
  </si>
  <si>
    <t>Rating, 0-3 where 3=best</t>
  </si>
  <si>
    <t>NEWSEC</t>
  </si>
  <si>
    <t>NEWSEC01</t>
  </si>
  <si>
    <t>Social attitudes towards privatisation</t>
  </si>
  <si>
    <t>Subnational adjustment factor</t>
  </si>
  <si>
    <t>COMPARE COMMON INDICATORS (USES CURRENT WEIGHTS)</t>
  </si>
  <si>
    <t>COMPARE SECTIONS USING HARD-CODED DEFAULT WEIGHTS</t>
  </si>
  <si>
    <t>0-3, 3=best</t>
  </si>
  <si>
    <t>YoY_SPEC</t>
  </si>
  <si>
    <t>The World Bank PPI database only indicates two concession project in the transport sector. They did not experience distress or cancellation.</t>
  </si>
  <si>
    <t>Regulations require competitive tendering and use of objective economic valuations to select project winners. However, in Argentina it has been common for bidding processes to be uncompetitive and opaque. During the bidding process, non-economic factors are discretionally weighted, greatly influencing project selection. Evidence of this can be found in the fact that over the past ten years, most investments have been renegotiated.</t>
  </si>
  <si>
    <t>The lack of an alternation of power was the main feature of the political scene for 61 years until the Partido Colorado (PC) was defeated by Fernando Lugo, a left-wing former priest in the 2008 presidential election. Although the transition was smooth, risks to political stability have increased following splits in the governing coalition and an increasingly obstructive opposition stance in Congress. Scandals about Mr Lugo's personal life have weighed on his popularity ratings. Although economic recovery from last year's recession is under way and calls for Mr Lugo's impeachment have receded, the political environment remains tense. Paraguay is involved in no major international disputes. But relations with Brazil will be strained as the Brazilian congress delays approval of a treaty that regulates the Itaipú hydroelectricity project that was renegotiated in more favourable terms to Paraguay. Growing Bolivian military presence in the Chaco region may also strain relations between Paraguay and Bolivia.
The 1992 Constitution weakened the power of the executive. The president cannot issue unilateral decrees and is only allowed to enforce policies unilaterally if Congress fails to address an urgent bill within 660 days. Governance is weakening under Mr Lugo amid strong political polarisation. Mr Lugo inherited a system dominated by appointees of the Partido Colorado (PC), hampering political effectiveness. Corruption is widespread and Paraguay scores very poorly in the rankings elaborated by various NGOs. The former government adopted measures to address this problem, including the creation of an on-line government procurement system and the Lugo administration has taken actions to dismantle corruption nets. However, weak institutions and political patronage have frequently obstructed efforts to reduce corruption, which have remained a problem for Mr Lugo. Red tape will continue to add to the cost of doing business, but there has been significant progress in this area recently. (Economist Intelligence Unit Risk Briefing, April 2010)</t>
  </si>
  <si>
    <t xml:space="preserve">In general, the government does not offer demand-based subsidies of basic services for a targeted segment of the poor population; sanitation services are subsidised for the general population. Tariffs are low and do not even pay for replacing the service costs of infrastructure; as a result, there is a chronic deficit that inhibits private participation and equitable access. Public transport is indirectly subsidised by general subsidies for gasoline and the low taxes on diesel. Interurban toll roads charge buses high fees and do not incorporate cross subsidies. Electricity prices are low given the low price of natural gas, which is subsidised, making it affordable for most of the population. </t>
  </si>
  <si>
    <t xml:space="preserve">Concession projects in Honduras do not benefit from government subsidies or payment commitments. In the case of the airport concession, the private sector contractor received a fraction of the revenue collected, with the remainder going to the Civil Aeronautics Service. The airport’s expansion is limited by the state’s inability to expropriate land because it cannot pay land owners for their territory. There have also been cases in which a lack of payment for indemnities related to public works expropriation delayed public-private projects. 
The Economist Intelligence Unit lowered the country’s sovereign rating from ‘B’ to ‘CCC’ at the end of 2009, where it remains as of April 2010. Structurally weak tax collection and a high level of earmarking leave public finances vulnerable, and the more flexible exchange-rate regime from 2010 will add to the fiscal costs as the majority of the debt stock is dollar-denominated. With GDP growth recovering only slowly and the fiscal accounts improving only gradually, the debt stock will rise further. This will cause a deterioration in the debt ratios, but renewed foreign inflows will help the government meet its debt payments as scheduled. Honduras's public-sector debt/GDP ratio also compares favourably with the median of CCC-rated countries (42% of GDP) and is close to that of HIPC countries (28%). On other creditworthiness indicators Honduras also compares favourably: public-debt interest payments account for 4.1% of total government revenue, compared with a 6.4% median for CCC-rated countries and 9.9% in Latin America.  </t>
  </si>
  <si>
    <t>There is a clear political consensus about the need to work with private partners to develop the country's infrastructure, with the aim of maximising its potential as a regional hub of the Americas. A high level of bureaucracy delays implementation in some areas, but the importance of the transport sector (in particular, the Panama Canal) means that the likelihood of delays in this area is low.</t>
  </si>
  <si>
    <t>Subnational adjustment</t>
  </si>
  <si>
    <t>Laws do not outline the criteria for awarding projects. Awards have been based largely on negotiations that may or may not consider economic or technical project aspects.</t>
  </si>
  <si>
    <t>n/a</t>
  </si>
  <si>
    <t>This is the weighted sum of the following indicator scores: 
1) Political distortion; 2) Business environment; 3) Political will</t>
  </si>
  <si>
    <t>This is the weighted sum of the following category scores: 
1) Legal and regulatory framework; 2) Institutional framework;
3) Operational Maturity; 4) Investment climate; 5) Financial facilities; and
6) Subnational adjustment</t>
  </si>
  <si>
    <t xml:space="preserve">The PPP Law approved in 2010 allows municipalities to undertake PPP projects with the agreement of the PPP council and the approval of the Ministry of Finance. </t>
  </si>
  <si>
    <t xml:space="preserve">The judicial system is often biased, slow, inefficient and open to manipulation. The system for selection of high court judges was reformed in 2002 to reduce political influence. Supreme Court judges are now selected from a broad-based panel rather than by political parties, although the judiciary is still open to corruption and political influence. Property rights are not always clearly established, but the national arbitration system, and the possibility of recourse to international arbitration, has helped reduce the risk of expropriation of concessions. The recent political disruptions and the isolation of the country could increase risk for private investment in infrastructure. Nevertheless, the reestablishment of relationship with the IMF and multilateral development banks should help mitigate asset and project expropriation risk. </t>
  </si>
  <si>
    <t>Does the government regularly fulfill obligations for PPP contracts or use liquidity guarantee schemes to reduce non-payment risk? Also considers whether countries have had active partnerships with MIGA during the past five years to provide guarantees to water, transport or electricity projects.</t>
  </si>
  <si>
    <t>This indicator evaluates whether infrastructure concessions can be carried out at a regional, state or municipal level, and the relative success and consistency of these frameworks.</t>
  </si>
  <si>
    <t>This indicator evaluates the level of political consensus, or will, to engage private parties in concessions (PPPs) and to provide favourable implementation frameworks across the water/sanitation, electricity and transport sectors.</t>
  </si>
  <si>
    <t>* Excludes Subnational adjustment (a new indicator) to allow for consistent year-on-year comparisons</t>
  </si>
  <si>
    <t>Regulatory framework</t>
  </si>
  <si>
    <t>There is a liquid, deep local-currency denominatied fixed-rate medium-term (5yrs+) bond market in marketable debt (that is traded freely), but the market is dominated by public sector issues.
 (Economist Intelligence Unit Risk Briefing, May 2010)</t>
  </si>
  <si>
    <t>There is a liquid, deep local-currency denominatied fixed-rate medium-term (5yrs+) bond market in marketable debt (that is traded freely), for both public and private sector issuers.
(Economist Intelligence Unit Risk Briefing, May 2010)</t>
  </si>
  <si>
    <t>There is only a freely-traded market for short-term, government bonds in local-currency denominations. (Economist Intelligence Unit Risk Briefing, May 2010)</t>
  </si>
  <si>
    <t>Although a liquid local-currency denominated debt market does not currently exist, the government is working to foster a medium term market, with the possibility that it will be in place soon.
(Economist Intelligence Unit Risk Briefing, May 2010)</t>
  </si>
  <si>
    <t>After political turmoil and heightened social tensions in 2002-2004, the country has regained stability under the leadership of Leonel Fernández. He remains broadly popular despite a decline since winning in the May 2008 election. The presidency wields extensive discretionary power and the electoral institutions are weak, impairing accountability and adding to the contestability of government actions. The need for reforms to strengthen government and electoral institutions has been widely acknowledged, but progress will be slow. The ruling PLD has an extensive majority in Congress. Despite widespread poverty, social unrest receded amidst strong economic growth in 2006-08, but the ensuing economic slowdown will give rise to protests. Rising electricity prices, more frequent blackouts and a refusal to raise wages will continue to spark discontent. There is also potential for social tensions (and violence) arising from new waves of migration from neighbouring Haiti.
Governability has been bolstered by Mr Fernández's May 2008 election victory and the 2010 congressional elections (the ruling PLD has won an extensive majority in Congress until 2016). The staggering of congressional and presidential elections at two-year intervals will continue to hinder effectiveness until they are combined in 2016. The level of administrative competence is only adequate at the highest levels. Lower down, the civil service is inefficient and subject to wholesale changes of personnel when there is a change of government. Red tape increases the cost of doing business. Clientelism and a lack of accountability foster corruption at all levels, creating an uneven playing field for business. The police and judiciary lack the resources to tackle crime and corruption, and human rights abuses are becoming more of a concern.
. (Economist Intelligence Unit, Risk Briefing, June 2010.)</t>
  </si>
  <si>
    <t>In 2004-08 the Fernandez administration stabilised the economy and reduced its vulnerability to shocks, however it will face challenging conditions in 2009-10. After a doubling of the public debt/GDP ratio to 57% under the previous administration, fiscal adjustment, a GDP growth rebound and currency revaluation have reduced this to an estimated 34% of GDP at end-2008. Even so, the government needs to run primary surpluses of around 1.5% of GDP over the medium term in order to reduce the public debt/GDP ratio to more comfortable levels—something that successive governments have failed to do on a sustained basis. After surpassing NFPS targets in 2007, the government accounts lapsed into a deficit of 3.4% of GDP in 2008. The country’s economic prospects are extremely vulnerable to the sharp economic downturn in the US and global economy, which will hit tourism and export earnings. The poor fiscal management of 2008 and 2009 will lead to wide deficits in 2010-11. (Economist Intelligence Unit, Risk Briefing, June 2010.)</t>
  </si>
  <si>
    <t>The political environment is stable. The rules governing transfer of political powers are clearly established and accepted. The inauguration of Sebastián Piñera of the centre-right Coalición por el Cambio in March 2010 ended two decades of centre-left rule under the increasingly divided Concertación coalition. Despite the change in government, policy continuity will dominate as there is a broad consensus among the policymaking technocratic elites of the two main coalitions. Although in the medium term there are likely to be changes in the relative composition of the main coalitions, this will respond to generational renewal within the coalitions and should not alter the stability of the political system. The armed forces are subordinate to the democratic authorities, and a coup attempt is very unlikely. Labour organisations have been strengthened as a result of labour reforms. International relations are peaceful, although relations with Bolivia, Argentina and Peru have been strained at times.
Chile’s political culture fosters the ability for business to operate effectively: it has one of the world’s most open investment regimes and consistently business-friendly policies. The government of Sebastián Pinera (2010-2014) is expected to implement measures to reduce red tape, reducing the time and cost of establishing a business. Measures to promote entrepreneurship and improve the quality of public spending are will improve the quality of the bureaucracy, which is already among Latin America’s most effective. Low corruption levels will be reduced further with the completion of a civil-service reform aimed at increasing accountability and transparency. Strong institutional traditions mean that public officials are generally held accountable for their actions: Chile has a good-quality bureaucracy with good implementation capabilities. There has been no systematic human-rights abuse since the return to democracy in 1990.
(Economist Intelligence Unit, Risk Briefing, July 2010.)</t>
  </si>
  <si>
    <t>Panama established the Sistema Nacional de Inversión Pública, (SINIP), as an evaluation mechanism and oversight body for public investment decisions. The Ministry of Economy and Finance is linked to the proposal process, which should increase its effectiveness. However, in practice cost-benefit analysis is generally not undertaken for public infrastructure projects and moreover SINIP does not apply to concessions. Procedures have not been established to evaluate contingent liabilities, and decisions on proposals are taken on a largely political basis.</t>
  </si>
  <si>
    <t xml:space="preserve">Whereas general public procurement procedures for state works are defined in a detailed and rigorous manner, special purpose companies created to contract out public works are not required to follow these procedures. The National Infrastructure Development Company (NIDCO) is an example of such a special purpose company. It is the contractor for central government ministry infrastructure projects, including the sea water taxi system and rapid rail service (both of whose private participation and involvement are at initial stages). NIDCO has faced allegations of biased decision-making and insufficient transparency in the past. Moreover, there is no statutory requirement to disclose bidding information for concessions. The Freedom of Information Act passed in 2002 helps guide disclosure practices, but it is up to the discretion of the companies involved to provide information. Because external consultants are hired to help with marketing each bid, collecting the information, and the planning process, it is these companies that perform due diligence for bidding and do the calculations and analysis for each bid option. Once the documents are received, bids are sent to a committee that includes the ministries affected and representatives of the private sector bidding companies. The National Management and Strategic Investment Office (NMSIO) ultimately sign the contract, although they do not monitor the contract afterwards. If a specific contract breach is brought to the attention of the office, however, NMSIO follows it up. Extensions to contracts are handled in a disciplined manner and "scope creep" is not really possible because any potential additions/changes to contracts are discussed before contracts are signed. The framework and process could be improved by creating a more formalised system that encompasses PPPs in law, rather than policy. In the energy sector, the partial divesture of T&amp;TEC's power generation assets led to the creation of a new company, Powergen, with 51% state ownership. In 1999 a privately owned generator was developed through a PPA with T&amp;TEC. The contract has been negotiated with the state company and the terms of the contract are similar for both companies. Competition in the energy sector does not exist and the government determines the prices of inputs (gas) and electricity at all levels. </t>
  </si>
  <si>
    <t>According to data from the World Bank, in 1999-2008 Venezuela had a total of four projects in the electricity industry and the water and transport sectors. Of these four projects, one was in the transport sector, 1 in the transport sector and two were in the water and sewerage sector. (Figures do not include management and lease contracts or divestitures. Please note that numbers do not necessarily match explanations for other indicators in this index, owing to different counting methods and timeframes).</t>
  </si>
  <si>
    <t>The president has been boosted by the restoration of multilateral finance, but will struggle to strengthen the credibility of political institutions, heal social divisions and regain full international recognition for Honduras following the June 2009 coup. The combination of a unity cabinet and Mr Lobo's control over a legislative majority will support political stability and facilitate policy implementation. It will also help overcome uncomfortable findings by the Truth Commission when it publishes its report in early 2011 into coup. But once Honduras's international standing is satisfactorily restored the president will gradually start to replace ministers with PN members. Even so, given the PN's legislative majority and the likelihood that factional infighting in the PL will weaken its role as the main opposition, the government will face few difficulties passing legislation during the forecast period. Mr Zelaya's eventual return could stir politics. High crime rates will weigh on political stability.
Honduran politics is notoriously open to corruption, and legislation is slow to pass through Congress. In recent years legislation has been held up in Congress by factions within the major parties. Governments tend to lack a congressional majority so rely on support from minority parties to pass legislation, which can slow reform. Government attempts to pursue liberal, pro-business policies are sometimes blocked by vested interests in the legislature. The authorities’ desire to maintain popular support militates against fiscal reform. Some judicial, financial sector and tax reforms have been passed and there is a general consensus among the main parties of the need to tighten political accountability and transparency further and deepen financial sector reform. The central bank has maintained an independent stance, which has shored up investor confidence. Honduras has a poor human rights record, including accusations of the security forces' involvement in murders of street children and gang members. (Economist Intelligence Unit, Risk Briefing, June 2010)</t>
  </si>
  <si>
    <t xml:space="preserve">Government formation and political transitions in Jamaica are orderly. Since independence, governments have held large and stable parliamentary majorities. Third parties have been able to make inroads into the dominance of Jamaica's two main political parties, the ruling Jamaica Labour Party (JLP) and the People’s National Party (PNP). Although the PNP for a time had a leftist policy stance, it has for many years espoused a market-oriented pro-business policy similar to that of the JLP, and differences between the parties are a matter of degree only. Given the potential for Jamaica's huge public debt burden to destabilise the economy, there is a broad political consensus on the need for a disciplined fiscal stance, although there is a modest risk that political pressures will create pressure for destabilising fiscal policy reversals. 
Government effectiveness is aided by stable government majorities, which have facilitated passage of the government's policy agenda and by consensus across the political spectrum on the maintenance of Jamaica's pro-business environment. A number of reforms over recent years have simplified regulations, improved public sector procurement policy, eliminated constraints on investment and significantly reduced bureaucracy. This is reflected in the World Bank's Doing Business 2010 report, where Jamaica ranks 19th out of 178 countries for ease of starting a business. There have been very few scandals over public corruption or mismanagement in recent years, but accountability is still a concern. Moreover, within the private sector extortion (linked to criminal dons) is a real problem for many companies, particularly in the construction sector and in the retail trade. (Economist Intelligence Unit, Risk Briefing, May 2010.)
</t>
  </si>
  <si>
    <t>Political stability has improved over the past quarter to a 'B' ranking, owing to a reduced risk of social unrest, following legislation that bans protests blocking roads. Two decades have passed since the US overthrew General Manuel Noriega’s military regime, and democracy is firmly established. The centrist nature of politics in Panama, with widespread consensus among the main political parties on the importance of preserving Panama’s attractive operating environment for foreign businesses, reduces the risks associated with changes of government. Ricardo Martinelli, a supermarket magnate who formed his own party, Cambio Democrático, in 1998, began a five-year term in mid-2009 after winning a landslide election victory. His centre-right Alianza por el Cambio coalition also won a firm majority in the legislature. Cutting crime rates, combating corruption, reforming the public finances and undertaking record public investment form the centrepieces of Mr Martinelli’s programme.
Government policies centred on reforming the taxation system, reducing government bureaucracy, cutting crime and implementing large-scale public investment projects attract widespread public support. The government’s ability to implement its policy agenda benefits from a strong mandate and firm legislative majority. However, the need to maintain good relations between the four parties which comprise the coalition government results in the need for compromise in some policy areas. Mr Martinelli’s strong managerial style had raised fears of splits in the coalition, but to date it has proved cohesive. However, the government’s effectiveness in carrying out promised investment is hampered by weak institutional ability to implement spending, with official rhetoric often undermined by poor results. Mr Martinelli’s “shoot from the hip” style also often overplays what is practically achievable. One of the greatest challenges facing the government is in the struggle it faces in curbing rising crime rates.(Economist Intelligence Unit, Risk Briefing, June 2010.)</t>
  </si>
  <si>
    <t>Although Mr Chávez's total control of the legislature currently gives him a free hand in policymaking, the potential for political instability is rising, reflecting increasingly fractious relations between the government and opposition. Harassment of prominent anti-Chávez politicians has become more marked, with several high-profile opposition leaders forced into hiding in recent months. Rather than uniting in the face of these government efforts, opposition political parties remain extremely divided, meaning that public demonstrations as an expression of disaffection with the government will become a growing threat to stability. The decay of political institutions and centralisation of power in the executive compound these risks. Mr Chávez's often confrontational stance towards neighbouring Colombia and towards the US, which serves to channel nationalist sentiment into support for the government, will keep the potential for dispute with these countries high. However, the risk of armed conflict remains low.
Venezuela's score for government effectiveness is one of the worst covered by the Economist Intelligence Unit's risk rankings model. Although extreme centralisation of power enables the Chávez government to push through legislation unopposed, a lack of checks and balances undermines the quality and consistency of policymaking. The introduction of an entirely new institutional architecture in the 1999 constitution has failed to make an impact; in the current political environment institutions have lost credibility and independence, and are perceived as more politicised than ever. Pervasive red tape increases the cost of doing business and creates opportunities for corrupt officials. Sudden policy reversals are often announced, compounding the uncertain business environment. Public officials are largely unaccountable, and conviction of the perpetrators of corruption is very rare. (Economist Intelligence Unit Risk Briefing, May 2010.)</t>
  </si>
  <si>
    <t>The Chilean economy was recovering firmly after the 2008-09 recession on the back of substantial fiscal and monetary stimuli until a massive earthquake struck the south central regions of Maule and Bíobío in February 2010. Although affected areas accounted for one-sixth of total GDP, copper mining, Chile's main export earner was not disrupted. First quarter results proved the resiliency of the economy (1% year on year growth) and we expect a sharp rebound in the second half of 2010. We expect the economy to grow by 5% in 2010 driven by domestic demand as reconstruction work gathers steam. Chile's sound public finances and strong fiscal savings put the country in a good position to face the enormous post-earthquake reconstruction challenge, the cost of which has been estimated at US$20bn (11% of GDP). In June the Central Bank began its monetary tightening cycle after almost a year of record low rates, in order to contain inflationary pressures created by the rebound in economic growth.(Economist Intelligence Unit, Risk Briefing, July 2010.)</t>
  </si>
  <si>
    <t>The government is making preparations to enter a stand-by arrangement with the IMF later in 2010, by enacting fiscal reforms as part of a fiscal adjustment, after sharp slippage last year. The restoration of bilateral and multilateral capital inflows from late January 2010 will ease pressure on the domestic capital markets, helping the private sector find financing, as well as supporting government spending. After contracting in 2009 owing to the US recession and the political crisis, a mild recovery is under way. Recent trade accords and confidence provided by multilateral debt relief offer the possibility of investment-led growth in the long run. High crime rates constrain rapid growth in tourism. Inflation is ticking up after a rise in commodity prices from late 2009 and an expected weakening of the currency later in 2010 will put renewed pressure on prices. There is considerable concern over the sustainability of quasi-fixed currency given the country's wide fiscal and current-account deficits. (Economist Intelligence Unit, Risk Briefing, June 2010.)</t>
  </si>
  <si>
    <t>Jamaica has been hard hit by the global economic crisis; in mid-2009 Forbes magazine ranked Jamaica as one of the 10 worst affected economies in the world, ultimately forcing it to return to the IMF in early 2010. Jamaica's large public-sector debt burden is a drag on domestic demand, resulting in a reliance on the external sector to drive GDP growth. In 2009, with global demand for Jamaica's major exports slumping, the economy endured a deep recession. Over the past 15 years, a huge public debt burden has dampened domestic demand, while accumulated real appreciation of the Jamaican dollar has reduced export competitiveness and prevented export diversification. As a result, a small number of exports drive growth and generate foreign exchange, leaving Jamaica highly vulnerable to the fall in global demand and commodity prices in 2009. However, with inflation slowing, the currency is depreciating in real terms, helping to narrow the current-account deficit and improve external competitiveness. (Economist Intelligence Unit, Risk Briefing, May 2010.)</t>
  </si>
  <si>
    <t>As a provider of export-oriented services, such as transport and financial services, Panama's fortunes are highly geared to developments in the world economy. Dollarisation, established for a century, has historically reduced macroeconomic risk by fostering price stability and low interest rates. However, Panama is unable to use monetary policy as a tool to manage demand when price pressures begin to pick up. The large integrated (domestic and offshore) financial system foments stability, reducing the risk of domestic credit booms and busts. Fiscal policy assumes particular importance in the absence of an autonomous monetary policy. Here Panama scores less well owing to high public indebtedness. The Martinelli government has introduced measures tightening fiscal policy increasing sales taxes and extending some taxes on business, but abandoned one of its flagship policies of introducing a “flat tax” system for businesses and individuals.(Economist Intelligence Unit, Risk Briefing, June 2010.)</t>
  </si>
  <si>
    <t>A high level of macroeconomic risk mainly reflects the effects of deep distortions caused by unorthodox economic policies. The government is reliant on debt issuance to plug the large fiscal deficit, but this will further fuel inflation. Import restrictions will be necessary to prevent a significant run-down of reserves, resulting in worsening shortages of basic goods. The deterioration of the business environment has led to a decline in non-oil investment, which will entrench dependence on the oil sector. Companies will continue to encounter rising difficulties in accessing foreign exchange, owing to the system of capital controls and a complicated, multiple exchange-rate system. A greater reliance on the black market will fuel already-high inflation. Domestic asset prices, inflated by the captive pool of excess liquidity created by the controls, will remain at risk of a sharp reversal. (Economist Intelligence Unit, Risk Briefing, May 2010.)</t>
  </si>
  <si>
    <t>This indicator shows the % distress/failure rate of transport, water/sanitation and electricity concession projects over the past ten years from 1999-2008. Please note that countries with less than five projects are scored more critically than those with five or more (see scoring guide below for details).</t>
  </si>
  <si>
    <t xml:space="preserve">This indicator shows the number of transport, water/sanitation and electricity concessions from 1999-2008. </t>
  </si>
  <si>
    <t>Quality of PPP projects (concessions)</t>
  </si>
  <si>
    <t>Experience in PPP projects (concessions)</t>
  </si>
  <si>
    <t xml:space="preserve">The Concession Works and Public Services Law No 1618, passed in 2000, established the legal framework that allows the central government, government departments and municipalities to offer concessions and concessional services. Concessions must be authorised by law, by departmental ordinance or by-laws. Once the work is authorised, it can be put out for concession by executive decree. The respective ministry is responsible for undertaking preliminary studies, qualifying proposals, and selecting and executing the contracting process through an obligatory public bidding process. The length of the concession cannot exceed 30 years. Risk allocation is addressed in Law 1618 in an ambiguous manner, although the country's Public Contracting Law provides basic guidelines for concession negotiations. In practice, Paraguay has very little experience with concession projects. However, in early 2010 the Multilateral Investment Fund provided a grant to the Ministry of Public Works and Communication to design new public-private partnership (PPP) legislation that will modernise the framework for private participation in transport infrastructure. The government has also devised a tentative plan for future transport infrastructure concessions to develop roads, airports and a hydro-way in the Paraguay-Parana river. 
Law No 1614 sets the legal framework and tariff structure for public service and provision of drinking water and water sanitation. This law specifies that public agencies will always be the competent authorities in this area and that delegation of service provision should favour municipal governments. The  Ente Regulador de Servicios Sanitarios (ERSSAN, the regulatory entity for sanitary services) has final control over service provision, supervises the quality and efficiency levels of the service, protects the interests of the community and users, and audits and verifies application of the legal provisions in force. Empresa de Servicios Sanitarios del Paraguay (ESSAP ), a public firm, provides drinking water and sewage in municipalities with more than 10,000 inhabitants (this accounts for 72% of the urban population). In 2002 unions and community organisations helped enact Law No 1932, which prevents the privatisation of public service firms after the former water firm, Corposana, attempted privatisation. 
A single state-owned company Administración Nacional de Electricidad (ANDE) controls the whole electricity industry in a vertically integrated fashion. The private sector does not participate in the provision of electricity, and the efficiency of public provision is low, especially in distribution and transmission. A new regulatory framework is being discussed in Congress for the electricity industry, which would introduce a regulatory agency and open up the role of the private sector as an investor in the industry. However, the result of this new reform effort remains uncertain in the short term. 
</t>
  </si>
  <si>
    <t>Attempts to reduce the role of the state in the economy through privatisation have in the past been opposed by powerful interest groups, making it a less appealing policy tool. According to a survey by Latinobarometro, a majority of the population thinks that private enterprise is indispensable for development and that a market economy is best for the country, but a majority of the population also believes that privatisations have not been beneficial to the country; 89.1% and 86.4% of Paraguayans think that electricity and drinking water, respectively, should remain in state hands. 
Nevertheless, the political climate may be changing. A tentative plan for future transport infrastructure concessions has been presented by the government and includes a road network within the so-called Plan Triángulo, several airports and a hydro-way in the Paraguay-Parana river. In early 2010 the Multilateral Investment Fund also provided a grant to the Ministry of Public Works to design new PPP legislation for private participation in transport infrastructure.</t>
  </si>
</sst>
</file>

<file path=xl/styles.xml><?xml version="1.0" encoding="utf-8"?>
<styleSheet xmlns="http://schemas.openxmlformats.org/spreadsheetml/2006/main">
  <numFmts count="7">
    <numFmt numFmtId="43" formatCode="_(* #,##0.00_);_(* \(#,##0.00\);_(* &quot;-&quot;??_);_(@_)"/>
    <numFmt numFmtId="172" formatCode="0.0"/>
    <numFmt numFmtId="173" formatCode="0.0%"/>
    <numFmt numFmtId="174" formatCode="0.000"/>
    <numFmt numFmtId="176" formatCode="_-&quot;€&quot;\ * #,##0.00_-;\-&quot;€&quot;\ * #,##0.00_-;_-&quot;€&quot;\ * &quot;-&quot;??_-;_-@_-"/>
    <numFmt numFmtId="184" formatCode="\+0.0;[Red]\-0.0;\-;"/>
    <numFmt numFmtId="185" formatCode="\+0.0;[Red]\-0.0;\-"/>
  </numFmts>
  <fonts count="78">
    <font>
      <sz val="11"/>
      <color theme="1"/>
      <name val="Calibri"/>
      <family val="2"/>
      <scheme val="minor"/>
    </font>
    <font>
      <sz val="11"/>
      <color indexed="8"/>
      <name val="Calibri"/>
      <family val="2"/>
    </font>
    <font>
      <sz val="11"/>
      <color indexed="8"/>
      <name val="Calibri"/>
      <family val="2"/>
    </font>
    <font>
      <b/>
      <sz val="11"/>
      <color indexed="8"/>
      <name val="Calibri"/>
      <family val="2"/>
    </font>
    <font>
      <sz val="10"/>
      <color indexed="10"/>
      <name val="Arial"/>
      <family val="2"/>
    </font>
    <font>
      <sz val="10"/>
      <name val="Arial"/>
      <family val="2"/>
    </font>
    <font>
      <sz val="10"/>
      <color indexed="17"/>
      <name val="Arial"/>
      <family val="2"/>
    </font>
    <font>
      <sz val="8"/>
      <color indexed="10"/>
      <name val="Verdana"/>
      <family val="2"/>
    </font>
    <font>
      <sz val="8"/>
      <name val="Verdana"/>
      <family val="2"/>
    </font>
    <font>
      <b/>
      <sz val="8"/>
      <name val="Verdana"/>
      <family val="2"/>
    </font>
    <font>
      <sz val="9"/>
      <name val="Verdana"/>
      <family val="2"/>
    </font>
    <font>
      <b/>
      <sz val="10"/>
      <name val="Arial"/>
      <family val="2"/>
    </font>
    <font>
      <sz val="9"/>
      <color indexed="8"/>
      <name val="Calibri"/>
      <family val="2"/>
    </font>
    <font>
      <sz val="9"/>
      <name val="Calibri"/>
      <family val="2"/>
    </font>
    <font>
      <sz val="9"/>
      <color indexed="10"/>
      <name val="Verdana"/>
      <family val="2"/>
    </font>
    <font>
      <b/>
      <sz val="8"/>
      <color indexed="10"/>
      <name val="Verdana"/>
      <family val="2"/>
    </font>
    <font>
      <b/>
      <sz val="9"/>
      <name val="Verdana"/>
      <family val="2"/>
    </font>
    <font>
      <sz val="11"/>
      <color indexed="17"/>
      <name val="Calibri"/>
      <family val="2"/>
    </font>
    <font>
      <sz val="11"/>
      <color indexed="10"/>
      <name val="Calibri"/>
      <family val="2"/>
    </font>
    <font>
      <sz val="10"/>
      <color indexed="8"/>
      <name val="MS Sans Serif"/>
      <family val="2"/>
    </font>
    <font>
      <sz val="8"/>
      <name val="Arial"/>
      <family val="2"/>
    </font>
    <font>
      <b/>
      <sz val="9"/>
      <color indexed="9"/>
      <name val="Arial"/>
      <family val="2"/>
    </font>
    <font>
      <sz val="9"/>
      <color indexed="9"/>
      <name val="Arial"/>
      <family val="2"/>
    </font>
    <font>
      <sz val="10.5"/>
      <color indexed="23"/>
      <name val="Calibri"/>
      <family val="2"/>
    </font>
    <font>
      <sz val="10.5"/>
      <name val="Calibri"/>
      <family val="2"/>
    </font>
    <font>
      <sz val="8"/>
      <color indexed="8"/>
      <name val="Calibri"/>
      <family val="2"/>
    </font>
    <font>
      <sz val="10"/>
      <color indexed="8"/>
      <name val="Calibri"/>
      <family val="2"/>
    </font>
    <font>
      <b/>
      <sz val="12"/>
      <color indexed="8"/>
      <name val="Calibri"/>
      <family val="2"/>
    </font>
    <font>
      <b/>
      <sz val="14"/>
      <color indexed="8"/>
      <name val="Calibri"/>
      <family val="2"/>
    </font>
    <font>
      <sz val="8"/>
      <color indexed="17"/>
      <name val="Calibri"/>
      <family val="2"/>
    </font>
    <font>
      <sz val="9"/>
      <name val="Arial"/>
      <family val="2"/>
    </font>
    <font>
      <sz val="12"/>
      <name val="Times New Roman"/>
      <family val="1"/>
    </font>
    <font>
      <u/>
      <sz val="10"/>
      <color indexed="12"/>
      <name val="Arial"/>
      <family val="2"/>
    </font>
    <font>
      <i/>
      <sz val="11"/>
      <color indexed="8"/>
      <name val="Calibri"/>
      <family val="2"/>
    </font>
    <font>
      <b/>
      <sz val="8"/>
      <color indexed="8"/>
      <name val="Calibri"/>
      <family val="2"/>
    </font>
    <font>
      <b/>
      <sz val="12"/>
      <color indexed="9"/>
      <name val="Arial"/>
      <family val="2"/>
    </font>
    <font>
      <sz val="10"/>
      <color indexed="23"/>
      <name val="Calibri"/>
      <family val="2"/>
    </font>
    <font>
      <sz val="11"/>
      <name val="Calibri"/>
      <family val="2"/>
    </font>
    <font>
      <b/>
      <sz val="8"/>
      <name val="Arial"/>
      <family val="2"/>
    </font>
    <font>
      <sz val="8"/>
      <color indexed="9"/>
      <name val="Arial"/>
      <family val="2"/>
    </font>
    <font>
      <b/>
      <sz val="10"/>
      <color indexed="9"/>
      <name val="Verdana"/>
      <family val="2"/>
    </font>
    <font>
      <b/>
      <sz val="10"/>
      <color indexed="8"/>
      <name val="Calibri"/>
      <family val="2"/>
    </font>
    <font>
      <sz val="10"/>
      <color indexed="13"/>
      <name val="Arial"/>
      <family val="2"/>
    </font>
    <font>
      <sz val="8"/>
      <name val="Tahoma"/>
      <family val="2"/>
    </font>
    <font>
      <sz val="12"/>
      <color indexed="52"/>
      <name val="Calibri"/>
      <family val="2"/>
    </font>
    <font>
      <sz val="10"/>
      <color indexed="22"/>
      <name val="Calibri"/>
      <family val="2"/>
    </font>
    <font>
      <sz val="10"/>
      <name val="Calibri"/>
      <family val="2"/>
    </font>
    <font>
      <sz val="11"/>
      <color indexed="9"/>
      <name val="Calibri"/>
      <family val="2"/>
    </font>
    <font>
      <b/>
      <sz val="11"/>
      <color indexed="8"/>
      <name val="Calibri"/>
      <family val="2"/>
    </font>
    <font>
      <sz val="11"/>
      <color indexed="10"/>
      <name val="Calibri"/>
      <family val="2"/>
    </font>
    <font>
      <b/>
      <sz val="9"/>
      <color indexed="8"/>
      <name val="Calibri"/>
      <family val="2"/>
    </font>
    <font>
      <sz val="9"/>
      <color indexed="8"/>
      <name val="Calibri"/>
      <family val="2"/>
    </font>
    <font>
      <sz val="10"/>
      <color indexed="37"/>
      <name val="Calibri"/>
      <family val="2"/>
    </font>
    <font>
      <sz val="10"/>
      <color indexed="10"/>
      <name val="Arial"/>
      <family val="2"/>
    </font>
    <font>
      <b/>
      <sz val="10"/>
      <name val="Calibri"/>
      <family val="2"/>
    </font>
    <font>
      <b/>
      <sz val="10"/>
      <color indexed="55"/>
      <name val="Arial"/>
      <family val="2"/>
    </font>
    <font>
      <sz val="12"/>
      <color indexed="37"/>
      <name val="Calibri"/>
      <family val="2"/>
    </font>
    <font>
      <sz val="9"/>
      <name val="Calibri"/>
      <family val="2"/>
    </font>
    <font>
      <sz val="8"/>
      <color indexed="8"/>
      <name val="Calibri"/>
      <family val="2"/>
    </font>
    <font>
      <sz val="8"/>
      <color indexed="8"/>
      <name val="Calibri"/>
      <family val="2"/>
    </font>
    <font>
      <sz val="10"/>
      <color indexed="8"/>
      <name val="Calibri"/>
      <family val="2"/>
    </font>
    <font>
      <sz val="8"/>
      <name val="Calibri"/>
      <family val="2"/>
    </font>
    <font>
      <sz val="11"/>
      <color indexed="9"/>
      <name val="Calibri"/>
      <family val="2"/>
    </font>
    <font>
      <b/>
      <sz val="11"/>
      <color indexed="8"/>
      <name val="Calibri"/>
      <family val="2"/>
    </font>
    <font>
      <b/>
      <sz val="11"/>
      <color indexed="9"/>
      <name val="Calibri"/>
      <family val="2"/>
    </font>
    <font>
      <sz val="8"/>
      <color indexed="8"/>
      <name val="Calibri"/>
      <family val="2"/>
    </font>
    <font>
      <b/>
      <sz val="11"/>
      <color indexed="8"/>
      <name val="Calibri"/>
      <family val="2"/>
    </font>
    <font>
      <sz val="9"/>
      <color indexed="23"/>
      <name val="Calibri"/>
      <family val="2"/>
    </font>
    <font>
      <sz val="9"/>
      <color indexed="17"/>
      <name val="Calibri"/>
      <family val="2"/>
    </font>
    <font>
      <sz val="8"/>
      <color indexed="17"/>
      <name val="Verdana"/>
      <family val="2"/>
    </font>
    <font>
      <b/>
      <sz val="12"/>
      <name val="Arial"/>
      <family val="2"/>
    </font>
    <font>
      <b/>
      <sz val="11"/>
      <color indexed="8"/>
      <name val="Calibri"/>
      <family val="2"/>
    </font>
    <font>
      <sz val="10.5"/>
      <color indexed="23"/>
      <name val="Calibri"/>
      <family val="2"/>
    </font>
    <font>
      <b/>
      <sz val="8"/>
      <name val="Calibri"/>
      <family val="2"/>
    </font>
    <font>
      <b/>
      <sz val="12"/>
      <color indexed="9"/>
      <name val="Calibri"/>
      <family val="2"/>
    </font>
    <font>
      <sz val="10"/>
      <color indexed="8"/>
      <name val="Calibri"/>
      <family val="2"/>
    </font>
    <font>
      <sz val="9"/>
      <color indexed="8"/>
      <name val="Calibri"/>
      <family val="2"/>
    </font>
    <font>
      <sz val="11"/>
      <color theme="1"/>
      <name val="Calibri"/>
      <family val="2"/>
      <scheme val="minor"/>
    </font>
  </fonts>
  <fills count="14">
    <fill>
      <patternFill patternType="none"/>
    </fill>
    <fill>
      <patternFill patternType="gray125"/>
    </fill>
    <fill>
      <patternFill patternType="solid">
        <fgColor indexed="51"/>
        <bgColor indexed="64"/>
      </patternFill>
    </fill>
    <fill>
      <patternFill patternType="solid">
        <fgColor indexed="9"/>
        <bgColor indexed="64"/>
      </patternFill>
    </fill>
    <fill>
      <patternFill patternType="solid">
        <fgColor indexed="22"/>
        <bgColor indexed="64"/>
      </patternFill>
    </fill>
    <fill>
      <patternFill patternType="solid">
        <fgColor indexed="10"/>
        <bgColor indexed="64"/>
      </patternFill>
    </fill>
    <fill>
      <patternFill patternType="solid">
        <fgColor indexed="50"/>
        <bgColor indexed="64"/>
      </patternFill>
    </fill>
    <fill>
      <patternFill patternType="solid">
        <fgColor indexed="42"/>
        <bgColor indexed="64"/>
      </patternFill>
    </fill>
    <fill>
      <patternFill patternType="solid">
        <fgColor indexed="44"/>
        <bgColor indexed="64"/>
      </patternFill>
    </fill>
    <fill>
      <patternFill patternType="solid">
        <fgColor indexed="60"/>
        <bgColor indexed="64"/>
      </patternFill>
    </fill>
    <fill>
      <patternFill patternType="solid">
        <fgColor indexed="52"/>
        <bgColor indexed="64"/>
      </patternFill>
    </fill>
    <fill>
      <patternFill patternType="solid">
        <fgColor indexed="45"/>
        <bgColor indexed="64"/>
      </patternFill>
    </fill>
    <fill>
      <patternFill patternType="solid">
        <fgColor indexed="23"/>
        <bgColor indexed="64"/>
      </patternFill>
    </fill>
    <fill>
      <patternFill patternType="solid">
        <fgColor indexed="61"/>
        <bgColor indexed="64"/>
      </patternFill>
    </fill>
  </fills>
  <borders count="16">
    <border>
      <left/>
      <right/>
      <top/>
      <bottom/>
      <diagonal/>
    </border>
    <border>
      <left/>
      <right/>
      <top/>
      <bottom style="thin">
        <color indexed="55"/>
      </bottom>
      <diagonal/>
    </border>
    <border>
      <left/>
      <right/>
      <top style="thin">
        <color indexed="55"/>
      </top>
      <bottom style="thin">
        <color indexed="55"/>
      </bottom>
      <diagonal/>
    </border>
    <border>
      <left/>
      <right/>
      <top style="thin">
        <color indexed="55"/>
      </top>
      <bottom/>
      <diagonal/>
    </border>
    <border>
      <left/>
      <right/>
      <top/>
      <bottom style="thin">
        <color indexed="9"/>
      </bottom>
      <diagonal/>
    </border>
    <border>
      <left style="thin">
        <color indexed="55"/>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55"/>
      </right>
      <top/>
      <bottom/>
      <diagonal/>
    </border>
    <border>
      <left/>
      <right style="thin">
        <color indexed="55"/>
      </right>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style="thin">
        <color indexed="55"/>
      </left>
      <right/>
      <top/>
      <bottom/>
      <diagonal/>
    </border>
    <border>
      <left style="thin">
        <color indexed="55"/>
      </left>
      <right/>
      <top/>
      <bottom style="thin">
        <color indexed="55"/>
      </bottom>
      <diagonal/>
    </border>
    <border>
      <left style="thin">
        <color indexed="55"/>
      </left>
      <right/>
      <top style="thin">
        <color indexed="55"/>
      </top>
      <bottom style="thin">
        <color indexed="55"/>
      </bottom>
      <diagonal/>
    </border>
  </borders>
  <cellStyleXfs count="13">
    <xf numFmtId="0" fontId="0" fillId="0" borderId="0"/>
    <xf numFmtId="0" fontId="5" fillId="0" borderId="0"/>
    <xf numFmtId="0" fontId="19" fillId="0" borderId="0"/>
    <xf numFmtId="0" fontId="31" fillId="0" borderId="0" applyNumberFormat="0" applyFill="0" applyBorder="0" applyAlignment="0" applyProtection="0"/>
    <xf numFmtId="43" fontId="5" fillId="0" borderId="0" applyFont="0" applyFill="0" applyBorder="0" applyAlignment="0" applyProtection="0"/>
    <xf numFmtId="176" fontId="5" fillId="0" borderId="0" applyFont="0" applyFill="0" applyBorder="0" applyAlignment="0" applyProtection="0"/>
    <xf numFmtId="0" fontId="32" fillId="0" borderId="0" applyNumberFormat="0" applyFill="0" applyBorder="0" applyAlignment="0" applyProtection="0">
      <alignment vertical="top"/>
      <protection locked="0"/>
    </xf>
    <xf numFmtId="0" fontId="5" fillId="0" borderId="0"/>
    <xf numFmtId="0" fontId="77" fillId="0" borderId="0"/>
    <xf numFmtId="0" fontId="19" fillId="0" borderId="0"/>
    <xf numFmtId="9" fontId="2" fillId="0" borderId="0" applyFont="0" applyFill="0" applyBorder="0" applyAlignment="0" applyProtection="0"/>
    <xf numFmtId="9" fontId="5" fillId="0" borderId="0" applyFont="0" applyFill="0" applyBorder="0" applyAlignment="0" applyProtection="0"/>
    <xf numFmtId="0" fontId="31" fillId="0" borderId="0" applyNumberFormat="0" applyFill="0" applyBorder="0" applyAlignment="0" applyProtection="0"/>
  </cellStyleXfs>
  <cellXfs count="241">
    <xf numFmtId="0" fontId="0" fillId="0" borderId="0" xfId="0"/>
    <xf numFmtId="0" fontId="4" fillId="0" borderId="0" xfId="0" applyFont="1"/>
    <xf numFmtId="0" fontId="5" fillId="0" borderId="0" xfId="0" applyFont="1"/>
    <xf numFmtId="0" fontId="5" fillId="0" borderId="0" xfId="1" applyFont="1" applyAlignment="1"/>
    <xf numFmtId="0" fontId="6" fillId="0" borderId="0" xfId="1" applyFont="1" applyAlignment="1"/>
    <xf numFmtId="0" fontId="7" fillId="0" borderId="0" xfId="0" applyFont="1"/>
    <xf numFmtId="0" fontId="7" fillId="0" borderId="0" xfId="0" applyFont="1" applyAlignment="1">
      <alignment horizontal="left"/>
    </xf>
    <xf numFmtId="0" fontId="8" fillId="0" borderId="0" xfId="0" applyFont="1"/>
    <xf numFmtId="0" fontId="9" fillId="0" borderId="0" xfId="0" applyFont="1"/>
    <xf numFmtId="0" fontId="9" fillId="0" borderId="0" xfId="0" applyFont="1" applyAlignment="1">
      <alignment horizontal="left"/>
    </xf>
    <xf numFmtId="0" fontId="8" fillId="0" borderId="0" xfId="0" applyFont="1" applyAlignment="1">
      <alignment horizontal="left"/>
    </xf>
    <xf numFmtId="0" fontId="9" fillId="0" borderId="0" xfId="0" applyFont="1" applyAlignment="1"/>
    <xf numFmtId="17" fontId="9" fillId="0" borderId="0" xfId="0" applyNumberFormat="1" applyFont="1"/>
    <xf numFmtId="0" fontId="9" fillId="0" borderId="0" xfId="1" applyFont="1" applyFill="1" applyAlignment="1"/>
    <xf numFmtId="17" fontId="8" fillId="0" borderId="0" xfId="0" applyNumberFormat="1" applyFont="1"/>
    <xf numFmtId="0" fontId="8" fillId="0" borderId="0" xfId="1" applyFont="1" applyFill="1" applyAlignment="1"/>
    <xf numFmtId="0" fontId="8" fillId="2" borderId="0" xfId="0" applyFont="1" applyFill="1"/>
    <xf numFmtId="0" fontId="8" fillId="2" borderId="0" xfId="0" applyFont="1" applyFill="1" applyAlignment="1"/>
    <xf numFmtId="0" fontId="8" fillId="0" borderId="0" xfId="0" applyFont="1" applyAlignment="1"/>
    <xf numFmtId="0" fontId="8" fillId="0" borderId="0" xfId="1" quotePrefix="1" applyFont="1" applyFill="1" applyAlignment="1"/>
    <xf numFmtId="17" fontId="8" fillId="0" borderId="0" xfId="0" applyNumberFormat="1" applyFont="1" applyAlignment="1"/>
    <xf numFmtId="0" fontId="0" fillId="0" borderId="0" xfId="0" applyAlignment="1"/>
    <xf numFmtId="172" fontId="10" fillId="0" borderId="0" xfId="0" applyNumberFormat="1" applyFont="1"/>
    <xf numFmtId="0" fontId="11" fillId="3" borderId="1" xfId="0" applyFont="1" applyFill="1" applyBorder="1"/>
    <xf numFmtId="0" fontId="0" fillId="0" borderId="2" xfId="0" applyBorder="1"/>
    <xf numFmtId="0" fontId="0" fillId="3" borderId="2" xfId="0" applyFill="1" applyBorder="1"/>
    <xf numFmtId="0" fontId="0" fillId="0" borderId="3" xfId="0" applyBorder="1"/>
    <xf numFmtId="0" fontId="3" fillId="0" borderId="1" xfId="0" applyFont="1" applyBorder="1"/>
    <xf numFmtId="0" fontId="3" fillId="0" borderId="2" xfId="0" applyFont="1" applyBorder="1"/>
    <xf numFmtId="0" fontId="0" fillId="4" borderId="0" xfId="0" applyFill="1"/>
    <xf numFmtId="0" fontId="12" fillId="4" borderId="0" xfId="0" applyFont="1" applyFill="1" applyAlignment="1">
      <alignment horizontal="right" vertical="top" wrapText="1"/>
    </xf>
    <xf numFmtId="0" fontId="13" fillId="4" borderId="0" xfId="0" applyFont="1" applyFill="1" applyAlignment="1">
      <alignment horizontal="right" vertical="top" wrapText="1"/>
    </xf>
    <xf numFmtId="0" fontId="14" fillId="0" borderId="0" xfId="0" applyFont="1"/>
    <xf numFmtId="0" fontId="14" fillId="0" borderId="0" xfId="0" applyFont="1" applyAlignment="1">
      <alignment horizontal="right"/>
    </xf>
    <xf numFmtId="0" fontId="15" fillId="0" borderId="0" xfId="0" applyFont="1"/>
    <xf numFmtId="0" fontId="16" fillId="3" borderId="0" xfId="0" applyFont="1" applyFill="1"/>
    <xf numFmtId="173" fontId="10" fillId="0" borderId="1" xfId="10" applyNumberFormat="1" applyFont="1" applyBorder="1" applyAlignment="1">
      <alignment vertical="center"/>
    </xf>
    <xf numFmtId="173" fontId="0" fillId="0" borderId="0" xfId="0" applyNumberFormat="1"/>
    <xf numFmtId="172" fontId="0" fillId="0" borderId="0" xfId="0" applyNumberFormat="1"/>
    <xf numFmtId="0" fontId="3" fillId="0" borderId="0" xfId="0" applyFont="1"/>
    <xf numFmtId="0" fontId="0" fillId="5" borderId="0" xfId="0" applyFill="1"/>
    <xf numFmtId="0" fontId="0" fillId="0" borderId="0" xfId="0" applyAlignment="1">
      <alignment horizontal="right"/>
    </xf>
    <xf numFmtId="0" fontId="0" fillId="0" borderId="0" xfId="0" quotePrefix="1"/>
    <xf numFmtId="172" fontId="0" fillId="0" borderId="0" xfId="0" applyNumberFormat="1" applyAlignment="1"/>
    <xf numFmtId="0" fontId="17" fillId="0" borderId="0" xfId="0" applyFont="1"/>
    <xf numFmtId="0" fontId="0" fillId="2" borderId="0" xfId="0" applyFill="1"/>
    <xf numFmtId="0" fontId="19" fillId="0" borderId="0" xfId="0" applyFont="1"/>
    <xf numFmtId="172" fontId="0" fillId="0" borderId="0" xfId="0" applyNumberFormat="1" applyAlignment="1">
      <alignment horizontal="right"/>
    </xf>
    <xf numFmtId="0" fontId="18" fillId="0" borderId="0" xfId="0" applyFont="1"/>
    <xf numFmtId="0" fontId="0" fillId="0" borderId="0" xfId="0" applyFill="1"/>
    <xf numFmtId="0" fontId="21" fillId="6" borderId="0" xfId="0" applyFont="1" applyFill="1" applyAlignment="1">
      <alignment vertical="top"/>
    </xf>
    <xf numFmtId="0" fontId="22" fillId="6" borderId="0" xfId="0" applyFont="1" applyFill="1"/>
    <xf numFmtId="0" fontId="23" fillId="7" borderId="4" xfId="9" applyFont="1" applyFill="1" applyBorder="1" applyAlignment="1" applyProtection="1">
      <alignment horizontal="right" vertical="center"/>
      <protection locked="0"/>
    </xf>
    <xf numFmtId="172" fontId="24" fillId="7" borderId="4" xfId="9" applyNumberFormat="1" applyFont="1" applyFill="1" applyBorder="1" applyAlignment="1" applyProtection="1">
      <alignment horizontal="right" vertical="center"/>
      <protection locked="0"/>
    </xf>
    <xf numFmtId="0" fontId="24" fillId="7" borderId="4" xfId="9" applyFont="1" applyFill="1" applyBorder="1" applyAlignment="1" applyProtection="1">
      <alignment horizontal="left" vertical="center"/>
      <protection locked="0"/>
    </xf>
    <xf numFmtId="0" fontId="28" fillId="0" borderId="0" xfId="0" applyFont="1"/>
    <xf numFmtId="0" fontId="0" fillId="0" borderId="1" xfId="0" applyBorder="1"/>
    <xf numFmtId="172" fontId="0" fillId="0" borderId="1" xfId="0" applyNumberFormat="1" applyBorder="1"/>
    <xf numFmtId="0" fontId="26" fillId="0" borderId="1" xfId="0" applyFont="1" applyBorder="1" applyAlignment="1">
      <alignment vertical="top" wrapText="1"/>
    </xf>
    <xf numFmtId="0" fontId="0" fillId="2" borderId="2" xfId="0" applyFill="1" applyBorder="1"/>
    <xf numFmtId="0" fontId="26" fillId="0" borderId="2" xfId="0" applyFont="1" applyBorder="1" applyAlignment="1">
      <alignment vertical="top"/>
    </xf>
    <xf numFmtId="172" fontId="0" fillId="0" borderId="2" xfId="0" applyNumberFormat="1" applyBorder="1" applyAlignment="1">
      <alignment vertical="top"/>
    </xf>
    <xf numFmtId="0" fontId="27" fillId="0" borderId="1" xfId="0" applyFont="1" applyBorder="1" applyAlignment="1">
      <alignment vertical="center"/>
    </xf>
    <xf numFmtId="0" fontId="25" fillId="0" borderId="0" xfId="0" applyFont="1" applyAlignment="1">
      <alignment horizontal="right"/>
    </xf>
    <xf numFmtId="0" fontId="0" fillId="2" borderId="5" xfId="0" applyFill="1" applyBorder="1"/>
    <xf numFmtId="0" fontId="29" fillId="0" borderId="0" xfId="0" applyFont="1"/>
    <xf numFmtId="0" fontId="5" fillId="3" borderId="0" xfId="7" applyFill="1"/>
    <xf numFmtId="0" fontId="30" fillId="0" borderId="0" xfId="7" applyFont="1"/>
    <xf numFmtId="0" fontId="5" fillId="3" borderId="0" xfId="7" applyFont="1" applyFill="1"/>
    <xf numFmtId="0" fontId="33" fillId="0" borderId="0" xfId="0" applyFont="1"/>
    <xf numFmtId="0" fontId="34" fillId="0" borderId="0" xfId="0" applyFont="1"/>
    <xf numFmtId="0" fontId="35" fillId="8" borderId="0" xfId="9" applyFont="1" applyFill="1" applyBorder="1" applyAlignment="1" applyProtection="1">
      <alignment horizontal="left" vertical="center" indent="2"/>
      <protection locked="0"/>
    </xf>
    <xf numFmtId="0" fontId="35" fillId="8" borderId="0" xfId="9" applyFont="1" applyFill="1" applyBorder="1" applyAlignment="1" applyProtection="1">
      <alignment horizontal="left" vertical="center" indent="1"/>
      <protection locked="0"/>
    </xf>
    <xf numFmtId="0" fontId="36" fillId="7" borderId="4" xfId="9" applyFont="1" applyFill="1" applyBorder="1" applyAlignment="1" applyProtection="1">
      <alignment horizontal="right" vertical="center"/>
      <protection locked="0"/>
    </xf>
    <xf numFmtId="172" fontId="8" fillId="7" borderId="4" xfId="9" applyNumberFormat="1" applyFont="1" applyFill="1" applyBorder="1" applyAlignment="1" applyProtection="1">
      <alignment horizontal="right" vertical="center"/>
      <protection locked="0"/>
    </xf>
    <xf numFmtId="172" fontId="20" fillId="7" borderId="4" xfId="9" applyNumberFormat="1" applyFont="1" applyFill="1" applyBorder="1" applyAlignment="1" applyProtection="1">
      <alignment horizontal="left" vertical="center"/>
      <protection locked="0"/>
    </xf>
    <xf numFmtId="0" fontId="21" fillId="6" borderId="0" xfId="0" applyFont="1" applyFill="1" applyAlignment="1">
      <alignment horizontal="right" vertical="top"/>
    </xf>
    <xf numFmtId="0" fontId="22" fillId="6" borderId="0" xfId="0" applyFont="1" applyFill="1" applyAlignment="1">
      <alignment horizontal="right" vertical="top"/>
    </xf>
    <xf numFmtId="0" fontId="37" fillId="7" borderId="4" xfId="9" applyFont="1" applyFill="1" applyBorder="1" applyAlignment="1" applyProtection="1">
      <alignment horizontal="right" vertical="center"/>
      <protection locked="0"/>
    </xf>
    <xf numFmtId="0" fontId="24" fillId="7" borderId="4" xfId="9" applyFont="1" applyFill="1" applyBorder="1" applyAlignment="1" applyProtection="1">
      <alignment horizontal="right" vertical="center"/>
      <protection locked="0"/>
    </xf>
    <xf numFmtId="0" fontId="0" fillId="0" borderId="6" xfId="0" applyFill="1" applyBorder="1"/>
    <xf numFmtId="0" fontId="0" fillId="0" borderId="7" xfId="0" applyFill="1" applyBorder="1"/>
    <xf numFmtId="172" fontId="25" fillId="0" borderId="7" xfId="0" applyNumberFormat="1" applyFont="1" applyFill="1" applyBorder="1" applyAlignment="1">
      <alignment horizontal="right"/>
    </xf>
    <xf numFmtId="0" fontId="25" fillId="0" borderId="7" xfId="0" applyFont="1" applyFill="1" applyBorder="1"/>
    <xf numFmtId="0" fontId="25" fillId="0" borderId="8" xfId="0" applyFont="1" applyFill="1" applyBorder="1" applyAlignment="1">
      <alignment horizontal="right"/>
    </xf>
    <xf numFmtId="0" fontId="38" fillId="8" borderId="0" xfId="9" applyFont="1" applyFill="1" applyBorder="1" applyAlignment="1" applyProtection="1">
      <alignment horizontal="left" vertical="center"/>
      <protection locked="0"/>
    </xf>
    <xf numFmtId="0" fontId="0" fillId="0" borderId="0" xfId="0" applyBorder="1"/>
    <xf numFmtId="0" fontId="50" fillId="4" borderId="0" xfId="0" applyFont="1" applyFill="1"/>
    <xf numFmtId="0" fontId="0" fillId="4" borderId="9" xfId="0" applyFill="1" applyBorder="1"/>
    <xf numFmtId="0" fontId="0" fillId="4" borderId="1" xfId="0" applyFill="1" applyBorder="1"/>
    <xf numFmtId="0" fontId="0" fillId="4" borderId="10" xfId="0" applyFill="1" applyBorder="1"/>
    <xf numFmtId="0" fontId="49" fillId="0" borderId="0" xfId="0" applyFont="1"/>
    <xf numFmtId="172" fontId="13" fillId="7" borderId="4" xfId="9" applyNumberFormat="1" applyFont="1" applyFill="1" applyBorder="1" applyAlignment="1" applyProtection="1">
      <alignment horizontal="right" vertical="center"/>
      <protection locked="0"/>
    </xf>
    <xf numFmtId="172" fontId="10" fillId="7" borderId="4" xfId="9" applyNumberFormat="1" applyFont="1" applyFill="1" applyBorder="1" applyAlignment="1" applyProtection="1">
      <alignment horizontal="right" vertical="center"/>
      <protection locked="0"/>
    </xf>
    <xf numFmtId="0" fontId="8" fillId="7" borderId="4" xfId="9" applyNumberFormat="1" applyFont="1" applyFill="1" applyBorder="1" applyAlignment="1" applyProtection="1">
      <alignment horizontal="right" vertical="center"/>
      <protection locked="0"/>
    </xf>
    <xf numFmtId="0" fontId="48" fillId="0" borderId="0" xfId="0" applyFont="1"/>
    <xf numFmtId="172" fontId="16" fillId="0" borderId="0" xfId="0" applyNumberFormat="1" applyFont="1"/>
    <xf numFmtId="172" fontId="48" fillId="0" borderId="0" xfId="0" applyNumberFormat="1" applyFont="1"/>
    <xf numFmtId="173" fontId="16" fillId="0" borderId="1" xfId="10" applyNumberFormat="1" applyFont="1" applyBorder="1" applyAlignment="1">
      <alignment vertical="center"/>
    </xf>
    <xf numFmtId="0" fontId="12" fillId="4" borderId="0" xfId="0" applyFont="1" applyFill="1" applyBorder="1" applyAlignment="1">
      <alignment horizontal="right" vertical="top" wrapText="1"/>
    </xf>
    <xf numFmtId="0" fontId="51" fillId="0" borderId="0" xfId="0" applyFont="1"/>
    <xf numFmtId="0" fontId="50" fillId="0" borderId="0" xfId="0" applyFont="1"/>
    <xf numFmtId="173" fontId="50" fillId="0" borderId="0" xfId="0" applyNumberFormat="1" applyFont="1"/>
    <xf numFmtId="173" fontId="51" fillId="0" borderId="0" xfId="0" applyNumberFormat="1" applyFont="1"/>
    <xf numFmtId="0" fontId="40" fillId="6" borderId="0" xfId="9" applyFont="1" applyFill="1" applyBorder="1" applyAlignment="1">
      <alignment horizontal="left" vertical="top"/>
    </xf>
    <xf numFmtId="0" fontId="40" fillId="6" borderId="0" xfId="9" applyFont="1" applyFill="1" applyBorder="1" applyAlignment="1">
      <alignment horizontal="right" vertical="top"/>
    </xf>
    <xf numFmtId="0" fontId="0" fillId="9" borderId="1" xfId="0" applyFill="1" applyBorder="1"/>
    <xf numFmtId="173" fontId="0" fillId="0" borderId="1" xfId="0" applyNumberFormat="1" applyBorder="1"/>
    <xf numFmtId="0" fontId="0" fillId="9" borderId="2" xfId="0" applyFill="1" applyBorder="1"/>
    <xf numFmtId="173" fontId="0" fillId="0" borderId="2" xfId="0" applyNumberFormat="1" applyBorder="1"/>
    <xf numFmtId="0" fontId="48" fillId="0" borderId="2" xfId="0" applyFont="1" applyBorder="1"/>
    <xf numFmtId="2" fontId="24" fillId="7" borderId="4" xfId="9" applyNumberFormat="1" applyFont="1" applyFill="1" applyBorder="1" applyAlignment="1" applyProtection="1">
      <alignment horizontal="right" vertical="center"/>
      <protection locked="0"/>
    </xf>
    <xf numFmtId="174" fontId="24" fillId="7" borderId="4" xfId="9" applyNumberFormat="1" applyFont="1" applyFill="1" applyBorder="1" applyAlignment="1" applyProtection="1">
      <alignment horizontal="right" vertical="center"/>
      <protection locked="0"/>
    </xf>
    <xf numFmtId="0" fontId="24" fillId="4" borderId="4" xfId="9" applyFont="1" applyFill="1" applyBorder="1" applyAlignment="1" applyProtection="1">
      <alignment horizontal="left" vertical="center"/>
      <protection locked="0"/>
    </xf>
    <xf numFmtId="172" fontId="24" fillId="4" borderId="4" xfId="9" applyNumberFormat="1" applyFont="1" applyFill="1" applyBorder="1" applyAlignment="1" applyProtection="1">
      <alignment horizontal="right" vertical="center"/>
      <protection locked="0"/>
    </xf>
    <xf numFmtId="0" fontId="41" fillId="0" borderId="0" xfId="0" applyFont="1"/>
    <xf numFmtId="0" fontId="52" fillId="0" borderId="0" xfId="0" applyFont="1"/>
    <xf numFmtId="0" fontId="5" fillId="0" borderId="0" xfId="7" applyAlignment="1"/>
    <xf numFmtId="0" fontId="53" fillId="0" borderId="0" xfId="7" applyFont="1" applyAlignment="1"/>
    <xf numFmtId="0" fontId="5" fillId="0" borderId="0" xfId="7" applyFont="1" applyAlignment="1"/>
    <xf numFmtId="0" fontId="42" fillId="0" borderId="0" xfId="7" applyFont="1" applyAlignment="1"/>
    <xf numFmtId="0" fontId="11" fillId="0" borderId="0" xfId="7" applyFont="1" applyAlignment="1"/>
    <xf numFmtId="0" fontId="42" fillId="0" borderId="0" xfId="7" applyFont="1" applyAlignment="1">
      <alignment horizontal="right"/>
    </xf>
    <xf numFmtId="0" fontId="4" fillId="0" borderId="0" xfId="7" applyFont="1" applyAlignment="1">
      <alignment horizontal="right"/>
    </xf>
    <xf numFmtId="0" fontId="4" fillId="0" borderId="0" xfId="7" applyFont="1" applyAlignment="1"/>
    <xf numFmtId="0" fontId="5" fillId="0" borderId="0" xfId="7" applyAlignment="1">
      <alignment horizontal="right"/>
    </xf>
    <xf numFmtId="0" fontId="5" fillId="0" borderId="0" xfId="7"/>
    <xf numFmtId="0" fontId="35" fillId="4" borderId="0" xfId="9" applyFont="1" applyFill="1" applyBorder="1" applyAlignment="1" applyProtection="1">
      <alignment horizontal="left" vertical="center" indent="2"/>
      <protection locked="0"/>
    </xf>
    <xf numFmtId="0" fontId="54" fillId="4" borderId="0" xfId="9" applyFont="1" applyFill="1" applyBorder="1" applyAlignment="1" applyProtection="1">
      <alignment horizontal="left" vertical="center"/>
      <protection locked="0"/>
    </xf>
    <xf numFmtId="0" fontId="35" fillId="4" borderId="9" xfId="9" applyFont="1" applyFill="1" applyBorder="1" applyAlignment="1" applyProtection="1">
      <alignment horizontal="left" vertical="center" indent="2"/>
      <protection locked="0"/>
    </xf>
    <xf numFmtId="0" fontId="44" fillId="0" borderId="0" xfId="7" applyFont="1"/>
    <xf numFmtId="0" fontId="55" fillId="0" borderId="0" xfId="7" applyFont="1"/>
    <xf numFmtId="0" fontId="56" fillId="0" borderId="0" xfId="7" applyFont="1" applyAlignment="1">
      <alignment horizontal="right"/>
    </xf>
    <xf numFmtId="0" fontId="57" fillId="0" borderId="0" xfId="7" applyFont="1"/>
    <xf numFmtId="0" fontId="57" fillId="0" borderId="0" xfId="7" applyFont="1" applyAlignment="1">
      <alignment horizontal="right"/>
    </xf>
    <xf numFmtId="0" fontId="45" fillId="0" borderId="0" xfId="7" applyFont="1"/>
    <xf numFmtId="0" fontId="46" fillId="0" borderId="0" xfId="7" applyFont="1"/>
    <xf numFmtId="174" fontId="46" fillId="0" borderId="0" xfId="7" applyNumberFormat="1" applyFont="1" applyAlignment="1">
      <alignment horizontal="left"/>
    </xf>
    <xf numFmtId="0" fontId="37" fillId="0" borderId="0" xfId="7" applyFont="1"/>
    <xf numFmtId="0" fontId="35" fillId="4" borderId="1" xfId="9" applyFont="1" applyFill="1" applyBorder="1" applyAlignment="1" applyProtection="1">
      <alignment horizontal="left" vertical="center" indent="2"/>
      <protection locked="0"/>
    </xf>
    <xf numFmtId="0" fontId="54" fillId="4" borderId="1" xfId="9" applyFont="1" applyFill="1" applyBorder="1" applyAlignment="1" applyProtection="1">
      <alignment horizontal="left" vertical="center"/>
      <protection locked="0"/>
    </xf>
    <xf numFmtId="0" fontId="35" fillId="4" borderId="10" xfId="9" applyFont="1" applyFill="1" applyBorder="1" applyAlignment="1" applyProtection="1">
      <alignment horizontal="left" vertical="center" indent="2"/>
      <protection locked="0"/>
    </xf>
    <xf numFmtId="0" fontId="5" fillId="10" borderId="0" xfId="7" applyFill="1"/>
    <xf numFmtId="172" fontId="58" fillId="0" borderId="2" xfId="0" applyNumberFormat="1" applyFont="1" applyBorder="1" applyAlignment="1">
      <alignment horizontal="right" vertical="top"/>
    </xf>
    <xf numFmtId="172" fontId="58" fillId="0" borderId="1" xfId="0" applyNumberFormat="1" applyFont="1" applyBorder="1" applyAlignment="1">
      <alignment horizontal="right"/>
    </xf>
    <xf numFmtId="0" fontId="0" fillId="9" borderId="11" xfId="0" applyFill="1" applyBorder="1"/>
    <xf numFmtId="0" fontId="50" fillId="9" borderId="3" xfId="0" applyFont="1" applyFill="1" applyBorder="1"/>
    <xf numFmtId="0" fontId="0" fillId="9" borderId="3" xfId="0" applyFill="1" applyBorder="1"/>
    <xf numFmtId="0" fontId="0" fillId="9" borderId="12" xfId="0" applyFill="1" applyBorder="1"/>
    <xf numFmtId="0" fontId="0" fillId="9" borderId="13" xfId="0" applyFill="1" applyBorder="1"/>
    <xf numFmtId="0" fontId="0" fillId="9" borderId="0" xfId="0" applyFill="1" applyBorder="1"/>
    <xf numFmtId="0" fontId="0" fillId="9" borderId="9" xfId="0" applyFill="1" applyBorder="1"/>
    <xf numFmtId="0" fontId="50" fillId="9" borderId="0" xfId="0" applyFont="1" applyFill="1" applyBorder="1"/>
    <xf numFmtId="0" fontId="0" fillId="9" borderId="14" xfId="0" applyFill="1" applyBorder="1"/>
    <xf numFmtId="0" fontId="0" fillId="9" borderId="10" xfId="0" applyFill="1" applyBorder="1"/>
    <xf numFmtId="0" fontId="58" fillId="0" borderId="0" xfId="0" applyFont="1" applyAlignment="1">
      <alignment horizontal="left" vertical="top" wrapText="1"/>
    </xf>
    <xf numFmtId="0" fontId="26" fillId="11" borderId="2" xfId="0" applyFont="1" applyFill="1" applyBorder="1" applyAlignment="1">
      <alignment vertical="top"/>
    </xf>
    <xf numFmtId="172" fontId="0" fillId="11" borderId="2" xfId="0" applyNumberFormat="1" applyFill="1" applyBorder="1" applyAlignment="1">
      <alignment vertical="top"/>
    </xf>
    <xf numFmtId="172" fontId="58" fillId="11" borderId="2" xfId="0" applyNumberFormat="1" applyFont="1" applyFill="1" applyBorder="1" applyAlignment="1">
      <alignment horizontal="right" vertical="top"/>
    </xf>
    <xf numFmtId="0" fontId="24" fillId="11" borderId="4" xfId="9" applyFont="1" applyFill="1" applyBorder="1" applyAlignment="1" applyProtection="1">
      <alignment horizontal="left" vertical="center"/>
      <protection locked="0"/>
    </xf>
    <xf numFmtId="172" fontId="24" fillId="11" borderId="4" xfId="9" applyNumberFormat="1" applyFont="1" applyFill="1" applyBorder="1" applyAlignment="1" applyProtection="1">
      <alignment horizontal="right" vertical="center"/>
      <protection locked="0"/>
    </xf>
    <xf numFmtId="0" fontId="21" fillId="12" borderId="0" xfId="0" applyFont="1" applyFill="1" applyAlignment="1">
      <alignment horizontal="right" vertical="top"/>
    </xf>
    <xf numFmtId="0" fontId="47" fillId="0" borderId="0" xfId="0" applyFont="1"/>
    <xf numFmtId="0" fontId="21" fillId="12" borderId="0" xfId="0" applyFont="1" applyFill="1" applyAlignment="1">
      <alignment horizontal="right" vertical="center"/>
    </xf>
    <xf numFmtId="0" fontId="5" fillId="0" borderId="2" xfId="0" applyFont="1" applyFill="1" applyBorder="1"/>
    <xf numFmtId="0" fontId="25" fillId="11" borderId="2" xfId="0" applyFont="1" applyFill="1" applyBorder="1" applyAlignment="1">
      <alignment horizontal="left" vertical="top" wrapText="1"/>
    </xf>
    <xf numFmtId="0" fontId="25" fillId="0" borderId="2" xfId="0" applyFont="1" applyBorder="1" applyAlignment="1">
      <alignment horizontal="left" vertical="top" wrapText="1"/>
    </xf>
    <xf numFmtId="0" fontId="59" fillId="11" borderId="2" xfId="0" applyFont="1" applyFill="1" applyBorder="1" applyAlignment="1">
      <alignment horizontal="left" vertical="top" wrapText="1"/>
    </xf>
    <xf numFmtId="0" fontId="8" fillId="9" borderId="0" xfId="0" applyFont="1" applyFill="1"/>
    <xf numFmtId="0" fontId="8" fillId="9" borderId="0" xfId="0" applyFont="1" applyFill="1" applyAlignment="1">
      <alignment horizontal="left"/>
    </xf>
    <xf numFmtId="0" fontId="7" fillId="9" borderId="0" xfId="0" applyFont="1" applyFill="1"/>
    <xf numFmtId="0" fontId="8" fillId="9" borderId="0" xfId="0" applyFont="1" applyFill="1" applyAlignment="1"/>
    <xf numFmtId="0" fontId="8" fillId="9" borderId="0" xfId="1" quotePrefix="1" applyFont="1" applyFill="1" applyAlignment="1"/>
    <xf numFmtId="0" fontId="0" fillId="9" borderId="0" xfId="0" applyFill="1"/>
    <xf numFmtId="172" fontId="63" fillId="0" borderId="0" xfId="0" applyNumberFormat="1" applyFont="1"/>
    <xf numFmtId="0" fontId="0" fillId="0" borderId="0" xfId="0" applyFont="1"/>
    <xf numFmtId="173" fontId="12" fillId="0" borderId="0" xfId="0" applyNumberFormat="1" applyFont="1"/>
    <xf numFmtId="172" fontId="1" fillId="0" borderId="0" xfId="0" applyNumberFormat="1" applyFont="1"/>
    <xf numFmtId="0" fontId="64" fillId="5" borderId="0" xfId="0" applyFont="1" applyFill="1"/>
    <xf numFmtId="0" fontId="62" fillId="5" borderId="0" xfId="0" applyFont="1" applyFill="1"/>
    <xf numFmtId="0" fontId="38" fillId="8" borderId="0" xfId="9" applyFont="1" applyFill="1" applyBorder="1" applyAlignment="1" applyProtection="1">
      <alignment horizontal="right" vertical="center"/>
      <protection locked="0"/>
    </xf>
    <xf numFmtId="0" fontId="65" fillId="0" borderId="0" xfId="0" applyFont="1"/>
    <xf numFmtId="0" fontId="65" fillId="0" borderId="0" xfId="0" applyFont="1" applyAlignment="1"/>
    <xf numFmtId="0" fontId="0" fillId="3" borderId="0" xfId="0" applyFill="1" applyBorder="1"/>
    <xf numFmtId="0" fontId="0" fillId="3" borderId="0" xfId="0" applyFill="1"/>
    <xf numFmtId="0" fontId="3" fillId="3" borderId="2" xfId="0" applyFont="1" applyFill="1" applyBorder="1"/>
    <xf numFmtId="17" fontId="8" fillId="9" borderId="0" xfId="0" applyNumberFormat="1" applyFont="1" applyFill="1" applyAlignment="1"/>
    <xf numFmtId="172" fontId="66" fillId="0" borderId="0" xfId="0" applyNumberFormat="1" applyFont="1"/>
    <xf numFmtId="0" fontId="21" fillId="13" borderId="0" xfId="0" applyFont="1" applyFill="1" applyAlignment="1">
      <alignment vertical="top"/>
    </xf>
    <xf numFmtId="0" fontId="22" fillId="13" borderId="0" xfId="0" applyFont="1" applyFill="1"/>
    <xf numFmtId="0" fontId="39" fillId="13" borderId="0" xfId="0" applyFont="1" applyFill="1" applyAlignment="1">
      <alignment horizontal="right"/>
    </xf>
    <xf numFmtId="0" fontId="67" fillId="7" borderId="4" xfId="9" applyFont="1" applyFill="1" applyBorder="1" applyAlignment="1" applyProtection="1">
      <alignment horizontal="right" vertical="center"/>
      <protection locked="0"/>
    </xf>
    <xf numFmtId="172" fontId="69" fillId="7" borderId="4" xfId="9" applyNumberFormat="1" applyFont="1" applyFill="1" applyBorder="1" applyAlignment="1" applyProtection="1">
      <alignment horizontal="right" vertical="center"/>
      <protection locked="0"/>
    </xf>
    <xf numFmtId="0" fontId="65" fillId="0" borderId="0" xfId="0" applyFont="1" applyFill="1" applyAlignment="1"/>
    <xf numFmtId="0" fontId="22" fillId="13" borderId="0" xfId="0" applyFont="1" applyFill="1" applyAlignment="1">
      <alignment horizontal="right"/>
    </xf>
    <xf numFmtId="0" fontId="39" fillId="6" borderId="0" xfId="0" applyFont="1" applyFill="1" applyAlignment="1">
      <alignment horizontal="right"/>
    </xf>
    <xf numFmtId="0" fontId="39" fillId="6" borderId="0" xfId="0" applyFont="1" applyFill="1" applyAlignment="1">
      <alignment horizontal="left"/>
    </xf>
    <xf numFmtId="0" fontId="70" fillId="8" borderId="0" xfId="9" applyFont="1" applyFill="1" applyBorder="1" applyAlignment="1" applyProtection="1">
      <alignment horizontal="left" vertical="center" wrapText="1"/>
      <protection locked="0"/>
    </xf>
    <xf numFmtId="173" fontId="0" fillId="0" borderId="0" xfId="0" applyNumberFormat="1" applyFill="1"/>
    <xf numFmtId="0" fontId="71" fillId="0" borderId="2" xfId="0" applyFont="1" applyBorder="1"/>
    <xf numFmtId="0" fontId="71" fillId="3" borderId="2" xfId="0" applyFont="1" applyFill="1" applyBorder="1"/>
    <xf numFmtId="0" fontId="71" fillId="0" borderId="0" xfId="0" applyFont="1"/>
    <xf numFmtId="0" fontId="71" fillId="3" borderId="0" xfId="0" applyFont="1" applyFill="1"/>
    <xf numFmtId="172" fontId="72" fillId="7" borderId="4" xfId="9" applyNumberFormat="1" applyFont="1" applyFill="1" applyBorder="1" applyAlignment="1" applyProtection="1">
      <alignment horizontal="right" vertical="center"/>
      <protection locked="0"/>
    </xf>
    <xf numFmtId="0" fontId="73" fillId="8" borderId="0" xfId="9" applyFont="1" applyFill="1" applyBorder="1" applyAlignment="1" applyProtection="1">
      <alignment horizontal="right" vertical="center"/>
      <protection locked="0"/>
    </xf>
    <xf numFmtId="0" fontId="74" fillId="8" borderId="0" xfId="9" applyFont="1" applyFill="1" applyBorder="1" applyAlignment="1" applyProtection="1">
      <alignment horizontal="left" vertical="center" indent="1"/>
      <protection locked="0"/>
    </xf>
    <xf numFmtId="0" fontId="5" fillId="0" borderId="15" xfId="0" applyFont="1" applyFill="1" applyBorder="1"/>
    <xf numFmtId="0" fontId="71" fillId="0" borderId="13" xfId="0" applyFont="1" applyBorder="1"/>
    <xf numFmtId="0" fontId="75" fillId="0" borderId="0" xfId="0" applyFont="1" applyAlignment="1">
      <alignment horizontal="left"/>
    </xf>
    <xf numFmtId="0" fontId="5" fillId="10" borderId="2" xfId="0" applyFont="1" applyFill="1" applyBorder="1"/>
    <xf numFmtId="0" fontId="25" fillId="0" borderId="0" xfId="0" applyFont="1" applyAlignment="1">
      <alignment horizontal="right" wrapText="1"/>
    </xf>
    <xf numFmtId="184" fontId="68" fillId="7" borderId="4" xfId="9" applyNumberFormat="1" applyFont="1" applyFill="1" applyBorder="1" applyAlignment="1" applyProtection="1">
      <alignment horizontal="right" vertical="center"/>
      <protection locked="0"/>
    </xf>
    <xf numFmtId="185" fontId="68" fillId="7" borderId="4" xfId="9" applyNumberFormat="1" applyFont="1" applyFill="1" applyBorder="1" applyAlignment="1" applyProtection="1">
      <alignment horizontal="right" vertical="center"/>
      <protection locked="0"/>
    </xf>
    <xf numFmtId="0" fontId="26" fillId="0" borderId="2" xfId="0" applyFont="1" applyBorder="1" applyAlignment="1">
      <alignment vertical="top" wrapText="1"/>
    </xf>
    <xf numFmtId="172" fontId="25" fillId="0" borderId="2" xfId="0" applyNumberFormat="1" applyFont="1" applyBorder="1" applyAlignment="1">
      <alignment horizontal="right" vertical="top"/>
    </xf>
    <xf numFmtId="0" fontId="5" fillId="4" borderId="2" xfId="0" applyFont="1" applyFill="1" applyBorder="1"/>
    <xf numFmtId="0" fontId="25" fillId="0" borderId="0" xfId="0" applyFont="1" applyFill="1" applyAlignment="1">
      <alignment wrapText="1"/>
    </xf>
    <xf numFmtId="0" fontId="25" fillId="0" borderId="0" xfId="0" applyNumberFormat="1" applyFont="1" applyFill="1" applyAlignment="1"/>
    <xf numFmtId="0" fontId="0" fillId="0" borderId="0" xfId="0" applyFill="1" applyAlignment="1"/>
    <xf numFmtId="0" fontId="3" fillId="0" borderId="0" xfId="0" applyFont="1" applyFill="1"/>
    <xf numFmtId="0" fontId="65" fillId="0" borderId="0" xfId="0" applyFont="1" applyFill="1" applyAlignment="1">
      <alignment wrapText="1"/>
    </xf>
    <xf numFmtId="0" fontId="3" fillId="0" borderId="0" xfId="0" applyFont="1" applyFill="1" applyAlignment="1"/>
    <xf numFmtId="0" fontId="25" fillId="0" borderId="0" xfId="0" applyFont="1" applyFill="1" applyAlignment="1"/>
    <xf numFmtId="0" fontId="1" fillId="0" borderId="0" xfId="0" applyFont="1" applyFill="1" applyAlignment="1"/>
    <xf numFmtId="0" fontId="5" fillId="3" borderId="2" xfId="0" applyFont="1" applyFill="1" applyBorder="1"/>
    <xf numFmtId="0" fontId="8" fillId="2" borderId="0" xfId="0" applyFont="1" applyFill="1" applyAlignment="1">
      <alignment wrapText="1"/>
    </xf>
    <xf numFmtId="0" fontId="8" fillId="0" borderId="0" xfId="0" applyFont="1" applyAlignment="1">
      <alignment wrapText="1"/>
    </xf>
    <xf numFmtId="0" fontId="8" fillId="9" borderId="0" xfId="0" applyFont="1" applyFill="1" applyAlignment="1">
      <alignment wrapText="1"/>
    </xf>
    <xf numFmtId="0" fontId="9" fillId="0" borderId="0" xfId="0" applyFont="1" applyAlignment="1">
      <alignment wrapText="1"/>
    </xf>
    <xf numFmtId="0" fontId="70" fillId="8" borderId="0" xfId="9" applyFont="1" applyFill="1" applyBorder="1" applyAlignment="1" applyProtection="1">
      <alignment horizontal="left" vertical="center" wrapText="1"/>
      <protection locked="0"/>
    </xf>
    <xf numFmtId="0" fontId="76" fillId="0" borderId="0" xfId="0" applyFont="1" applyFill="1" applyAlignment="1">
      <alignment vertical="top" wrapText="1"/>
    </xf>
    <xf numFmtId="0" fontId="35" fillId="8" borderId="0" xfId="9" applyFont="1" applyFill="1" applyBorder="1" applyAlignment="1" applyProtection="1">
      <alignment horizontal="left" vertical="center" indent="1"/>
      <protection locked="0"/>
    </xf>
    <xf numFmtId="0" fontId="60" fillId="0" borderId="0" xfId="0" applyFont="1" applyAlignment="1">
      <alignment horizontal="left" vertical="top" wrapText="1"/>
    </xf>
    <xf numFmtId="0" fontId="0" fillId="0" borderId="0" xfId="0" applyAlignment="1">
      <alignment horizontal="left"/>
    </xf>
    <xf numFmtId="0" fontId="26" fillId="0" borderId="0" xfId="0" applyFont="1" applyAlignment="1">
      <alignment horizontal="left" vertical="top" wrapText="1"/>
    </xf>
    <xf numFmtId="0" fontId="25" fillId="11" borderId="2" xfId="0" applyFont="1" applyFill="1" applyBorder="1" applyAlignment="1">
      <alignment horizontal="left" vertical="top" wrapText="1" indent="1"/>
    </xf>
    <xf numFmtId="0" fontId="25" fillId="0" borderId="2" xfId="0" applyFont="1" applyBorder="1" applyAlignment="1">
      <alignment horizontal="left" vertical="top" wrapText="1" indent="1"/>
    </xf>
    <xf numFmtId="0" fontId="59" fillId="11" borderId="2" xfId="0" applyFont="1" applyFill="1" applyBorder="1" applyAlignment="1">
      <alignment horizontal="left" vertical="top" wrapText="1" indent="1"/>
    </xf>
    <xf numFmtId="0" fontId="11" fillId="8" borderId="0" xfId="9" applyFont="1" applyFill="1" applyBorder="1" applyAlignment="1" applyProtection="1">
      <alignment horizontal="left" vertical="center" wrapText="1"/>
      <protection locked="0"/>
    </xf>
    <xf numFmtId="0" fontId="26" fillId="0" borderId="2" xfId="0" applyFont="1" applyBorder="1" applyAlignment="1">
      <alignment horizontal="left" vertical="top" wrapText="1" indent="1"/>
    </xf>
    <xf numFmtId="0" fontId="26" fillId="11" borderId="2" xfId="0" applyFont="1" applyFill="1" applyBorder="1" applyAlignment="1">
      <alignment horizontal="left" vertical="top" wrapText="1" indent="1"/>
    </xf>
  </cellXfs>
  <cellStyles count="13">
    <cellStyle name="_x000d__x000a_JournalTemplate=C:\COMFO\CTALK\JOURSTD.TPL_x000d__x000a_LbStateAddress=3 3 0 251 1 89 2 311_x000d__x000a_LbStateJou" xfId="1"/>
    <cellStyle name="_DOW_CHEMICAL_INTERNAL_0.93" xfId="2"/>
    <cellStyle name="=C:\WINNT\SYSTEM32\COMMAND.COM" xfId="3"/>
    <cellStyle name="Comma 2" xfId="4"/>
    <cellStyle name="Euro" xfId="5"/>
    <cellStyle name="Hyperlink 2" xfId="6"/>
    <cellStyle name="Normal" xfId="0" builtinId="0"/>
    <cellStyle name="Normal 2" xfId="7"/>
    <cellStyle name="Normal 3" xfId="8"/>
    <cellStyle name="Normal_DOW_CHEMICAL_INTERNAL_0.93 2" xfId="9"/>
    <cellStyle name="Percent" xfId="10" builtinId="5"/>
    <cellStyle name="Percent 2" xfId="11"/>
    <cellStyle name="Style 1" xfId="12"/>
  </cellStyles>
  <dxfs count="38">
    <dxf>
      <font>
        <color rgb="FF00B050"/>
      </font>
    </dxf>
    <dxf>
      <font>
        <color rgb="FFFF0000"/>
      </font>
    </dxf>
    <dxf>
      <fill>
        <patternFill>
          <bgColor rgb="FF00B050"/>
        </patternFill>
      </fill>
    </dxf>
    <dxf>
      <fill>
        <patternFill>
          <bgColor rgb="FFFF0000"/>
        </patternFill>
      </fill>
    </dxf>
    <dxf>
      <fill>
        <patternFill>
          <bgColor indexed="51"/>
        </patternFill>
      </fill>
    </dxf>
    <dxf>
      <fill>
        <patternFill>
          <bgColor indexed="13"/>
        </patternFill>
      </fill>
    </dxf>
    <dxf>
      <fill>
        <patternFill>
          <bgColor indexed="51"/>
        </patternFill>
      </fill>
    </dxf>
    <dxf>
      <fill>
        <patternFill>
          <bgColor indexed="13"/>
        </patternFill>
      </fill>
    </dxf>
    <dxf>
      <fill>
        <patternFill>
          <bgColor indexed="51"/>
        </patternFill>
      </fill>
    </dxf>
    <dxf>
      <fill>
        <patternFill>
          <bgColor indexed="13"/>
        </patternFill>
      </fill>
    </dxf>
    <dxf>
      <fill>
        <patternFill>
          <bgColor indexed="51"/>
        </patternFill>
      </fill>
    </dxf>
    <dxf>
      <fill>
        <patternFill>
          <bgColor indexed="13"/>
        </patternFill>
      </fill>
    </dxf>
    <dxf>
      <fill>
        <patternFill>
          <bgColor indexed="51"/>
        </patternFill>
      </fill>
    </dxf>
    <dxf>
      <fill>
        <patternFill>
          <bgColor indexed="13"/>
        </patternFill>
      </fill>
    </dxf>
    <dxf>
      <font>
        <color rgb="FF00B050"/>
      </font>
    </dxf>
    <dxf>
      <font>
        <color rgb="FFFF0000"/>
      </font>
    </dxf>
    <dxf>
      <fill>
        <patternFill>
          <bgColor rgb="FF00B050"/>
        </patternFill>
      </fill>
    </dxf>
    <dxf>
      <fill>
        <patternFill>
          <bgColor rgb="FFFF0000"/>
        </patternFill>
      </fill>
    </dxf>
    <dxf>
      <font>
        <condense val="0"/>
        <extend val="0"/>
        <color indexed="10"/>
      </font>
    </dxf>
    <dxf>
      <fill>
        <patternFill>
          <bgColor indexed="51"/>
        </patternFill>
      </fill>
    </dxf>
    <dxf>
      <fill>
        <patternFill>
          <bgColor indexed="13"/>
        </patternFill>
      </fill>
    </dxf>
    <dxf>
      <fill>
        <patternFill>
          <bgColor indexed="51"/>
        </patternFill>
      </fill>
    </dxf>
    <dxf>
      <fill>
        <patternFill>
          <bgColor indexed="13"/>
        </patternFill>
      </fill>
    </dxf>
    <dxf>
      <fill>
        <patternFill>
          <bgColor indexed="51"/>
        </patternFill>
      </fill>
    </dxf>
    <dxf>
      <fill>
        <patternFill>
          <bgColor indexed="13"/>
        </patternFill>
      </fill>
    </dxf>
    <dxf>
      <fill>
        <patternFill>
          <bgColor indexed="51"/>
        </patternFill>
      </fill>
    </dxf>
    <dxf>
      <fill>
        <patternFill>
          <bgColor indexed="13"/>
        </patternFill>
      </fill>
    </dxf>
    <dxf>
      <fill>
        <patternFill>
          <bgColor indexed="51"/>
        </patternFill>
      </fill>
    </dxf>
    <dxf>
      <fill>
        <patternFill>
          <bgColor indexed="13"/>
        </patternFill>
      </fill>
    </dxf>
    <dxf>
      <fill>
        <patternFill>
          <bgColor indexed="51"/>
        </patternFill>
      </fill>
    </dxf>
    <dxf>
      <fill>
        <patternFill>
          <bgColor indexed="13"/>
        </patternFill>
      </fill>
    </dxf>
    <dxf>
      <fill>
        <patternFill>
          <bgColor indexed="13"/>
        </patternFill>
      </fill>
    </dxf>
    <dxf>
      <fill>
        <patternFill>
          <bgColor indexed="51"/>
        </patternFill>
      </fill>
    </dxf>
    <dxf>
      <fill>
        <patternFill>
          <bgColor indexed="13"/>
        </patternFill>
      </fill>
    </dxf>
    <dxf>
      <fill>
        <patternFill>
          <bgColor indexed="51"/>
        </patternFill>
      </fill>
    </dxf>
    <dxf>
      <fill>
        <patternFill>
          <bgColor indexed="13"/>
        </patternFill>
      </fill>
    </dxf>
    <dxf>
      <fill>
        <patternFill>
          <bgColor indexed="51"/>
        </patternFill>
      </fill>
    </dxf>
    <dxf>
      <fill>
        <patternFill>
          <bgColor indexed="1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CBD4D9"/>
      <rgbColor rgb="00001EA4"/>
      <rgbColor rgb="00E96B10"/>
      <rgbColor rgb="00CCE0F9"/>
      <rgbColor rgb="0000FFFF"/>
      <rgbColor rgb="00F3F4EE"/>
      <rgbColor rgb="00008000"/>
      <rgbColor rgb="00000080"/>
      <rgbColor rgb="00808000"/>
      <rgbColor rgb="00800080"/>
      <rgbColor rgb="00008080"/>
      <rgbColor rgb="00C0C0C0"/>
      <rgbColor rgb="00808080"/>
      <rgbColor rgb="009999FF"/>
      <rgbColor rgb="00993366"/>
      <rgbColor rgb="00EFEFD6"/>
      <rgbColor rgb="00CCFFFF"/>
      <rgbColor rgb="00660066"/>
      <rgbColor rgb="00FF8080"/>
      <rgbColor rgb="00DDDDDD"/>
      <rgbColor rgb="00FFFBF7"/>
      <rgbColor rgb="00000080"/>
      <rgbColor rgb="00FF00FF"/>
      <rgbColor rgb="00FFFF00"/>
      <rgbColor rgb="0000FFFF"/>
      <rgbColor rgb="00800080"/>
      <rgbColor rgb="0000CC66"/>
      <rgbColor rgb="00FF0000"/>
      <rgbColor rgb="0031659C"/>
      <rgbColor rgb="0000CCFF"/>
      <rgbColor rgb="00CCFFFF"/>
      <rgbColor rgb="00EAE9DF"/>
      <rgbColor rgb="00FFFF99"/>
      <rgbColor rgb="0099CCFF"/>
      <rgbColor rgb="00E5EEF3"/>
      <rgbColor rgb="00FFFBF7"/>
      <rgbColor rgb="00D3D3D3"/>
      <rgbColor rgb="003366FF"/>
      <rgbColor rgb="0033CCCC"/>
      <rgbColor rgb="008ABBD1"/>
      <rgbColor rgb="00FFCC33"/>
      <rgbColor rgb="00FF9900"/>
      <rgbColor rgb="00FF6600"/>
      <rgbColor rgb="00666699"/>
      <rgbColor rgb="00969696"/>
      <rgbColor rgb="00003366"/>
      <rgbColor rgb="004FA600"/>
      <rgbColor rgb="00003300"/>
      <rgbColor rgb="00333300"/>
      <rgbColor rgb="00D4DDD4"/>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plotArea>
      <c:layout/>
      <c:barChart>
        <c:barDir val="bar"/>
        <c:grouping val="clustered"/>
        <c:ser>
          <c:idx val="0"/>
          <c:order val="0"/>
          <c:dLbls>
            <c:numFmt formatCode="#,##0.0" sourceLinked="0"/>
            <c:spPr>
              <a:noFill/>
              <a:ln w="25400">
                <a:noFill/>
              </a:ln>
            </c:spPr>
            <c:txPr>
              <a:bodyPr/>
              <a:lstStyle/>
              <a:p>
                <a:pPr>
                  <a:defRPr sz="800" b="0" i="0" u="none" strike="noStrike" baseline="0">
                    <a:solidFill>
                      <a:srgbClr val="000000"/>
                    </a:solidFill>
                    <a:latin typeface="Calibri"/>
                    <a:ea typeface="Calibri"/>
                    <a:cs typeface="Calibri"/>
                  </a:defRPr>
                </a:pPr>
                <a:endParaRPr lang="en-US"/>
              </a:p>
            </c:txPr>
            <c:showVal val="1"/>
          </c:dLbls>
          <c:cat>
            <c:strRef>
              <c:f>iCP!$I$1:$I$4</c:f>
              <c:strCache>
                <c:ptCount val="4"/>
                <c:pt idx="1">
                  <c:v>Paraguay</c:v>
                </c:pt>
                <c:pt idx="2">
                  <c:v>Uruguay</c:v>
                </c:pt>
                <c:pt idx="3">
                  <c:v>Chile </c:v>
                </c:pt>
              </c:strCache>
            </c:strRef>
          </c:cat>
          <c:val>
            <c:numRef>
              <c:f>iCP!$J$1:$J$4</c:f>
              <c:numCache>
                <c:formatCode>General</c:formatCode>
                <c:ptCount val="4"/>
                <c:pt idx="0">
                  <c:v>-100</c:v>
                </c:pt>
                <c:pt idx="1">
                  <c:v>24.548999999999999</c:v>
                </c:pt>
                <c:pt idx="2">
                  <c:v>31.795000000000002</c:v>
                </c:pt>
                <c:pt idx="3">
                  <c:v>79.311000000000007</c:v>
                </c:pt>
              </c:numCache>
            </c:numRef>
          </c:val>
        </c:ser>
        <c:axId val="201703424"/>
        <c:axId val="201704960"/>
      </c:barChart>
      <c:catAx>
        <c:axId val="201703424"/>
        <c:scaling>
          <c:orientation val="minMax"/>
        </c:scaling>
        <c:axPos val="l"/>
        <c:numFmt formatCode="General" sourceLinked="1"/>
        <c:tickLblPos val="nextTo"/>
        <c:spPr>
          <a:ln>
            <a:noFill/>
          </a:ln>
        </c:spPr>
        <c:txPr>
          <a:bodyPr rot="0" vert="horz"/>
          <a:lstStyle/>
          <a:p>
            <a:pPr>
              <a:defRPr sz="1000" b="0" i="0" u="none" strike="noStrike" baseline="0">
                <a:solidFill>
                  <a:srgbClr val="000000"/>
                </a:solidFill>
                <a:latin typeface="Calibri"/>
                <a:ea typeface="Calibri"/>
                <a:cs typeface="Calibri"/>
              </a:defRPr>
            </a:pPr>
            <a:endParaRPr lang="en-US"/>
          </a:p>
        </c:txPr>
        <c:crossAx val="201704960"/>
        <c:crosses val="autoZero"/>
        <c:auto val="1"/>
        <c:lblAlgn val="ctr"/>
        <c:lblOffset val="100"/>
      </c:catAx>
      <c:valAx>
        <c:axId val="201704960"/>
        <c:scaling>
          <c:orientation val="minMax"/>
          <c:max val="100"/>
          <c:min val="0"/>
        </c:scaling>
        <c:axPos val="b"/>
        <c:majorGridlines>
          <c:spPr>
            <a:ln>
              <a:solidFill>
                <a:schemeClr val="bg1">
                  <a:lumMod val="85000"/>
                </a:schemeClr>
              </a:solidFill>
            </a:ln>
          </c:spPr>
        </c:majorGridlines>
        <c:numFmt formatCode="General" sourceLinked="1"/>
        <c:tickLblPos val="none"/>
        <c:spPr>
          <a:ln>
            <a:noFill/>
          </a:ln>
        </c:spPr>
        <c:crossAx val="201703424"/>
        <c:crosses val="autoZero"/>
        <c:crossBetween val="between"/>
      </c:valAx>
    </c:plotArea>
    <c:plotVisOnly val="1"/>
    <c:dispBlanksAs val="gap"/>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plotArea>
      <c:layout/>
      <c:barChart>
        <c:barDir val="bar"/>
        <c:grouping val="clustered"/>
        <c:ser>
          <c:idx val="0"/>
          <c:order val="0"/>
          <c:dLbls>
            <c:numFmt formatCode="#,##0.0" sourceLinked="0"/>
            <c:spPr>
              <a:noFill/>
              <a:ln w="25400">
                <a:noFill/>
              </a:ln>
            </c:spPr>
            <c:txPr>
              <a:bodyPr/>
              <a:lstStyle/>
              <a:p>
                <a:pPr>
                  <a:defRPr sz="800" b="0" i="0" u="none" strike="noStrike" baseline="0">
                    <a:solidFill>
                      <a:srgbClr val="000000"/>
                    </a:solidFill>
                    <a:latin typeface="Calibri"/>
                    <a:ea typeface="Calibri"/>
                    <a:cs typeface="Calibri"/>
                  </a:defRPr>
                </a:pPr>
                <a:endParaRPr lang="en-US"/>
              </a:p>
            </c:txPr>
            <c:showVal val="1"/>
          </c:dLbls>
          <c:cat>
            <c:strRef>
              <c:f>iCP!$O$1:$O$4</c:f>
              <c:strCache>
                <c:ptCount val="4"/>
                <c:pt idx="1">
                  <c:v>Paraguay</c:v>
                </c:pt>
                <c:pt idx="2">
                  <c:v>Uruguay</c:v>
                </c:pt>
                <c:pt idx="3">
                  <c:v>Chile </c:v>
                </c:pt>
              </c:strCache>
            </c:strRef>
          </c:cat>
          <c:val>
            <c:numRef>
              <c:f>iCP!$P$1:$P$4</c:f>
              <c:numCache>
                <c:formatCode>General</c:formatCode>
                <c:ptCount val="4"/>
                <c:pt idx="0">
                  <c:v>-100</c:v>
                </c:pt>
                <c:pt idx="1">
                  <c:v>25</c:v>
                </c:pt>
                <c:pt idx="2">
                  <c:v>34.380000000000003</c:v>
                </c:pt>
                <c:pt idx="3">
                  <c:v>84.38</c:v>
                </c:pt>
              </c:numCache>
            </c:numRef>
          </c:val>
        </c:ser>
        <c:axId val="206714368"/>
        <c:axId val="206715904"/>
      </c:barChart>
      <c:catAx>
        <c:axId val="206714368"/>
        <c:scaling>
          <c:orientation val="minMax"/>
        </c:scaling>
        <c:axPos val="l"/>
        <c:numFmt formatCode="General" sourceLinked="1"/>
        <c:tickLblPos val="nextTo"/>
        <c:spPr>
          <a:ln>
            <a:noFill/>
          </a:ln>
        </c:spPr>
        <c:txPr>
          <a:bodyPr rot="0" vert="horz"/>
          <a:lstStyle/>
          <a:p>
            <a:pPr>
              <a:defRPr sz="1000" b="0" i="0" u="none" strike="noStrike" baseline="0">
                <a:solidFill>
                  <a:srgbClr val="000000"/>
                </a:solidFill>
                <a:latin typeface="Calibri"/>
                <a:ea typeface="Calibri"/>
                <a:cs typeface="Calibri"/>
              </a:defRPr>
            </a:pPr>
            <a:endParaRPr lang="en-US"/>
          </a:p>
        </c:txPr>
        <c:crossAx val="206715904"/>
        <c:crosses val="autoZero"/>
        <c:auto val="1"/>
        <c:lblAlgn val="ctr"/>
        <c:lblOffset val="100"/>
      </c:catAx>
      <c:valAx>
        <c:axId val="206715904"/>
        <c:scaling>
          <c:orientation val="minMax"/>
          <c:max val="100"/>
          <c:min val="0"/>
        </c:scaling>
        <c:axPos val="b"/>
        <c:majorGridlines>
          <c:spPr>
            <a:ln>
              <a:solidFill>
                <a:schemeClr val="bg1">
                  <a:lumMod val="85000"/>
                </a:schemeClr>
              </a:solidFill>
            </a:ln>
          </c:spPr>
        </c:majorGridlines>
        <c:numFmt formatCode="General" sourceLinked="1"/>
        <c:tickLblPos val="none"/>
        <c:spPr>
          <a:ln>
            <a:noFill/>
          </a:ln>
        </c:spPr>
        <c:crossAx val="206714368"/>
        <c:crosses val="autoZero"/>
        <c:crossBetween val="between"/>
      </c:valAx>
      <c:spPr>
        <a:ln>
          <a:noFill/>
        </a:ln>
      </c:spPr>
    </c:plotArea>
    <c:plotVisOnly val="1"/>
    <c:dispBlanksAs val="gap"/>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22" l="0.70000000000000018" r="0.70000000000000018" t="0.750000000000000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plotArea>
      <c:layout/>
      <c:barChart>
        <c:barDir val="bar"/>
        <c:grouping val="clustered"/>
        <c:ser>
          <c:idx val="0"/>
          <c:order val="0"/>
          <c:dLbls>
            <c:numFmt formatCode="#,##0.0" sourceLinked="0"/>
            <c:spPr>
              <a:noFill/>
              <a:ln w="25400">
                <a:noFill/>
              </a:ln>
            </c:spPr>
            <c:txPr>
              <a:bodyPr/>
              <a:lstStyle/>
              <a:p>
                <a:pPr>
                  <a:defRPr sz="800" b="0" i="0" u="none" strike="noStrike" baseline="0">
                    <a:solidFill>
                      <a:srgbClr val="000000"/>
                    </a:solidFill>
                    <a:latin typeface="Calibri"/>
                    <a:ea typeface="Calibri"/>
                    <a:cs typeface="Calibri"/>
                  </a:defRPr>
                </a:pPr>
                <a:endParaRPr lang="en-US"/>
              </a:p>
            </c:txPr>
            <c:showVal val="1"/>
          </c:dLbls>
          <c:cat>
            <c:strRef>
              <c:f>iCP!$U$1:$U$4</c:f>
              <c:strCache>
                <c:ptCount val="4"/>
                <c:pt idx="1">
                  <c:v>Paraguay</c:v>
                </c:pt>
                <c:pt idx="2">
                  <c:v>Uruguay</c:v>
                </c:pt>
                <c:pt idx="3">
                  <c:v>Chile </c:v>
                </c:pt>
              </c:strCache>
            </c:strRef>
          </c:cat>
          <c:val>
            <c:numRef>
              <c:f>iCP!$V$1:$V$4</c:f>
              <c:numCache>
                <c:formatCode>General</c:formatCode>
                <c:ptCount val="4"/>
                <c:pt idx="0">
                  <c:v>-100</c:v>
                </c:pt>
                <c:pt idx="1">
                  <c:v>25</c:v>
                </c:pt>
                <c:pt idx="2">
                  <c:v>33.33</c:v>
                </c:pt>
                <c:pt idx="3">
                  <c:v>75</c:v>
                </c:pt>
              </c:numCache>
            </c:numRef>
          </c:val>
        </c:ser>
        <c:axId val="206752000"/>
        <c:axId val="206753792"/>
      </c:barChart>
      <c:catAx>
        <c:axId val="206752000"/>
        <c:scaling>
          <c:orientation val="minMax"/>
        </c:scaling>
        <c:axPos val="l"/>
        <c:numFmt formatCode="General" sourceLinked="1"/>
        <c:tickLblPos val="nextTo"/>
        <c:spPr>
          <a:ln>
            <a:noFill/>
          </a:ln>
        </c:spPr>
        <c:txPr>
          <a:bodyPr rot="0" vert="horz"/>
          <a:lstStyle/>
          <a:p>
            <a:pPr>
              <a:defRPr sz="1000" b="0" i="0" u="none" strike="noStrike" baseline="0">
                <a:solidFill>
                  <a:srgbClr val="000000"/>
                </a:solidFill>
                <a:latin typeface="Calibri"/>
                <a:ea typeface="Calibri"/>
                <a:cs typeface="Calibri"/>
              </a:defRPr>
            </a:pPr>
            <a:endParaRPr lang="en-US"/>
          </a:p>
        </c:txPr>
        <c:crossAx val="206753792"/>
        <c:crosses val="autoZero"/>
        <c:auto val="1"/>
        <c:lblAlgn val="ctr"/>
        <c:lblOffset val="100"/>
      </c:catAx>
      <c:valAx>
        <c:axId val="206753792"/>
        <c:scaling>
          <c:orientation val="minMax"/>
          <c:max val="100"/>
          <c:min val="0"/>
        </c:scaling>
        <c:axPos val="b"/>
        <c:majorGridlines>
          <c:spPr>
            <a:ln>
              <a:solidFill>
                <a:schemeClr val="bg1">
                  <a:lumMod val="85000"/>
                </a:schemeClr>
              </a:solidFill>
            </a:ln>
          </c:spPr>
        </c:majorGridlines>
        <c:numFmt formatCode="General" sourceLinked="1"/>
        <c:tickLblPos val="none"/>
        <c:spPr>
          <a:ln>
            <a:noFill/>
          </a:ln>
        </c:spPr>
        <c:crossAx val="206752000"/>
        <c:crosses val="autoZero"/>
        <c:crossBetween val="between"/>
      </c:valAx>
    </c:plotArea>
    <c:plotVisOnly val="1"/>
    <c:dispBlanksAs val="gap"/>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22" l="0.70000000000000018" r="0.70000000000000018" t="0.75000000000000022" header="0.3000000000000001" footer="0.30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plotArea>
      <c:layout/>
      <c:barChart>
        <c:barDir val="bar"/>
        <c:grouping val="clustered"/>
        <c:ser>
          <c:idx val="0"/>
          <c:order val="0"/>
          <c:dLbls>
            <c:numFmt formatCode="#,##0.0" sourceLinked="0"/>
            <c:spPr>
              <a:noFill/>
              <a:ln w="25400">
                <a:noFill/>
              </a:ln>
            </c:spPr>
            <c:txPr>
              <a:bodyPr/>
              <a:lstStyle/>
              <a:p>
                <a:pPr>
                  <a:defRPr sz="800" b="0" i="0" u="none" strike="noStrike" baseline="0">
                    <a:solidFill>
                      <a:srgbClr val="000000"/>
                    </a:solidFill>
                    <a:latin typeface="Calibri"/>
                    <a:ea typeface="Calibri"/>
                    <a:cs typeface="Calibri"/>
                  </a:defRPr>
                </a:pPr>
                <a:endParaRPr lang="en-US"/>
              </a:p>
            </c:txPr>
            <c:showVal val="1"/>
          </c:dLbls>
          <c:cat>
            <c:strRef>
              <c:f>iCP!$AA$1:$AA$4</c:f>
              <c:strCache>
                <c:ptCount val="4"/>
                <c:pt idx="1">
                  <c:v>Paraguay</c:v>
                </c:pt>
                <c:pt idx="2">
                  <c:v>Uruguay</c:v>
                </c:pt>
                <c:pt idx="3">
                  <c:v>Chile </c:v>
                </c:pt>
              </c:strCache>
            </c:strRef>
          </c:cat>
          <c:val>
            <c:numRef>
              <c:f>iCP!$AB$1:$AB$4</c:f>
              <c:numCache>
                <c:formatCode>General</c:formatCode>
                <c:ptCount val="4"/>
                <c:pt idx="0">
                  <c:v>-100</c:v>
                </c:pt>
                <c:pt idx="1">
                  <c:v>15.63</c:v>
                </c:pt>
                <c:pt idx="2">
                  <c:v>19.350000000000001</c:v>
                </c:pt>
                <c:pt idx="3">
                  <c:v>72.17</c:v>
                </c:pt>
              </c:numCache>
            </c:numRef>
          </c:val>
        </c:ser>
        <c:axId val="206773248"/>
        <c:axId val="206795520"/>
      </c:barChart>
      <c:catAx>
        <c:axId val="206773248"/>
        <c:scaling>
          <c:orientation val="minMax"/>
        </c:scaling>
        <c:axPos val="l"/>
        <c:numFmt formatCode="General" sourceLinked="1"/>
        <c:tickLblPos val="nextTo"/>
        <c:spPr>
          <a:ln>
            <a:noFill/>
          </a:ln>
        </c:spPr>
        <c:txPr>
          <a:bodyPr rot="0" vert="horz"/>
          <a:lstStyle/>
          <a:p>
            <a:pPr>
              <a:defRPr sz="1000" b="0" i="0" u="none" strike="noStrike" baseline="0">
                <a:solidFill>
                  <a:srgbClr val="000000"/>
                </a:solidFill>
                <a:latin typeface="Calibri"/>
                <a:ea typeface="Calibri"/>
                <a:cs typeface="Calibri"/>
              </a:defRPr>
            </a:pPr>
            <a:endParaRPr lang="en-US"/>
          </a:p>
        </c:txPr>
        <c:crossAx val="206795520"/>
        <c:crosses val="autoZero"/>
        <c:auto val="1"/>
        <c:lblAlgn val="ctr"/>
        <c:lblOffset val="100"/>
      </c:catAx>
      <c:valAx>
        <c:axId val="206795520"/>
        <c:scaling>
          <c:orientation val="minMax"/>
          <c:max val="100"/>
          <c:min val="0"/>
        </c:scaling>
        <c:axPos val="b"/>
        <c:majorGridlines>
          <c:spPr>
            <a:ln>
              <a:solidFill>
                <a:schemeClr val="bg1">
                  <a:lumMod val="85000"/>
                </a:schemeClr>
              </a:solidFill>
            </a:ln>
          </c:spPr>
        </c:majorGridlines>
        <c:numFmt formatCode="General" sourceLinked="1"/>
        <c:tickLblPos val="none"/>
        <c:spPr>
          <a:ln>
            <a:noFill/>
          </a:ln>
        </c:spPr>
        <c:crossAx val="206773248"/>
        <c:crosses val="autoZero"/>
        <c:crossBetween val="between"/>
      </c:valAx>
    </c:plotArea>
    <c:plotVisOnly val="1"/>
    <c:dispBlanksAs val="gap"/>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22" l="0.70000000000000018" r="0.70000000000000018" t="0.75000000000000022" header="0.3000000000000001" footer="0.30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plotArea>
      <c:layout/>
      <c:barChart>
        <c:barDir val="bar"/>
        <c:grouping val="clustered"/>
        <c:ser>
          <c:idx val="0"/>
          <c:order val="0"/>
          <c:dLbls>
            <c:numFmt formatCode="#,##0.0" sourceLinked="0"/>
            <c:spPr>
              <a:noFill/>
              <a:ln w="25400">
                <a:noFill/>
              </a:ln>
            </c:spPr>
            <c:txPr>
              <a:bodyPr/>
              <a:lstStyle/>
              <a:p>
                <a:pPr>
                  <a:defRPr sz="800" b="0" i="0" u="none" strike="noStrike" baseline="0">
                    <a:solidFill>
                      <a:srgbClr val="000000"/>
                    </a:solidFill>
                    <a:latin typeface="Calibri"/>
                    <a:ea typeface="Calibri"/>
                    <a:cs typeface="Calibri"/>
                  </a:defRPr>
                </a:pPr>
                <a:endParaRPr lang="en-US"/>
              </a:p>
            </c:txPr>
            <c:showVal val="1"/>
          </c:dLbls>
          <c:cat>
            <c:strRef>
              <c:f>iCP!$AG$1:$AG$4</c:f>
              <c:strCache>
                <c:ptCount val="4"/>
                <c:pt idx="1">
                  <c:v>Paraguay</c:v>
                </c:pt>
                <c:pt idx="2">
                  <c:v>Uruguay</c:v>
                </c:pt>
                <c:pt idx="3">
                  <c:v>Chile </c:v>
                </c:pt>
              </c:strCache>
            </c:strRef>
          </c:cat>
          <c:val>
            <c:numRef>
              <c:f>iCP!$AH$1:$AH$4</c:f>
              <c:numCache>
                <c:formatCode>General</c:formatCode>
                <c:ptCount val="4"/>
                <c:pt idx="0">
                  <c:v>-100</c:v>
                </c:pt>
                <c:pt idx="1">
                  <c:v>31.37</c:v>
                </c:pt>
                <c:pt idx="2">
                  <c:v>43.66</c:v>
                </c:pt>
                <c:pt idx="3">
                  <c:v>85.39</c:v>
                </c:pt>
              </c:numCache>
            </c:numRef>
          </c:val>
        </c:ser>
        <c:axId val="206815232"/>
        <c:axId val="206816768"/>
      </c:barChart>
      <c:catAx>
        <c:axId val="206815232"/>
        <c:scaling>
          <c:orientation val="minMax"/>
        </c:scaling>
        <c:axPos val="l"/>
        <c:numFmt formatCode="General" sourceLinked="1"/>
        <c:tickLblPos val="nextTo"/>
        <c:spPr>
          <a:ln>
            <a:noFill/>
          </a:ln>
        </c:spPr>
        <c:txPr>
          <a:bodyPr rot="0" vert="horz"/>
          <a:lstStyle/>
          <a:p>
            <a:pPr>
              <a:defRPr sz="1000" b="0" i="0" u="none" strike="noStrike" baseline="0">
                <a:solidFill>
                  <a:srgbClr val="000000"/>
                </a:solidFill>
                <a:latin typeface="Calibri"/>
                <a:ea typeface="Calibri"/>
                <a:cs typeface="Calibri"/>
              </a:defRPr>
            </a:pPr>
            <a:endParaRPr lang="en-US"/>
          </a:p>
        </c:txPr>
        <c:crossAx val="206816768"/>
        <c:crosses val="autoZero"/>
        <c:auto val="1"/>
        <c:lblAlgn val="ctr"/>
        <c:lblOffset val="100"/>
      </c:catAx>
      <c:valAx>
        <c:axId val="206816768"/>
        <c:scaling>
          <c:orientation val="minMax"/>
          <c:max val="100"/>
          <c:min val="0"/>
        </c:scaling>
        <c:axPos val="b"/>
        <c:majorGridlines>
          <c:spPr>
            <a:ln>
              <a:solidFill>
                <a:schemeClr val="bg1">
                  <a:lumMod val="85000"/>
                </a:schemeClr>
              </a:solidFill>
            </a:ln>
          </c:spPr>
        </c:majorGridlines>
        <c:numFmt formatCode="General" sourceLinked="1"/>
        <c:tickLblPos val="none"/>
        <c:spPr>
          <a:ln>
            <a:noFill/>
          </a:ln>
        </c:spPr>
        <c:crossAx val="206815232"/>
        <c:crosses val="autoZero"/>
        <c:crossBetween val="between"/>
      </c:valAx>
    </c:plotArea>
    <c:plotVisOnly val="1"/>
    <c:dispBlanksAs val="gap"/>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22" l="0.70000000000000018" r="0.70000000000000018" t="0.75000000000000022" header="0.3000000000000001" footer="0.30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chart>
    <c:plotArea>
      <c:layout/>
      <c:barChart>
        <c:barDir val="bar"/>
        <c:grouping val="clustered"/>
        <c:ser>
          <c:idx val="0"/>
          <c:order val="0"/>
          <c:dLbls>
            <c:numFmt formatCode="#,##0.0" sourceLinked="0"/>
            <c:spPr>
              <a:noFill/>
              <a:ln w="25400">
                <a:noFill/>
              </a:ln>
            </c:spPr>
            <c:txPr>
              <a:bodyPr/>
              <a:lstStyle/>
              <a:p>
                <a:pPr>
                  <a:defRPr sz="800" b="0" i="0" u="none" strike="noStrike" baseline="0">
                    <a:solidFill>
                      <a:srgbClr val="000000"/>
                    </a:solidFill>
                    <a:latin typeface="Calibri"/>
                    <a:ea typeface="Calibri"/>
                    <a:cs typeface="Calibri"/>
                  </a:defRPr>
                </a:pPr>
                <a:endParaRPr lang="en-US"/>
              </a:p>
            </c:txPr>
            <c:showVal val="1"/>
          </c:dLbls>
          <c:cat>
            <c:strRef>
              <c:f>iCP!$AM$1:$AM$4</c:f>
              <c:strCache>
                <c:ptCount val="4"/>
                <c:pt idx="1">
                  <c:v>Paraguay</c:v>
                </c:pt>
                <c:pt idx="2">
                  <c:v>Uruguay</c:v>
                </c:pt>
                <c:pt idx="3">
                  <c:v>Chile </c:v>
                </c:pt>
              </c:strCache>
            </c:strRef>
          </c:cat>
          <c:val>
            <c:numRef>
              <c:f>iCP!$AN$1:$AN$4</c:f>
              <c:numCache>
                <c:formatCode>General</c:formatCode>
                <c:ptCount val="4"/>
                <c:pt idx="0">
                  <c:v>-100</c:v>
                </c:pt>
                <c:pt idx="1">
                  <c:v>25</c:v>
                </c:pt>
                <c:pt idx="2">
                  <c:v>30.56</c:v>
                </c:pt>
                <c:pt idx="3">
                  <c:v>97.22</c:v>
                </c:pt>
              </c:numCache>
            </c:numRef>
          </c:val>
        </c:ser>
        <c:axId val="206840192"/>
        <c:axId val="206841728"/>
      </c:barChart>
      <c:catAx>
        <c:axId val="206840192"/>
        <c:scaling>
          <c:orientation val="minMax"/>
        </c:scaling>
        <c:axPos val="l"/>
        <c:numFmt formatCode="General" sourceLinked="1"/>
        <c:tickLblPos val="nextTo"/>
        <c:spPr>
          <a:ln>
            <a:noFill/>
          </a:ln>
        </c:spPr>
        <c:txPr>
          <a:bodyPr rot="0" vert="horz"/>
          <a:lstStyle/>
          <a:p>
            <a:pPr>
              <a:defRPr sz="1000" b="0" i="0" u="none" strike="noStrike" baseline="0">
                <a:solidFill>
                  <a:srgbClr val="000000"/>
                </a:solidFill>
                <a:latin typeface="Calibri"/>
                <a:ea typeface="Calibri"/>
                <a:cs typeface="Calibri"/>
              </a:defRPr>
            </a:pPr>
            <a:endParaRPr lang="en-US"/>
          </a:p>
        </c:txPr>
        <c:crossAx val="206841728"/>
        <c:crosses val="autoZero"/>
        <c:auto val="1"/>
        <c:lblAlgn val="ctr"/>
        <c:lblOffset val="100"/>
      </c:catAx>
      <c:valAx>
        <c:axId val="206841728"/>
        <c:scaling>
          <c:orientation val="minMax"/>
          <c:max val="100"/>
          <c:min val="0"/>
        </c:scaling>
        <c:axPos val="b"/>
        <c:majorGridlines>
          <c:spPr>
            <a:ln>
              <a:solidFill>
                <a:schemeClr val="bg1">
                  <a:lumMod val="85000"/>
                </a:schemeClr>
              </a:solidFill>
            </a:ln>
          </c:spPr>
        </c:majorGridlines>
        <c:numFmt formatCode="General" sourceLinked="1"/>
        <c:tickLblPos val="none"/>
        <c:spPr>
          <a:ln>
            <a:noFill/>
          </a:ln>
        </c:spPr>
        <c:crossAx val="206840192"/>
        <c:crosses val="autoZero"/>
        <c:crossBetween val="between"/>
      </c:valAx>
    </c:plotArea>
    <c:plotVisOnly val="1"/>
    <c:dispBlanksAs val="gap"/>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22" l="0.70000000000000018" r="0.70000000000000018" t="0.75000000000000022" header="0.3000000000000001" footer="0.30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11079943899018233"/>
          <c:y val="2.9661016949152543E-2"/>
          <c:w val="0.85834502103786814"/>
          <c:h val="0.7902542372881356"/>
        </c:manualLayout>
      </c:layout>
      <c:scatterChart>
        <c:scatterStyle val="lineMarker"/>
        <c:ser>
          <c:idx val="0"/>
          <c:order val="0"/>
          <c:tx>
            <c:v>All (no display)</c:v>
          </c:tx>
          <c:spPr>
            <a:ln w="28575">
              <a:noFill/>
            </a:ln>
          </c:spPr>
          <c:marker>
            <c:symbol val="none"/>
          </c:marker>
          <c:trendline>
            <c:trendlineType val="linear"/>
          </c:trendline>
          <c:xVal>
            <c:numRef>
              <c:f>i_scatter!$C$18:$U$18</c:f>
              <c:numCache>
                <c:formatCode>General</c:formatCode>
                <c:ptCount val="19"/>
                <c:pt idx="0">
                  <c:v>50</c:v>
                </c:pt>
                <c:pt idx="1">
                  <c:v>75</c:v>
                </c:pt>
                <c:pt idx="2">
                  <c:v>100</c:v>
                </c:pt>
                <c:pt idx="3">
                  <c:v>50</c:v>
                </c:pt>
                <c:pt idx="4">
                  <c:v>25</c:v>
                </c:pt>
                <c:pt idx="5">
                  <c:v>25</c:v>
                </c:pt>
                <c:pt idx="6">
                  <c:v>0</c:v>
                </c:pt>
                <c:pt idx="7">
                  <c:v>25</c:v>
                </c:pt>
                <c:pt idx="8">
                  <c:v>75</c:v>
                </c:pt>
                <c:pt idx="9">
                  <c:v>25</c:v>
                </c:pt>
                <c:pt idx="10">
                  <c:v>25</c:v>
                </c:pt>
                <c:pt idx="11">
                  <c:v>50</c:v>
                </c:pt>
                <c:pt idx="12">
                  <c:v>25</c:v>
                </c:pt>
                <c:pt idx="13">
                  <c:v>50</c:v>
                </c:pt>
                <c:pt idx="14">
                  <c:v>25</c:v>
                </c:pt>
                <c:pt idx="15">
                  <c:v>75</c:v>
                </c:pt>
                <c:pt idx="16">
                  <c:v>25</c:v>
                </c:pt>
                <c:pt idx="17">
                  <c:v>25</c:v>
                </c:pt>
                <c:pt idx="18">
                  <c:v>0</c:v>
                </c:pt>
              </c:numCache>
            </c:numRef>
          </c:xVal>
          <c:yVal>
            <c:numRef>
              <c:f>i_scatter!$C$19:$U$19</c:f>
              <c:numCache>
                <c:formatCode>General</c:formatCode>
                <c:ptCount val="19"/>
                <c:pt idx="0">
                  <c:v>308.73989999999998</c:v>
                </c:pt>
                <c:pt idx="1">
                  <c:v>1573.4087</c:v>
                </c:pt>
                <c:pt idx="2">
                  <c:v>163.30510000000001</c:v>
                </c:pt>
                <c:pt idx="3">
                  <c:v>230.67150000000001</c:v>
                </c:pt>
                <c:pt idx="4">
                  <c:v>29.303100000000001</c:v>
                </c:pt>
                <c:pt idx="5">
                  <c:v>45.959000000000003</c:v>
                </c:pt>
                <c:pt idx="6">
                  <c:v>52.021900000000002</c:v>
                </c:pt>
                <c:pt idx="7">
                  <c:v>21.469799999999999</c:v>
                </c:pt>
                <c:pt idx="8">
                  <c:v>37.301000000000002</c:v>
                </c:pt>
                <c:pt idx="9">
                  <c:v>14.4085</c:v>
                </c:pt>
                <c:pt idx="10">
                  <c:v>12.337999999999999</c:v>
                </c:pt>
                <c:pt idx="11">
                  <c:v>874.90350000000001</c:v>
                </c:pt>
                <c:pt idx="12">
                  <c:v>6.149</c:v>
                </c:pt>
                <c:pt idx="13">
                  <c:v>24.594999999999999</c:v>
                </c:pt>
                <c:pt idx="14">
                  <c:v>13.98</c:v>
                </c:pt>
                <c:pt idx="15">
                  <c:v>126.73779999999999</c:v>
                </c:pt>
                <c:pt idx="16">
                  <c:v>25.257999999999999</c:v>
                </c:pt>
                <c:pt idx="17">
                  <c:v>31.510899999999999</c:v>
                </c:pt>
                <c:pt idx="18">
                  <c:v>326.13299999999998</c:v>
                </c:pt>
              </c:numCache>
            </c:numRef>
          </c:yVal>
        </c:ser>
        <c:ser>
          <c:idx val="1"/>
          <c:order val="1"/>
          <c:tx>
            <c:v>Non highlight</c:v>
          </c:tx>
          <c:spPr>
            <a:ln w="28575">
              <a:noFill/>
            </a:ln>
          </c:spPr>
          <c:marker>
            <c:symbol val="diamond"/>
            <c:size val="7"/>
            <c:spPr>
              <a:solidFill>
                <a:schemeClr val="bg1">
                  <a:lumMod val="75000"/>
                </a:schemeClr>
              </a:solidFill>
              <a:ln>
                <a:noFill/>
              </a:ln>
            </c:spPr>
          </c:marker>
          <c:xVal>
            <c:numRef>
              <c:f>i_scatter!$C$33:$U$33</c:f>
              <c:numCache>
                <c:formatCode>General</c:formatCode>
                <c:ptCount val="19"/>
                <c:pt idx="0">
                  <c:v>50</c:v>
                </c:pt>
                <c:pt idx="1">
                  <c:v>75</c:v>
                </c:pt>
                <c:pt idx="2">
                  <c:v>100</c:v>
                </c:pt>
                <c:pt idx="3">
                  <c:v>50</c:v>
                </c:pt>
                <c:pt idx="4">
                  <c:v>25</c:v>
                </c:pt>
                <c:pt idx="5">
                  <c:v>25</c:v>
                </c:pt>
                <c:pt idx="6">
                  <c:v>0</c:v>
                </c:pt>
                <c:pt idx="7">
                  <c:v>25</c:v>
                </c:pt>
                <c:pt idx="8">
                  <c:v>75</c:v>
                </c:pt>
                <c:pt idx="9">
                  <c:v>25</c:v>
                </c:pt>
                <c:pt idx="10">
                  <c:v>25</c:v>
                </c:pt>
                <c:pt idx="11">
                  <c:v>50</c:v>
                </c:pt>
                <c:pt idx="12">
                  <c:v>25</c:v>
                </c:pt>
                <c:pt idx="13">
                  <c:v>50</c:v>
                </c:pt>
                <c:pt idx="14">
                  <c:v>25</c:v>
                </c:pt>
                <c:pt idx="15">
                  <c:v>75</c:v>
                </c:pt>
                <c:pt idx="16">
                  <c:v>25</c:v>
                </c:pt>
                <c:pt idx="17">
                  <c:v>25</c:v>
                </c:pt>
                <c:pt idx="18">
                  <c:v>0</c:v>
                </c:pt>
              </c:numCache>
            </c:numRef>
          </c:xVal>
          <c:yVal>
            <c:numRef>
              <c:f>i_scatter!$C$34:$U$34</c:f>
              <c:numCache>
                <c:formatCode>General</c:formatCode>
                <c:ptCount val="19"/>
                <c:pt idx="0">
                  <c:v>308.73989999999998</c:v>
                </c:pt>
                <c:pt idx="1">
                  <c:v>1573.4087</c:v>
                </c:pt>
                <c:pt idx="2">
                  <c:v>163.30510000000001</c:v>
                </c:pt>
                <c:pt idx="3">
                  <c:v>230.67150000000001</c:v>
                </c:pt>
                <c:pt idx="4">
                  <c:v>29.303100000000001</c:v>
                </c:pt>
                <c:pt idx="5">
                  <c:v>45.959000000000003</c:v>
                </c:pt>
                <c:pt idx="6">
                  <c:v>52.021900000000002</c:v>
                </c:pt>
                <c:pt idx="7">
                  <c:v>21.469799999999999</c:v>
                </c:pt>
                <c:pt idx="8">
                  <c:v>37.301000000000002</c:v>
                </c:pt>
                <c:pt idx="9">
                  <c:v>14.4085</c:v>
                </c:pt>
                <c:pt idx="10">
                  <c:v>12.337999999999999</c:v>
                </c:pt>
                <c:pt idx="11">
                  <c:v>874.90350000000001</c:v>
                </c:pt>
                <c:pt idx="12">
                  <c:v>6.149</c:v>
                </c:pt>
                <c:pt idx="13">
                  <c:v>24.594999999999999</c:v>
                </c:pt>
                <c:pt idx="14">
                  <c:v>13.98</c:v>
                </c:pt>
                <c:pt idx="15">
                  <c:v>126.73779999999999</c:v>
                </c:pt>
                <c:pt idx="16">
                  <c:v>25.257999999999999</c:v>
                </c:pt>
                <c:pt idx="17">
                  <c:v>31.510899999999999</c:v>
                </c:pt>
                <c:pt idx="18">
                  <c:v>326.13299999999998</c:v>
                </c:pt>
              </c:numCache>
            </c:numRef>
          </c:yVal>
        </c:ser>
        <c:ser>
          <c:idx val="2"/>
          <c:order val="2"/>
          <c:tx>
            <c:v>Highlight</c:v>
          </c:tx>
          <c:spPr>
            <a:ln w="28575">
              <a:noFill/>
            </a:ln>
          </c:spPr>
          <c:marker>
            <c:symbol val="diamond"/>
            <c:size val="7"/>
            <c:spPr>
              <a:solidFill>
                <a:schemeClr val="tx1"/>
              </a:solidFill>
              <a:ln>
                <a:noFill/>
              </a:ln>
            </c:spPr>
          </c:marker>
          <c:xVal>
            <c:numRef>
              <c:f>i_scatter!$C$37:$U$37</c:f>
              <c:numCache>
                <c:formatCode>General</c:formatCode>
                <c:ptCount val="19"/>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numCache>
            </c:numRef>
          </c:xVal>
          <c:yVal>
            <c:numRef>
              <c:f>i_scatter!$C$38:$U$38</c:f>
              <c:numCache>
                <c:formatCode>General</c:formatCode>
                <c:ptCount val="19"/>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numCache>
            </c:numRef>
          </c:yVal>
        </c:ser>
        <c:ser>
          <c:idx val="3"/>
          <c:order val="3"/>
          <c:tx>
            <c:v>Highlight (Labels)</c:v>
          </c:tx>
          <c:spPr>
            <a:ln w="28575">
              <a:noFill/>
            </a:ln>
          </c:spPr>
          <c:marker>
            <c:symbol val="none"/>
          </c:marker>
          <c:dLbls>
            <c:dLbl>
              <c:idx val="0"/>
              <c:tx>
                <c:rich>
                  <a:bodyPr/>
                  <a:lstStyle/>
                  <a:p>
                    <a:pPr>
                      <a:defRPr sz="800" b="0" i="0" u="none" strike="noStrike" baseline="0">
                        <a:solidFill>
                          <a:srgbClr val="000000"/>
                        </a:solidFill>
                        <a:latin typeface="Calibri"/>
                        <a:ea typeface="Calibri"/>
                        <a:cs typeface="Calibri"/>
                      </a:defRPr>
                    </a:pPr>
                    <a:r>
                      <a:t>Argentina</a:t>
                    </a:r>
                  </a:p>
                </c:rich>
              </c:tx>
              <c:spPr>
                <a:noFill/>
                <a:ln w="25400">
                  <a:noFill/>
                </a:ln>
              </c:spPr>
            </c:dLbl>
            <c:dLbl>
              <c:idx val="1"/>
              <c:tx>
                <c:rich>
                  <a:bodyPr/>
                  <a:lstStyle/>
                  <a:p>
                    <a:pPr>
                      <a:defRPr sz="800" b="0" i="0" u="none" strike="noStrike" baseline="0">
                        <a:solidFill>
                          <a:srgbClr val="000000"/>
                        </a:solidFill>
                        <a:latin typeface="Calibri"/>
                        <a:ea typeface="Calibri"/>
                        <a:cs typeface="Calibri"/>
                      </a:defRPr>
                    </a:pPr>
                    <a:r>
                      <a:t>Brazil</a:t>
                    </a:r>
                  </a:p>
                </c:rich>
              </c:tx>
              <c:spPr>
                <a:noFill/>
                <a:ln w="25400">
                  <a:noFill/>
                </a:ln>
              </c:spPr>
            </c:dLbl>
            <c:dLbl>
              <c:idx val="2"/>
              <c:tx>
                <c:rich>
                  <a:bodyPr/>
                  <a:lstStyle/>
                  <a:p>
                    <a:pPr>
                      <a:defRPr sz="800" b="0" i="0" u="none" strike="noStrike" baseline="0">
                        <a:solidFill>
                          <a:srgbClr val="000000"/>
                        </a:solidFill>
                        <a:latin typeface="Calibri"/>
                        <a:ea typeface="Calibri"/>
                        <a:cs typeface="Calibri"/>
                      </a:defRPr>
                    </a:pPr>
                    <a:r>
                      <a:t>Chile </a:t>
                    </a:r>
                  </a:p>
                </c:rich>
              </c:tx>
              <c:spPr>
                <a:noFill/>
                <a:ln w="25400">
                  <a:noFill/>
                </a:ln>
              </c:spPr>
            </c:dLbl>
            <c:dLbl>
              <c:idx val="3"/>
              <c:tx>
                <c:rich>
                  <a:bodyPr/>
                  <a:lstStyle/>
                  <a:p>
                    <a:pPr>
                      <a:defRPr sz="800" b="0" i="0" u="none" strike="noStrike" baseline="0">
                        <a:solidFill>
                          <a:srgbClr val="000000"/>
                        </a:solidFill>
                        <a:latin typeface="Calibri"/>
                        <a:ea typeface="Calibri"/>
                        <a:cs typeface="Calibri"/>
                      </a:defRPr>
                    </a:pPr>
                    <a:r>
                      <a:t>Colombia</a:t>
                    </a:r>
                  </a:p>
                </c:rich>
              </c:tx>
              <c:spPr>
                <a:noFill/>
                <a:ln w="25400">
                  <a:noFill/>
                </a:ln>
              </c:spPr>
            </c:dLbl>
            <c:dLbl>
              <c:idx val="4"/>
              <c:tx>
                <c:rich>
                  <a:bodyPr/>
                  <a:lstStyle/>
                  <a:p>
                    <a:pPr>
                      <a:defRPr sz="800" b="0" i="0" u="none" strike="noStrike" baseline="0">
                        <a:solidFill>
                          <a:srgbClr val="000000"/>
                        </a:solidFill>
                        <a:latin typeface="Calibri"/>
                        <a:ea typeface="Calibri"/>
                        <a:cs typeface="Calibri"/>
                      </a:defRPr>
                    </a:pPr>
                    <a:r>
                      <a:t>Costa Rica</a:t>
                    </a:r>
                  </a:p>
                </c:rich>
              </c:tx>
              <c:spPr>
                <a:noFill/>
                <a:ln w="25400">
                  <a:noFill/>
                </a:ln>
              </c:spPr>
            </c:dLbl>
            <c:dLbl>
              <c:idx val="5"/>
              <c:tx>
                <c:rich>
                  <a:bodyPr/>
                  <a:lstStyle/>
                  <a:p>
                    <a:pPr>
                      <a:defRPr sz="800" b="0" i="0" u="none" strike="noStrike" baseline="0">
                        <a:solidFill>
                          <a:srgbClr val="000000"/>
                        </a:solidFill>
                        <a:latin typeface="Calibri"/>
                        <a:ea typeface="Calibri"/>
                        <a:cs typeface="Calibri"/>
                      </a:defRPr>
                    </a:pPr>
                    <a:r>
                      <a:t>Dominican Rep.</a:t>
                    </a:r>
                  </a:p>
                </c:rich>
              </c:tx>
              <c:spPr>
                <a:noFill/>
                <a:ln w="25400">
                  <a:noFill/>
                </a:ln>
              </c:spPr>
            </c:dLbl>
            <c:dLbl>
              <c:idx val="6"/>
              <c:tx>
                <c:rich>
                  <a:bodyPr/>
                  <a:lstStyle/>
                  <a:p>
                    <a:pPr>
                      <a:defRPr sz="800" b="0" i="0" u="none" strike="noStrike" baseline="0">
                        <a:solidFill>
                          <a:srgbClr val="000000"/>
                        </a:solidFill>
                        <a:latin typeface="Calibri"/>
                        <a:ea typeface="Calibri"/>
                        <a:cs typeface="Calibri"/>
                      </a:defRPr>
                    </a:pPr>
                    <a:r>
                      <a:t>Ecuador</a:t>
                    </a:r>
                  </a:p>
                </c:rich>
              </c:tx>
              <c:spPr>
                <a:noFill/>
                <a:ln w="25400">
                  <a:noFill/>
                </a:ln>
              </c:spPr>
            </c:dLbl>
            <c:dLbl>
              <c:idx val="7"/>
              <c:tx>
                <c:rich>
                  <a:bodyPr/>
                  <a:lstStyle/>
                  <a:p>
                    <a:pPr>
                      <a:defRPr sz="800" b="0" i="0" u="none" strike="noStrike" baseline="0">
                        <a:solidFill>
                          <a:srgbClr val="000000"/>
                        </a:solidFill>
                        <a:latin typeface="Calibri"/>
                        <a:ea typeface="Calibri"/>
                        <a:cs typeface="Calibri"/>
                      </a:defRPr>
                    </a:pPr>
                    <a:r>
                      <a:t>El Salvador</a:t>
                    </a:r>
                  </a:p>
                </c:rich>
              </c:tx>
              <c:spPr>
                <a:noFill/>
                <a:ln w="25400">
                  <a:noFill/>
                </a:ln>
              </c:spPr>
            </c:dLbl>
            <c:dLbl>
              <c:idx val="8"/>
              <c:tx>
                <c:rich>
                  <a:bodyPr/>
                  <a:lstStyle/>
                  <a:p>
                    <a:pPr>
                      <a:defRPr sz="800" b="0" i="0" u="none" strike="noStrike" baseline="0">
                        <a:solidFill>
                          <a:srgbClr val="000000"/>
                        </a:solidFill>
                        <a:latin typeface="Calibri"/>
                        <a:ea typeface="Calibri"/>
                        <a:cs typeface="Calibri"/>
                      </a:defRPr>
                    </a:pPr>
                    <a:r>
                      <a:t>Guatemala</a:t>
                    </a:r>
                  </a:p>
                </c:rich>
              </c:tx>
              <c:spPr>
                <a:noFill/>
                <a:ln w="25400">
                  <a:noFill/>
                </a:ln>
              </c:spPr>
            </c:dLbl>
            <c:dLbl>
              <c:idx val="9"/>
              <c:tx>
                <c:rich>
                  <a:bodyPr/>
                  <a:lstStyle/>
                  <a:p>
                    <a:pPr>
                      <a:defRPr sz="800" b="0" i="0" u="none" strike="noStrike" baseline="0">
                        <a:solidFill>
                          <a:srgbClr val="000000"/>
                        </a:solidFill>
                        <a:latin typeface="Calibri"/>
                        <a:ea typeface="Calibri"/>
                        <a:cs typeface="Calibri"/>
                      </a:defRPr>
                    </a:pPr>
                    <a:r>
                      <a:t>Honduras</a:t>
                    </a:r>
                  </a:p>
                </c:rich>
              </c:tx>
              <c:spPr>
                <a:noFill/>
                <a:ln w="25400">
                  <a:noFill/>
                </a:ln>
              </c:spPr>
            </c:dLbl>
            <c:dLbl>
              <c:idx val="10"/>
              <c:tx>
                <c:rich>
                  <a:bodyPr/>
                  <a:lstStyle/>
                  <a:p>
                    <a:pPr>
                      <a:defRPr sz="800" b="0" i="0" u="none" strike="noStrike" baseline="0">
                        <a:solidFill>
                          <a:srgbClr val="000000"/>
                        </a:solidFill>
                        <a:latin typeface="Calibri"/>
                        <a:ea typeface="Calibri"/>
                        <a:cs typeface="Calibri"/>
                      </a:defRPr>
                    </a:pPr>
                    <a:r>
                      <a:t>Jamaica</a:t>
                    </a:r>
                  </a:p>
                </c:rich>
              </c:tx>
              <c:spPr>
                <a:noFill/>
                <a:ln w="25400">
                  <a:noFill/>
                </a:ln>
              </c:spPr>
            </c:dLbl>
            <c:dLbl>
              <c:idx val="11"/>
              <c:tx>
                <c:rich>
                  <a:bodyPr/>
                  <a:lstStyle/>
                  <a:p>
                    <a:pPr>
                      <a:defRPr sz="800" b="0" i="0" u="none" strike="noStrike" baseline="0">
                        <a:solidFill>
                          <a:srgbClr val="000000"/>
                        </a:solidFill>
                        <a:latin typeface="Calibri"/>
                        <a:ea typeface="Calibri"/>
                        <a:cs typeface="Calibri"/>
                      </a:defRPr>
                    </a:pPr>
                    <a:r>
                      <a:t>Mexico</a:t>
                    </a:r>
                  </a:p>
                </c:rich>
              </c:tx>
              <c:spPr>
                <a:noFill/>
                <a:ln w="25400">
                  <a:noFill/>
                </a:ln>
              </c:spPr>
            </c:dLbl>
            <c:dLbl>
              <c:idx val="12"/>
              <c:tx>
                <c:rich>
                  <a:bodyPr/>
                  <a:lstStyle/>
                  <a:p>
                    <a:pPr>
                      <a:defRPr sz="800" b="0" i="0" u="none" strike="noStrike" baseline="0">
                        <a:solidFill>
                          <a:srgbClr val="000000"/>
                        </a:solidFill>
                        <a:latin typeface="Calibri"/>
                        <a:ea typeface="Calibri"/>
                        <a:cs typeface="Calibri"/>
                      </a:defRPr>
                    </a:pPr>
                    <a:r>
                      <a:t>Nicaragua</a:t>
                    </a:r>
                  </a:p>
                </c:rich>
              </c:tx>
              <c:spPr>
                <a:noFill/>
                <a:ln w="25400">
                  <a:noFill/>
                </a:ln>
              </c:spPr>
            </c:dLbl>
            <c:dLbl>
              <c:idx val="13"/>
              <c:tx>
                <c:rich>
                  <a:bodyPr/>
                  <a:lstStyle/>
                  <a:p>
                    <a:pPr>
                      <a:defRPr sz="800" b="0" i="0" u="none" strike="noStrike" baseline="0">
                        <a:solidFill>
                          <a:srgbClr val="000000"/>
                        </a:solidFill>
                        <a:latin typeface="Calibri"/>
                        <a:ea typeface="Calibri"/>
                        <a:cs typeface="Calibri"/>
                      </a:defRPr>
                    </a:pPr>
                    <a:r>
                      <a:t>Panama</a:t>
                    </a:r>
                  </a:p>
                </c:rich>
              </c:tx>
              <c:spPr>
                <a:noFill/>
                <a:ln w="25400">
                  <a:noFill/>
                </a:ln>
              </c:spPr>
            </c:dLbl>
            <c:dLbl>
              <c:idx val="14"/>
              <c:tx>
                <c:rich>
                  <a:bodyPr/>
                  <a:lstStyle/>
                  <a:p>
                    <a:pPr>
                      <a:defRPr sz="800" b="0" i="0" u="none" strike="noStrike" baseline="0">
                        <a:solidFill>
                          <a:srgbClr val="000000"/>
                        </a:solidFill>
                        <a:latin typeface="Calibri"/>
                        <a:ea typeface="Calibri"/>
                        <a:cs typeface="Calibri"/>
                      </a:defRPr>
                    </a:pPr>
                    <a:r>
                      <a:t>Paraguay</a:t>
                    </a:r>
                  </a:p>
                </c:rich>
              </c:tx>
              <c:spPr>
                <a:noFill/>
                <a:ln w="25400">
                  <a:noFill/>
                </a:ln>
              </c:spPr>
            </c:dLbl>
            <c:dLbl>
              <c:idx val="15"/>
              <c:tx>
                <c:rich>
                  <a:bodyPr/>
                  <a:lstStyle/>
                  <a:p>
                    <a:pPr>
                      <a:defRPr sz="800" b="0" i="0" u="none" strike="noStrike" baseline="0">
                        <a:solidFill>
                          <a:srgbClr val="000000"/>
                        </a:solidFill>
                        <a:latin typeface="Calibri"/>
                        <a:ea typeface="Calibri"/>
                        <a:cs typeface="Calibri"/>
                      </a:defRPr>
                    </a:pPr>
                    <a:r>
                      <a:t>Peru</a:t>
                    </a:r>
                  </a:p>
                </c:rich>
              </c:tx>
              <c:spPr>
                <a:noFill/>
                <a:ln w="25400">
                  <a:noFill/>
                </a:ln>
              </c:spPr>
            </c:dLbl>
            <c:dLbl>
              <c:idx val="16"/>
              <c:tx>
                <c:rich>
                  <a:bodyPr/>
                  <a:lstStyle/>
                  <a:p>
                    <a:pPr>
                      <a:defRPr sz="800" b="0" i="0" u="none" strike="noStrike" baseline="0">
                        <a:solidFill>
                          <a:srgbClr val="000000"/>
                        </a:solidFill>
                        <a:latin typeface="Calibri"/>
                        <a:ea typeface="Calibri"/>
                        <a:cs typeface="Calibri"/>
                      </a:defRPr>
                    </a:pPr>
                    <a:r>
                      <a:t>Trinidad &amp; Tobago</a:t>
                    </a:r>
                  </a:p>
                </c:rich>
              </c:tx>
              <c:spPr>
                <a:noFill/>
                <a:ln w="25400">
                  <a:noFill/>
                </a:ln>
              </c:spPr>
            </c:dLbl>
            <c:dLbl>
              <c:idx val="17"/>
              <c:tx>
                <c:rich>
                  <a:bodyPr/>
                  <a:lstStyle/>
                  <a:p>
                    <a:pPr>
                      <a:defRPr sz="800" b="0" i="0" u="none" strike="noStrike" baseline="0">
                        <a:solidFill>
                          <a:srgbClr val="000000"/>
                        </a:solidFill>
                        <a:latin typeface="Calibri"/>
                        <a:ea typeface="Calibri"/>
                        <a:cs typeface="Calibri"/>
                      </a:defRPr>
                    </a:pPr>
                    <a:r>
                      <a:t>Uruguay</a:t>
                    </a:r>
                  </a:p>
                </c:rich>
              </c:tx>
              <c:spPr>
                <a:noFill/>
                <a:ln w="25400">
                  <a:noFill/>
                </a:ln>
              </c:spPr>
            </c:dLbl>
            <c:dLbl>
              <c:idx val="18"/>
              <c:tx>
                <c:rich>
                  <a:bodyPr/>
                  <a:lstStyle/>
                  <a:p>
                    <a:pPr>
                      <a:defRPr sz="800" b="0" i="0" u="none" strike="noStrike" baseline="0">
                        <a:solidFill>
                          <a:srgbClr val="000000"/>
                        </a:solidFill>
                        <a:latin typeface="Calibri"/>
                        <a:ea typeface="Calibri"/>
                        <a:cs typeface="Calibri"/>
                      </a:defRPr>
                    </a:pPr>
                    <a:r>
                      <a:t>Venezuela</a:t>
                    </a:r>
                  </a:p>
                </c:rich>
              </c:tx>
              <c:spPr>
                <a:noFill/>
                <a:ln w="25400">
                  <a:noFill/>
                </a:ln>
              </c:spPr>
            </c:dLbl>
            <c:delete val="1"/>
          </c:dLbls>
          <c:xVal>
            <c:numRef>
              <c:f>i_scatter!$C$41:$U$41</c:f>
              <c:numCache>
                <c:formatCode>General</c:formatCode>
                <c:ptCount val="19"/>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numCache>
            </c:numRef>
          </c:xVal>
          <c:yVal>
            <c:numRef>
              <c:f>i_scatter!$C$42:$U$42</c:f>
              <c:numCache>
                <c:formatCode>General</c:formatCode>
                <c:ptCount val="19"/>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numCache>
            </c:numRef>
          </c:yVal>
        </c:ser>
        <c:ser>
          <c:idx val="4"/>
          <c:order val="4"/>
          <c:tx>
            <c:strRef>
              <c:f>i_scatter!$C$44</c:f>
              <c:strCache>
                <c:ptCount val="1"/>
                <c:pt idx="0">
                  <c:v>&lt;none&gt;</c:v>
                </c:pt>
              </c:strCache>
            </c:strRef>
          </c:tx>
          <c:spPr>
            <a:ln w="28575">
              <a:noFill/>
            </a:ln>
          </c:spPr>
          <c:marker>
            <c:symbol val="circle"/>
            <c:size val="7"/>
            <c:spPr>
              <a:solidFill>
                <a:srgbClr val="FF0000"/>
              </a:solidFill>
              <a:ln>
                <a:noFill/>
              </a:ln>
            </c:spPr>
          </c:marker>
          <c:dLbls>
            <c:dLbl>
              <c:idx val="0"/>
              <c:spPr>
                <a:noFill/>
                <a:ln w="25400">
                  <a:noFill/>
                </a:ln>
              </c:spPr>
              <c:txPr>
                <a:bodyPr/>
                <a:lstStyle/>
                <a:p>
                  <a:pPr>
                    <a:defRPr sz="1000" b="0" i="0" u="none" strike="noStrike" baseline="0">
                      <a:solidFill>
                        <a:srgbClr val="FF0000"/>
                      </a:solidFill>
                      <a:latin typeface="Calibri"/>
                      <a:ea typeface="Calibri"/>
                      <a:cs typeface="Calibri"/>
                    </a:defRPr>
                  </a:pPr>
                  <a:endParaRPr lang="en-US"/>
                </a:p>
              </c:txPr>
              <c:showSerName val="1"/>
            </c:dLbl>
            <c:delete val="1"/>
          </c:dLbls>
          <c:xVal>
            <c:numRef>
              <c:f>i_scatter!$C$45</c:f>
              <c:numCache>
                <c:formatCode>General</c:formatCode>
                <c:ptCount val="1"/>
                <c:pt idx="0">
                  <c:v>#N/A</c:v>
                </c:pt>
              </c:numCache>
            </c:numRef>
          </c:xVal>
          <c:yVal>
            <c:numRef>
              <c:f>i_scatter!$C$46</c:f>
              <c:numCache>
                <c:formatCode>General</c:formatCode>
                <c:ptCount val="1"/>
                <c:pt idx="0">
                  <c:v>#N/A</c:v>
                </c:pt>
              </c:numCache>
            </c:numRef>
          </c:yVal>
        </c:ser>
        <c:ser>
          <c:idx val="5"/>
          <c:order val="5"/>
          <c:tx>
            <c:strRef>
              <c:f>i_scatter!$C$51</c:f>
              <c:strCache>
                <c:ptCount val="1"/>
                <c:pt idx="0">
                  <c:v>Chile </c:v>
                </c:pt>
              </c:strCache>
            </c:strRef>
          </c:tx>
          <c:spPr>
            <a:ln w="28575">
              <a:noFill/>
            </a:ln>
          </c:spPr>
          <c:marker>
            <c:symbol val="circle"/>
            <c:size val="7"/>
            <c:spPr>
              <a:solidFill>
                <a:srgbClr val="00B0F0"/>
              </a:solidFill>
              <a:ln>
                <a:noFill/>
              </a:ln>
            </c:spPr>
          </c:marker>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SerName val="1"/>
          </c:dLbls>
          <c:xVal>
            <c:numRef>
              <c:f>i_scatter!$C$52</c:f>
              <c:numCache>
                <c:formatCode>General</c:formatCode>
                <c:ptCount val="1"/>
                <c:pt idx="0">
                  <c:v>100</c:v>
                </c:pt>
              </c:numCache>
            </c:numRef>
          </c:xVal>
          <c:yVal>
            <c:numRef>
              <c:f>i_scatter!$C$53</c:f>
              <c:numCache>
                <c:formatCode>General</c:formatCode>
                <c:ptCount val="1"/>
                <c:pt idx="0">
                  <c:v>163.30510000000001</c:v>
                </c:pt>
              </c:numCache>
            </c:numRef>
          </c:yVal>
        </c:ser>
        <c:ser>
          <c:idx val="6"/>
          <c:order val="6"/>
          <c:tx>
            <c:strRef>
              <c:f>i_scatter!$D$51</c:f>
              <c:strCache>
                <c:ptCount val="1"/>
                <c:pt idx="0">
                  <c:v>Brazil</c:v>
                </c:pt>
              </c:strCache>
            </c:strRef>
          </c:tx>
          <c:spPr>
            <a:ln w="28575">
              <a:noFill/>
            </a:ln>
          </c:spPr>
          <c:marker>
            <c:symbol val="circle"/>
            <c:size val="7"/>
            <c:spPr>
              <a:solidFill>
                <a:srgbClr val="00B0F0"/>
              </a:solidFill>
              <a:ln>
                <a:noFill/>
              </a:ln>
            </c:spPr>
          </c:marker>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SerName val="1"/>
          </c:dLbls>
          <c:xVal>
            <c:numRef>
              <c:f>i_scatter!$D$52</c:f>
              <c:numCache>
                <c:formatCode>General</c:formatCode>
                <c:ptCount val="1"/>
                <c:pt idx="0">
                  <c:v>75</c:v>
                </c:pt>
              </c:numCache>
            </c:numRef>
          </c:xVal>
          <c:yVal>
            <c:numRef>
              <c:f>i_scatter!$D$53</c:f>
              <c:numCache>
                <c:formatCode>General</c:formatCode>
                <c:ptCount val="1"/>
                <c:pt idx="0">
                  <c:v>1573.4087</c:v>
                </c:pt>
              </c:numCache>
            </c:numRef>
          </c:yVal>
        </c:ser>
        <c:axId val="207131008"/>
        <c:axId val="207132928"/>
      </c:scatterChart>
      <c:valAx>
        <c:axId val="207131008"/>
        <c:scaling>
          <c:orientation val="minMax"/>
        </c:scaling>
        <c:axPos val="b"/>
        <c:majorGridlines>
          <c:spPr>
            <a:ln>
              <a:solidFill>
                <a:srgbClr val="00B050"/>
              </a:solidFill>
              <a:prstDash val="dash"/>
            </a:ln>
          </c:spPr>
        </c:majorGridlines>
        <c:title>
          <c:tx>
            <c:strRef>
              <c:f>i_scatter!$B$8</c:f>
              <c:strCache>
                <c:ptCount val="1"/>
                <c:pt idx="0">
                  <c:v>Consistency and quality of PPP regulations (0-4, where 4=best and 0=worst)</c:v>
                </c:pt>
              </c:strCache>
            </c:strRef>
          </c:tx>
          <c:spPr>
            <a:noFill/>
            <a:ln w="25400">
              <a:noFill/>
            </a:ln>
          </c:spPr>
          <c:txPr>
            <a:bodyPr/>
            <a:lstStyle/>
            <a:p>
              <a:pPr>
                <a:defRPr sz="1000" b="0" i="0" u="none" strike="noStrike" baseline="0">
                  <a:solidFill>
                    <a:srgbClr val="000000"/>
                  </a:solidFill>
                  <a:latin typeface="Calibri"/>
                  <a:ea typeface="Calibri"/>
                  <a:cs typeface="Calibri"/>
                </a:defRPr>
              </a:pPr>
              <a:endParaRPr lang="en-US"/>
            </a:p>
          </c:txPr>
        </c:title>
        <c:numFmt formatCode="General" sourceLinked="1"/>
        <c:majorTickMark val="none"/>
        <c:tickLblPos val="nextTo"/>
        <c:spPr>
          <a:ln>
            <a:solidFill>
              <a:srgbClr val="00B050"/>
            </a:solidFill>
          </a:ln>
        </c:spPr>
        <c:txPr>
          <a:bodyPr rot="0" vert="horz"/>
          <a:lstStyle/>
          <a:p>
            <a:pPr>
              <a:defRPr sz="800" b="0" i="0" u="none" strike="noStrike" baseline="0">
                <a:solidFill>
                  <a:srgbClr val="000000"/>
                </a:solidFill>
                <a:latin typeface="Calibri"/>
                <a:ea typeface="Calibri"/>
                <a:cs typeface="Calibri"/>
              </a:defRPr>
            </a:pPr>
            <a:endParaRPr lang="en-US"/>
          </a:p>
        </c:txPr>
        <c:crossAx val="207132928"/>
        <c:crosses val="autoZero"/>
        <c:crossBetween val="midCat"/>
      </c:valAx>
      <c:valAx>
        <c:axId val="207132928"/>
        <c:scaling>
          <c:orientation val="minMax"/>
        </c:scaling>
        <c:axPos val="l"/>
        <c:majorGridlines>
          <c:spPr>
            <a:ln>
              <a:solidFill>
                <a:srgbClr val="FFC000"/>
              </a:solidFill>
              <a:prstDash val="dash"/>
            </a:ln>
          </c:spPr>
        </c:majorGridlines>
        <c:title>
          <c:tx>
            <c:strRef>
              <c:f>i_scatter!$B$9</c:f>
              <c:strCache>
                <c:ptCount val="1"/>
                <c:pt idx="0">
                  <c:v>Nominal GDP , 2009 (US$)</c:v>
                </c:pt>
              </c:strCache>
            </c:strRef>
          </c:tx>
          <c:spPr>
            <a:noFill/>
            <a:ln w="25400">
              <a:noFill/>
            </a:ln>
          </c:spPr>
          <c:txPr>
            <a:bodyPr/>
            <a:lstStyle/>
            <a:p>
              <a:pPr>
                <a:defRPr sz="1000" b="0" i="0" u="none" strike="noStrike" baseline="0">
                  <a:solidFill>
                    <a:srgbClr val="000000"/>
                  </a:solidFill>
                  <a:latin typeface="Calibri"/>
                  <a:ea typeface="Calibri"/>
                  <a:cs typeface="Calibri"/>
                </a:defRPr>
              </a:pPr>
              <a:endParaRPr lang="en-US"/>
            </a:p>
          </c:txPr>
        </c:title>
        <c:numFmt formatCode="General" sourceLinked="1"/>
        <c:majorTickMark val="none"/>
        <c:tickLblPos val="nextTo"/>
        <c:spPr>
          <a:ln>
            <a:solidFill>
              <a:srgbClr val="FFC000"/>
            </a:solidFill>
          </a:ln>
        </c:spPr>
        <c:txPr>
          <a:bodyPr rot="0" vert="horz"/>
          <a:lstStyle/>
          <a:p>
            <a:pPr>
              <a:defRPr sz="800" b="0" i="0" u="none" strike="noStrike" baseline="0">
                <a:solidFill>
                  <a:srgbClr val="000000"/>
                </a:solidFill>
                <a:latin typeface="Calibri"/>
                <a:ea typeface="Calibri"/>
                <a:cs typeface="Calibri"/>
              </a:defRPr>
            </a:pPr>
            <a:endParaRPr lang="en-US"/>
          </a:p>
        </c:txPr>
        <c:crossAx val="207131008"/>
        <c:crosses val="autoZero"/>
        <c:crossBetween val="midCat"/>
      </c:valAx>
    </c:plotArea>
    <c:plotVisOnly val="1"/>
    <c:dispBlanksAs val="gap"/>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78" l="0.70000000000000062" r="0.70000000000000062" t="0.75000000000000078"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f1research.com/?id=idbppp" TargetMode="External"/><Relationship Id="rId2" Type="http://schemas.openxmlformats.org/officeDocument/2006/relationships/image" Target="../media/image2.emf"/><Relationship Id="rId1" Type="http://schemas.openxmlformats.org/officeDocument/2006/relationships/image" Target="../media/image1.jpeg"/><Relationship Id="rId5" Type="http://schemas.openxmlformats.org/officeDocument/2006/relationships/image" Target="../media/image4.emf"/><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_rels/vmlDrawing8.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xdr:col>
      <xdr:colOff>228600</xdr:colOff>
      <xdr:row>2</xdr:row>
      <xdr:rowOff>152400</xdr:rowOff>
    </xdr:from>
    <xdr:to>
      <xdr:col>13</xdr:col>
      <xdr:colOff>247650</xdr:colOff>
      <xdr:row>30</xdr:row>
      <xdr:rowOff>76200</xdr:rowOff>
    </xdr:to>
    <xdr:sp macro="" textlink="">
      <xdr:nvSpPr>
        <xdr:cNvPr id="1155212" name="Text Box 8"/>
        <xdr:cNvSpPr txBox="1">
          <a:spLocks noChangeArrowheads="1"/>
        </xdr:cNvSpPr>
      </xdr:nvSpPr>
      <xdr:spPr bwMode="auto">
        <a:xfrm>
          <a:off x="428625" y="476250"/>
          <a:ext cx="7334250" cy="4457700"/>
        </a:xfrm>
        <a:prstGeom prst="rect">
          <a:avLst/>
        </a:prstGeom>
        <a:solidFill>
          <a:srgbClr val="E5EEF3"/>
        </a:solidFill>
        <a:ln w="9525">
          <a:solidFill>
            <a:srgbClr val="E8E8E8"/>
          </a:solidFill>
          <a:miter lim="800000"/>
          <a:headEnd/>
          <a:tailEnd/>
        </a:ln>
      </xdr:spPr>
      <xdr:txBody>
        <a:bodyPr vertOverflow="clip" wrap="square" lIns="252000" tIns="46800" rIns="252000" bIns="118800" anchor="t" upright="1"/>
        <a:lstStyle/>
        <a:p>
          <a:pPr algn="l" rtl="0">
            <a:defRPr sz="1000"/>
          </a:pPr>
          <a:r>
            <a:rPr lang="en-US" sz="1400" b="1" i="0" u="none" strike="noStrike" baseline="0">
              <a:solidFill>
                <a:srgbClr val="333333"/>
              </a:solidFill>
              <a:latin typeface="Arial"/>
              <a:cs typeface="Arial"/>
            </a:rPr>
            <a:t>2010 InfraScope index for Latin America and the Caribbean</a:t>
          </a:r>
        </a:p>
        <a:p>
          <a:pPr algn="l" rtl="0">
            <a:defRPr sz="1000"/>
          </a:pPr>
          <a:endParaRPr lang="en-US" sz="1000" b="0" i="0" u="none" strike="noStrike" baseline="0">
            <a:solidFill>
              <a:srgbClr val="333333"/>
            </a:solidFill>
            <a:latin typeface="Arial"/>
            <a:cs typeface="Arial"/>
          </a:endParaRPr>
        </a:p>
        <a:p>
          <a:pPr algn="l" rtl="0">
            <a:defRPr sz="1000"/>
          </a:pPr>
          <a:r>
            <a:rPr lang="en-US" sz="1000" b="0" i="0" u="none" strike="noStrike" baseline="0">
              <a:solidFill>
                <a:srgbClr val="333333"/>
              </a:solidFill>
              <a:latin typeface="Arial"/>
              <a:cs typeface="Arial"/>
            </a:rPr>
            <a:t>This benchmarking index is a learning tool that evaluates the legal, regulatory and operating environments for public-private partnerships (PPPs) in transport, water/sanitation and electricity infrastructure for 19 Latin American and Caribbean countries. The analysis and scores in the model provide a comparable assesssment of  individual countries' readiness and facility for PPP project design and implementation. </a:t>
          </a:r>
        </a:p>
        <a:p>
          <a:pPr algn="l" rtl="0">
            <a:defRPr sz="1000"/>
          </a:pPr>
          <a:endParaRPr lang="en-US" sz="1000" b="0" i="0" u="none" strike="noStrike" baseline="0">
            <a:solidFill>
              <a:srgbClr val="333333"/>
            </a:solidFill>
            <a:latin typeface="Arial"/>
            <a:cs typeface="Arial"/>
          </a:endParaRPr>
        </a:p>
        <a:p>
          <a:pPr algn="l" rtl="0">
            <a:defRPr sz="1000"/>
          </a:pPr>
          <a:r>
            <a:rPr lang="en-US" sz="1000" b="0" i="0" u="none" strike="noStrike" baseline="0">
              <a:solidFill>
                <a:srgbClr val="333333"/>
              </a:solidFill>
              <a:latin typeface="Arial"/>
              <a:cs typeface="Arial"/>
            </a:rPr>
            <a:t>Evaluations were conducted and data was collected on a national level for all countriesand indicators, with the exception of the Sub-national adjustment factor. For the purpose of this index, PPP refers specifically to projects which involve a long-term contract between a public-sector body and a private-sector entity for the design, construction (or upgrading), operation and maintenance of public infrastructure; with finance usually provided by, and significant construction, operation and maintenance risks transferred to, the private-sector, which also bears either availability or demand risk; but with the public sector remaining responsible for policy oversight and regulation; and the infrastructure generally reverting to public-sector control at the end of the contract term.</a:t>
          </a:r>
        </a:p>
        <a:p>
          <a:pPr algn="l" rtl="0">
            <a:defRPr sz="1000"/>
          </a:pPr>
          <a:endParaRPr lang="en-US" sz="1000" b="0" i="0" u="none" strike="noStrike" baseline="0">
            <a:solidFill>
              <a:srgbClr val="333333"/>
            </a:solidFill>
            <a:latin typeface="Arial"/>
            <a:cs typeface="Arial"/>
          </a:endParaRPr>
        </a:p>
        <a:p>
          <a:pPr algn="l" rtl="0">
            <a:defRPr sz="1000"/>
          </a:pPr>
          <a:r>
            <a:rPr lang="en-US" sz="1000" b="0" i="0" u="none" strike="noStrike" baseline="0">
              <a:solidFill>
                <a:srgbClr val="333333"/>
              </a:solidFill>
              <a:latin typeface="Arial"/>
              <a:cs typeface="Arial"/>
            </a:rPr>
            <a:t>This model is constructed from 19 indicators, 15 of which are qualitative and most of which were scored from 0-4, where 4=best. The remaining indicators were based on quantitative variables. Five category scores and one adjustment factor -  Legal and regulatory framework, Institutional framework, Operational maturity, Investment climate, Financial facilities and a Sub-national adjustment factor- are calculated from the weighted mean of the underlying indicators.</a:t>
          </a:r>
        </a:p>
        <a:p>
          <a:pPr algn="l" rtl="0">
            <a:defRPr sz="1000"/>
          </a:pPr>
          <a:endParaRPr lang="en-US" sz="1000" b="0" i="0" u="none" strike="noStrike" baseline="0">
            <a:solidFill>
              <a:srgbClr val="333333"/>
            </a:solidFill>
            <a:latin typeface="Arial"/>
            <a:cs typeface="Arial"/>
          </a:endParaRPr>
        </a:p>
        <a:p>
          <a:pPr algn="l" rtl="0">
            <a:defRPr sz="1000"/>
          </a:pPr>
          <a:r>
            <a:rPr lang="en-US" sz="1000" b="0" i="0" u="none" strike="noStrike" baseline="0">
              <a:solidFill>
                <a:srgbClr val="333333"/>
              </a:solidFill>
              <a:latin typeface="Arial"/>
              <a:cs typeface="Arial"/>
            </a:rPr>
            <a:t>Each indicator is normalised from 0-100 where 100=best. From the underlying quantitative indicator data, the score is calculated using the following normalisation formula:</a:t>
          </a:r>
        </a:p>
        <a:p>
          <a:pPr algn="l" rtl="0">
            <a:defRPr sz="1000"/>
          </a:pPr>
          <a:r>
            <a:rPr lang="en-US" sz="1000" b="0" i="0" u="none" strike="noStrike" baseline="0">
              <a:solidFill>
                <a:srgbClr val="333333"/>
              </a:solidFill>
              <a:latin typeface="Arial"/>
              <a:cs typeface="Arial"/>
            </a:rPr>
            <a:t> x = (x - Min(x)) / (Max (x) - Min (x)).</a:t>
          </a:r>
        </a:p>
        <a:p>
          <a:pPr algn="l" rtl="0">
            <a:defRPr sz="1000"/>
          </a:pPr>
          <a:endParaRPr lang="en-US" sz="1000" b="0" i="0" u="none" strike="noStrike" baseline="0">
            <a:solidFill>
              <a:srgbClr val="333333"/>
            </a:solidFill>
            <a:latin typeface="Arial"/>
            <a:cs typeface="Arial"/>
          </a:endParaRPr>
        </a:p>
        <a:p>
          <a:pPr algn="l" rtl="0">
            <a:defRPr sz="1000"/>
          </a:pPr>
          <a:r>
            <a:rPr lang="en-US" sz="1000" b="0" i="0" u="none" strike="noStrike" baseline="0">
              <a:solidFill>
                <a:srgbClr val="333333"/>
              </a:solidFill>
              <a:latin typeface="Arial"/>
              <a:cs typeface="Arial"/>
            </a:rPr>
            <a:t>The weighting for each indicator and category can be adjusted by editing the "Weights" worksheet; please note that the current category weights are the Economist Intelligence Unit selected weights.</a:t>
          </a:r>
        </a:p>
      </xdr:txBody>
    </xdr:sp>
    <xdr:clientData/>
  </xdr:twoCellAnchor>
  <xdr:twoCellAnchor>
    <xdr:from>
      <xdr:col>1</xdr:col>
      <xdr:colOff>257175</xdr:colOff>
      <xdr:row>0</xdr:row>
      <xdr:rowOff>38100</xdr:rowOff>
    </xdr:from>
    <xdr:to>
      <xdr:col>13</xdr:col>
      <xdr:colOff>228600</xdr:colOff>
      <xdr:row>2</xdr:row>
      <xdr:rowOff>76200</xdr:rowOff>
    </xdr:to>
    <xdr:pic>
      <xdr:nvPicPr>
        <xdr:cNvPr id="1155205" name="Picture 1" descr="EIU_MPMS"/>
        <xdr:cNvPicPr>
          <a:picLocks noChangeAspect="1" noChangeArrowheads="1"/>
        </xdr:cNvPicPr>
      </xdr:nvPicPr>
      <xdr:blipFill>
        <a:blip xmlns:r="http://schemas.openxmlformats.org/officeDocument/2006/relationships" r:embed="rId1" cstate="print"/>
        <a:srcRect/>
        <a:stretch>
          <a:fillRect/>
        </a:stretch>
      </xdr:blipFill>
      <xdr:spPr bwMode="auto">
        <a:xfrm>
          <a:off x="457200" y="38100"/>
          <a:ext cx="7286625" cy="361950"/>
        </a:xfrm>
        <a:prstGeom prst="rect">
          <a:avLst/>
        </a:prstGeom>
        <a:noFill/>
        <a:ln w="9525">
          <a:noFill/>
          <a:miter lim="800000"/>
          <a:headEnd/>
          <a:tailEnd/>
        </a:ln>
      </xdr:spPr>
    </xdr:pic>
    <xdr:clientData/>
  </xdr:twoCellAnchor>
  <xdr:twoCellAnchor editAs="oneCell">
    <xdr:from>
      <xdr:col>3</xdr:col>
      <xdr:colOff>180975</xdr:colOff>
      <xdr:row>32</xdr:row>
      <xdr:rowOff>19050</xdr:rowOff>
    </xdr:from>
    <xdr:to>
      <xdr:col>5</xdr:col>
      <xdr:colOff>581025</xdr:colOff>
      <xdr:row>38</xdr:row>
      <xdr:rowOff>38100</xdr:rowOff>
    </xdr:to>
    <xdr:pic>
      <xdr:nvPicPr>
        <xdr:cNvPr id="1155209" name="Picture 137"/>
        <xdr:cNvPicPr>
          <a:picLocks noChangeAspect="1" noChangeArrowheads="1"/>
        </xdr:cNvPicPr>
      </xdr:nvPicPr>
      <xdr:blipFill>
        <a:blip xmlns:r="http://schemas.openxmlformats.org/officeDocument/2006/relationships" r:embed="rId2" cstate="print"/>
        <a:srcRect/>
        <a:stretch>
          <a:fillRect/>
        </a:stretch>
      </xdr:blipFill>
      <xdr:spPr bwMode="auto">
        <a:xfrm>
          <a:off x="1600200" y="5200650"/>
          <a:ext cx="1619250" cy="990600"/>
        </a:xfrm>
        <a:prstGeom prst="rect">
          <a:avLst/>
        </a:prstGeom>
        <a:noFill/>
      </xdr:spPr>
    </xdr:pic>
    <xdr:clientData/>
  </xdr:twoCellAnchor>
  <xdr:twoCellAnchor>
    <xdr:from>
      <xdr:col>1</xdr:col>
      <xdr:colOff>219075</xdr:colOff>
      <xdr:row>30</xdr:row>
      <xdr:rowOff>85725</xdr:rowOff>
    </xdr:from>
    <xdr:to>
      <xdr:col>13</xdr:col>
      <xdr:colOff>266700</xdr:colOff>
      <xdr:row>32</xdr:row>
      <xdr:rowOff>0</xdr:rowOff>
    </xdr:to>
    <xdr:sp macro="" textlink="">
      <xdr:nvSpPr>
        <xdr:cNvPr id="1155210" name="Text Box 9"/>
        <xdr:cNvSpPr txBox="1">
          <a:spLocks noChangeArrowheads="1"/>
        </xdr:cNvSpPr>
      </xdr:nvSpPr>
      <xdr:spPr bwMode="auto">
        <a:xfrm>
          <a:off x="419100" y="4943475"/>
          <a:ext cx="7362825" cy="238125"/>
        </a:xfrm>
        <a:prstGeom prst="rect">
          <a:avLst/>
        </a:prstGeom>
        <a:solidFill>
          <a:srgbClr val="CBD4D9"/>
        </a:solidFill>
        <a:ln w="9525">
          <a:solidFill>
            <a:srgbClr val="E8E8E8"/>
          </a:solidFill>
          <a:miter lim="800000"/>
          <a:headEnd/>
          <a:tailEnd/>
        </a:ln>
      </xdr:spPr>
      <xdr:txBody>
        <a:bodyPr vertOverflow="clip" wrap="square" lIns="72000" tIns="46800" rIns="90000" bIns="46800" anchor="t" upright="1"/>
        <a:lstStyle/>
        <a:p>
          <a:pPr algn="l" rtl="0">
            <a:defRPr sz="1000"/>
          </a:pPr>
          <a:r>
            <a:rPr lang="en-US" sz="800" b="0" i="0" u="none" strike="noStrike" baseline="0">
              <a:solidFill>
                <a:srgbClr val="333333"/>
              </a:solidFill>
              <a:latin typeface="Verdana"/>
            </a:rPr>
            <a:t>  Commissioned by:                                                                                                                    Publication date: October 2010</a:t>
          </a:r>
        </a:p>
      </xdr:txBody>
    </xdr:sp>
    <xdr:clientData/>
  </xdr:twoCellAnchor>
  <xdr:twoCellAnchor editAs="oneCell">
    <xdr:from>
      <xdr:col>17</xdr:col>
      <xdr:colOff>285750</xdr:colOff>
      <xdr:row>38</xdr:row>
      <xdr:rowOff>47625</xdr:rowOff>
    </xdr:from>
    <xdr:to>
      <xdr:col>19</xdr:col>
      <xdr:colOff>333375</xdr:colOff>
      <xdr:row>40</xdr:row>
      <xdr:rowOff>104775</xdr:rowOff>
    </xdr:to>
    <xdr:pic>
      <xdr:nvPicPr>
        <xdr:cNvPr id="1155211" name="Picture 2" descr="F1_LOGO_TRANS.gif">
          <a:hlinkClick xmlns:r="http://schemas.openxmlformats.org/officeDocument/2006/relationships" r:id="rId3" tooltip="Excel workbook by F1 Research - click for website"/>
        </xdr:cNvPr>
        <xdr:cNvPicPr>
          <a:picLocks noChangeAspect="1"/>
        </xdr:cNvPicPr>
      </xdr:nvPicPr>
      <xdr:blipFill>
        <a:blip xmlns:r="http://schemas.openxmlformats.org/officeDocument/2006/relationships" r:embed="rId4" cstate="print"/>
        <a:srcRect/>
        <a:stretch>
          <a:fillRect/>
        </a:stretch>
      </xdr:blipFill>
      <xdr:spPr bwMode="auto">
        <a:xfrm>
          <a:off x="10239375" y="6200775"/>
          <a:ext cx="1266825" cy="381000"/>
        </a:xfrm>
        <a:prstGeom prst="rect">
          <a:avLst/>
        </a:prstGeom>
        <a:noFill/>
        <a:ln w="9525">
          <a:noFill/>
          <a:miter lim="800000"/>
          <a:headEnd/>
          <a:tailEnd/>
        </a:ln>
      </xdr:spPr>
    </xdr:pic>
    <xdr:clientData/>
  </xdr:twoCellAnchor>
  <xdr:twoCellAnchor editAs="oneCell">
    <xdr:from>
      <xdr:col>6</xdr:col>
      <xdr:colOff>352425</xdr:colOff>
      <xdr:row>33</xdr:row>
      <xdr:rowOff>76200</xdr:rowOff>
    </xdr:from>
    <xdr:to>
      <xdr:col>10</xdr:col>
      <xdr:colOff>228600</xdr:colOff>
      <xdr:row>37</xdr:row>
      <xdr:rowOff>152400</xdr:rowOff>
    </xdr:to>
    <xdr:pic>
      <xdr:nvPicPr>
        <xdr:cNvPr id="1155213" name="Picture 141"/>
        <xdr:cNvPicPr>
          <a:picLocks noChangeAspect="1" noChangeArrowheads="1"/>
        </xdr:cNvPicPr>
      </xdr:nvPicPr>
      <xdr:blipFill>
        <a:blip xmlns:r="http://schemas.openxmlformats.org/officeDocument/2006/relationships" r:embed="rId5" cstate="print"/>
        <a:srcRect/>
        <a:stretch>
          <a:fillRect/>
        </a:stretch>
      </xdr:blipFill>
      <xdr:spPr bwMode="auto">
        <a:xfrm>
          <a:off x="3600450" y="5419725"/>
          <a:ext cx="2314575" cy="7239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23</xdr:row>
      <xdr:rowOff>0</xdr:rowOff>
    </xdr:from>
    <xdr:to>
      <xdr:col>14</xdr:col>
      <xdr:colOff>438150</xdr:colOff>
      <xdr:row>25</xdr:row>
      <xdr:rowOff>161925</xdr:rowOff>
    </xdr:to>
    <xdr:sp macro="" textlink="">
      <xdr:nvSpPr>
        <xdr:cNvPr id="2" name="Text Box 8"/>
        <xdr:cNvSpPr txBox="1">
          <a:spLocks noChangeArrowheads="1"/>
        </xdr:cNvSpPr>
      </xdr:nvSpPr>
      <xdr:spPr bwMode="auto">
        <a:xfrm>
          <a:off x="285750" y="4762500"/>
          <a:ext cx="4752975" cy="542925"/>
        </a:xfrm>
        <a:prstGeom prst="rect">
          <a:avLst/>
        </a:prstGeom>
        <a:noFill/>
        <a:ln w="9525">
          <a:noFill/>
          <a:miter lim="800000"/>
          <a:headEnd/>
          <a:tailEnd/>
        </a:ln>
      </xdr:spPr>
      <xdr:txBody>
        <a:bodyPr vertOverflow="clip" wrap="square" lIns="90000" tIns="36000" rIns="90000" bIns="46800" anchor="t" upright="1"/>
        <a:lstStyle/>
        <a:p>
          <a:pPr algn="l" rtl="0">
            <a:defRPr sz="1000"/>
          </a:pPr>
          <a:r>
            <a:rPr lang="en-GB" sz="900" b="1" i="0" u="none" strike="noStrike" baseline="0">
              <a:solidFill>
                <a:srgbClr val="000000"/>
              </a:solidFill>
              <a:latin typeface="Verdana"/>
            </a:rPr>
            <a:t>NOTES</a:t>
          </a:r>
          <a:endParaRPr lang="en-GB" sz="1000" b="0" i="0" u="none" strike="noStrike" baseline="0">
            <a:solidFill>
              <a:srgbClr val="000000"/>
            </a:solidFill>
            <a:latin typeface="Verdana"/>
          </a:endParaRPr>
        </a:p>
        <a:p>
          <a:pPr algn="l" rtl="0">
            <a:defRPr sz="1000"/>
          </a:pPr>
          <a:r>
            <a:rPr lang="en-GB" sz="900" b="0" i="0" u="none" strike="noStrike" baseline="0">
              <a:solidFill>
                <a:srgbClr val="000000"/>
              </a:solidFill>
              <a:latin typeface="Verdana"/>
            </a:rPr>
            <a:t>All scores 0-100 where 100=best</a:t>
          </a:r>
        </a:p>
        <a:p>
          <a:pPr algn="l" rtl="0">
            <a:defRPr sz="1000"/>
          </a:pPr>
          <a:r>
            <a:rPr lang="en-GB" sz="900" b="0" i="0" u="none" strike="noStrike" baseline="0">
              <a:solidFill>
                <a:srgbClr val="000000"/>
              </a:solidFill>
              <a:latin typeface="Verdana"/>
            </a:rPr>
            <a:t>The "=" sign indicates tied ranks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161926</xdr:colOff>
      <xdr:row>26</xdr:row>
      <xdr:rowOff>76200</xdr:rowOff>
    </xdr:from>
    <xdr:to>
      <xdr:col>25</xdr:col>
      <xdr:colOff>457200</xdr:colOff>
      <xdr:row>33</xdr:row>
      <xdr:rowOff>66675</xdr:rowOff>
    </xdr:to>
    <xdr:sp macro="" textlink="">
      <xdr:nvSpPr>
        <xdr:cNvPr id="2" name="Text Box 8"/>
        <xdr:cNvSpPr txBox="1">
          <a:spLocks noChangeArrowheads="1"/>
        </xdr:cNvSpPr>
      </xdr:nvSpPr>
      <xdr:spPr bwMode="auto">
        <a:xfrm>
          <a:off x="2638426" y="4838700"/>
          <a:ext cx="5514975" cy="1323975"/>
        </a:xfrm>
        <a:prstGeom prst="rect">
          <a:avLst/>
        </a:prstGeom>
        <a:noFill/>
        <a:ln w="9525">
          <a:noFill/>
          <a:miter lim="800000"/>
          <a:headEnd/>
          <a:tailEnd/>
        </a:ln>
      </xdr:spPr>
      <xdr:txBody>
        <a:bodyPr vertOverflow="clip" wrap="square" lIns="90000" tIns="36000" rIns="90000" bIns="46800" anchor="t" upright="1"/>
        <a:lstStyle/>
        <a:p>
          <a:pPr algn="l" rtl="0">
            <a:defRPr sz="1000"/>
          </a:pPr>
          <a:r>
            <a:rPr lang="en-US" sz="900" b="1" i="0" u="none" strike="noStrike" baseline="0">
              <a:solidFill>
                <a:srgbClr val="000000"/>
              </a:solidFill>
              <a:latin typeface="Verdana"/>
            </a:rPr>
            <a:t>NOTES</a:t>
          </a:r>
          <a:endParaRPr lang="en-US" sz="1000" b="0" i="0" u="none" strike="noStrike" baseline="0">
            <a:solidFill>
              <a:srgbClr val="000000"/>
            </a:solidFill>
            <a:latin typeface="Verdana"/>
          </a:endParaRPr>
        </a:p>
        <a:p>
          <a:pPr algn="l" rtl="0">
            <a:defRPr sz="1000"/>
          </a:pPr>
          <a:r>
            <a:rPr lang="en-US" sz="900" b="0" i="0" u="none" strike="noStrike" baseline="0">
              <a:solidFill>
                <a:srgbClr val="000000"/>
              </a:solidFill>
              <a:latin typeface="Verdana"/>
            </a:rPr>
            <a:t>All scores 0-100 where 100=best. The "=" sign indicates tied ranks</a:t>
          </a:r>
        </a:p>
        <a:p>
          <a:pPr algn="l" rtl="0">
            <a:defRPr sz="1000"/>
          </a:pPr>
          <a:endParaRPr lang="en-US" sz="900" b="0" i="0" u="none" strike="noStrike" baseline="0">
            <a:solidFill>
              <a:srgbClr val="000000"/>
            </a:solidFill>
            <a:latin typeface="Verdana"/>
          </a:endParaRPr>
        </a:p>
        <a:p>
          <a:pPr algn="l" rtl="0">
            <a:defRPr sz="1000"/>
          </a:pPr>
          <a:r>
            <a:rPr lang="en-US" sz="900" b="0" i="0" u="none" strike="noStrike" baseline="0">
              <a:solidFill>
                <a:srgbClr val="000000"/>
              </a:solidFill>
              <a:latin typeface="Verdana"/>
            </a:rPr>
            <a:t>YoY comparison shows 2010 score change from 2009</a:t>
          </a:r>
        </a:p>
        <a:p>
          <a:pPr algn="l" rtl="0">
            <a:defRPr sz="1000"/>
          </a:pPr>
          <a:r>
            <a:rPr lang="en-US" sz="900" b="0" i="0" u="none" strike="noStrike" baseline="0">
              <a:solidFill>
                <a:srgbClr val="000000"/>
              </a:solidFill>
              <a:latin typeface="Verdana"/>
            </a:rPr>
            <a:t>Plus = better than 2009, Minus = worse than 2009</a:t>
          </a:r>
        </a:p>
        <a:p>
          <a:pPr algn="l" rtl="0">
            <a:defRPr sz="1000"/>
          </a:pPr>
          <a:r>
            <a:rPr lang="en-US" sz="900" b="0" i="0" u="none" strike="noStrike" baseline="0">
              <a:solidFill>
                <a:srgbClr val="000000"/>
              </a:solidFill>
              <a:latin typeface="Verdana"/>
            </a:rPr>
            <a:t>*Please note that in 2010 the enegy generation sector (electricity)  was considered in the scoring and </a:t>
          </a:r>
        </a:p>
        <a:p>
          <a:pPr algn="l" rtl="0">
            <a:defRPr sz="1000"/>
          </a:pPr>
          <a:r>
            <a:rPr lang="en-US" sz="900" b="0" i="0" u="none" strike="noStrike" baseline="0">
              <a:solidFill>
                <a:srgbClr val="000000"/>
              </a:solidFill>
              <a:latin typeface="Verdana"/>
            </a:rPr>
            <a:t>analysis for all indicators and may be the cause of score changes. Please see the "CountryProfile" tab </a:t>
          </a:r>
        </a:p>
        <a:p>
          <a:pPr algn="l" rtl="0">
            <a:defRPr sz="1000"/>
          </a:pPr>
          <a:r>
            <a:rPr lang="en-US" sz="900" b="0" i="0" u="none" strike="noStrike" baseline="0">
              <a:solidFill>
                <a:srgbClr val="000000"/>
              </a:solidFill>
              <a:latin typeface="Verdana"/>
            </a:rPr>
            <a:t>for more detailed explanations of score changes.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9525</xdr:colOff>
      <xdr:row>2</xdr:row>
      <xdr:rowOff>171450</xdr:rowOff>
    </xdr:from>
    <xdr:to>
      <xdr:col>5</xdr:col>
      <xdr:colOff>219075</xdr:colOff>
      <xdr:row>3</xdr:row>
      <xdr:rowOff>1057275</xdr:rowOff>
    </xdr:to>
    <xdr:graphicFrame macro="">
      <xdr:nvGraphicFramePr>
        <xdr:cNvPr id="12197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9525</xdr:colOff>
      <xdr:row>2</xdr:row>
      <xdr:rowOff>171450</xdr:rowOff>
    </xdr:from>
    <xdr:to>
      <xdr:col>9</xdr:col>
      <xdr:colOff>0</xdr:colOff>
      <xdr:row>3</xdr:row>
      <xdr:rowOff>1057275</xdr:rowOff>
    </xdr:to>
    <xdr:graphicFrame macro="">
      <xdr:nvGraphicFramePr>
        <xdr:cNvPr id="121972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38100</xdr:colOff>
      <xdr:row>2</xdr:row>
      <xdr:rowOff>180975</xdr:rowOff>
    </xdr:from>
    <xdr:to>
      <xdr:col>15</xdr:col>
      <xdr:colOff>0</xdr:colOff>
      <xdr:row>3</xdr:row>
      <xdr:rowOff>1066800</xdr:rowOff>
    </xdr:to>
    <xdr:graphicFrame macro="">
      <xdr:nvGraphicFramePr>
        <xdr:cNvPr id="121972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9525</xdr:colOff>
      <xdr:row>4</xdr:row>
      <xdr:rowOff>171450</xdr:rowOff>
    </xdr:from>
    <xdr:to>
      <xdr:col>5</xdr:col>
      <xdr:colOff>238125</xdr:colOff>
      <xdr:row>5</xdr:row>
      <xdr:rowOff>1028700</xdr:rowOff>
    </xdr:to>
    <xdr:graphicFrame macro="">
      <xdr:nvGraphicFramePr>
        <xdr:cNvPr id="121972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9525</xdr:colOff>
      <xdr:row>4</xdr:row>
      <xdr:rowOff>171450</xdr:rowOff>
    </xdr:from>
    <xdr:to>
      <xdr:col>9</xdr:col>
      <xdr:colOff>0</xdr:colOff>
      <xdr:row>5</xdr:row>
      <xdr:rowOff>1028700</xdr:rowOff>
    </xdr:to>
    <xdr:graphicFrame macro="">
      <xdr:nvGraphicFramePr>
        <xdr:cNvPr id="121972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28575</xdr:colOff>
      <xdr:row>5</xdr:row>
      <xdr:rowOff>0</xdr:rowOff>
    </xdr:from>
    <xdr:to>
      <xdr:col>14</xdr:col>
      <xdr:colOff>600075</xdr:colOff>
      <xdr:row>6</xdr:row>
      <xdr:rowOff>0</xdr:rowOff>
    </xdr:to>
    <xdr:graphicFrame macro="">
      <xdr:nvGraphicFramePr>
        <xdr:cNvPr id="1219728"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66675</xdr:colOff>
      <xdr:row>4</xdr:row>
      <xdr:rowOff>66675</xdr:rowOff>
    </xdr:from>
    <xdr:to>
      <xdr:col>14</xdr:col>
      <xdr:colOff>152400</xdr:colOff>
      <xdr:row>29</xdr:row>
      <xdr:rowOff>133350</xdr:rowOff>
    </xdr:to>
    <xdr:graphicFrame macro="">
      <xdr:nvGraphicFramePr>
        <xdr:cNvPr id="20292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1</xdr:row>
      <xdr:rowOff>95250</xdr:rowOff>
    </xdr:from>
    <xdr:to>
      <xdr:col>8</xdr:col>
      <xdr:colOff>0</xdr:colOff>
      <xdr:row>1</xdr:row>
      <xdr:rowOff>800100</xdr:rowOff>
    </xdr:to>
    <xdr:sp macro="" textlink="">
      <xdr:nvSpPr>
        <xdr:cNvPr id="2" name="Text Box 2"/>
        <xdr:cNvSpPr txBox="1">
          <a:spLocks noChangeArrowheads="1"/>
        </xdr:cNvSpPr>
      </xdr:nvSpPr>
      <xdr:spPr bwMode="auto">
        <a:xfrm>
          <a:off x="361950" y="295275"/>
          <a:ext cx="4676775" cy="704850"/>
        </a:xfrm>
        <a:prstGeom prst="rect">
          <a:avLst/>
        </a:prstGeom>
        <a:solidFill>
          <a:srgbClr val="FFFBF7"/>
        </a:solidFill>
        <a:ln w="9525">
          <a:solidFill>
            <a:srgbClr val="E8E8E8"/>
          </a:solidFill>
          <a:miter lim="800000"/>
          <a:headEnd/>
          <a:tailEnd/>
        </a:ln>
      </xdr:spPr>
      <xdr:txBody>
        <a:bodyPr vertOverflow="clip" wrap="square" lIns="72000" tIns="46800" rIns="72000" bIns="46800" anchor="t" upright="1"/>
        <a:lstStyle/>
        <a:p>
          <a:pPr algn="l" rtl="0">
            <a:defRPr sz="1000"/>
          </a:pPr>
          <a:endParaRPr lang="en-GB" sz="800" b="0" i="0" u="none" strike="noStrike" baseline="0">
            <a:solidFill>
              <a:srgbClr val="000000"/>
            </a:solidFill>
            <a:latin typeface="Verdana"/>
          </a:endParaRPr>
        </a:p>
        <a:p>
          <a:pPr algn="l" rtl="0">
            <a:defRPr sz="1000"/>
          </a:pPr>
          <a:endParaRPr lang="en-GB" sz="800" b="0" i="0" u="none" strike="noStrike" baseline="0">
            <a:solidFill>
              <a:srgbClr val="000000"/>
            </a:solidFill>
            <a:latin typeface="Verdana"/>
          </a:endParaRPr>
        </a:p>
        <a:p>
          <a:pPr algn="l" rtl="0">
            <a:defRPr sz="1000"/>
          </a:pPr>
          <a:r>
            <a:rPr lang="en-GB" sz="800" b="0" i="0" u="none" strike="noStrike" baseline="0">
              <a:solidFill>
                <a:srgbClr val="808080"/>
              </a:solidFill>
              <a:latin typeface="Verdana"/>
            </a:rPr>
            <a:t>Change weights by first editing numbers in the "Weight" column. Then select label.</a:t>
          </a:r>
        </a:p>
        <a:p>
          <a:pPr algn="l" rtl="0">
            <a:defRPr sz="1000"/>
          </a:pPr>
          <a:r>
            <a:rPr lang="en-GB" sz="800" b="0" i="0" u="none" strike="noStrike" baseline="0">
              <a:solidFill>
                <a:srgbClr val="808080"/>
              </a:solidFill>
              <a:latin typeface="Verdana"/>
            </a:rPr>
            <a:t>Set a weight of zero to completely remove the influence of any indicator/category.</a:t>
          </a:r>
        </a:p>
      </xdr:txBody>
    </xdr:sp>
    <xdr:clientData/>
  </xdr:twoCellAnchor>
  <xdr:twoCellAnchor>
    <xdr:from>
      <xdr:col>5</xdr:col>
      <xdr:colOff>38100</xdr:colOff>
      <xdr:row>1</xdr:row>
      <xdr:rowOff>142875</xdr:rowOff>
    </xdr:from>
    <xdr:to>
      <xdr:col>5</xdr:col>
      <xdr:colOff>1562100</xdr:colOff>
      <xdr:row>1</xdr:row>
      <xdr:rowOff>342900</xdr:rowOff>
    </xdr:to>
    <xdr:sp macro="" textlink="">
      <xdr:nvSpPr>
        <xdr:cNvPr id="3" name="Text Box 5"/>
        <xdr:cNvSpPr txBox="1">
          <a:spLocks noChangeArrowheads="1"/>
        </xdr:cNvSpPr>
      </xdr:nvSpPr>
      <xdr:spPr bwMode="auto">
        <a:xfrm>
          <a:off x="400050" y="342900"/>
          <a:ext cx="1524000" cy="200025"/>
        </a:xfrm>
        <a:prstGeom prst="rect">
          <a:avLst/>
        </a:prstGeom>
        <a:solidFill>
          <a:srgbClr val="FFFFFF">
            <a:alpha val="0"/>
          </a:srgbClr>
        </a:solidFill>
        <a:ln w="9525">
          <a:noFill/>
          <a:miter lim="800000"/>
          <a:headEnd/>
          <a:tailEnd/>
        </a:ln>
      </xdr:spPr>
      <xdr:txBody>
        <a:bodyPr vertOverflow="clip" wrap="square" lIns="27432" tIns="18288" rIns="0" bIns="0" anchor="t" upright="1"/>
        <a:lstStyle/>
        <a:p>
          <a:pPr algn="l" rtl="0">
            <a:defRPr sz="1000"/>
          </a:pPr>
          <a:r>
            <a:rPr lang="en-US" sz="900" b="0" i="0" strike="noStrike">
              <a:solidFill>
                <a:srgbClr val="003366"/>
              </a:solidFill>
              <a:latin typeface="Verdana"/>
            </a:rPr>
            <a:t>Select weighting profile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161926</xdr:colOff>
      <xdr:row>26</xdr:row>
      <xdr:rowOff>76200</xdr:rowOff>
    </xdr:from>
    <xdr:to>
      <xdr:col>28</xdr:col>
      <xdr:colOff>457200</xdr:colOff>
      <xdr:row>33</xdr:row>
      <xdr:rowOff>66675</xdr:rowOff>
    </xdr:to>
    <xdr:sp macro="" textlink="">
      <xdr:nvSpPr>
        <xdr:cNvPr id="2" name="Text Box 8"/>
        <xdr:cNvSpPr txBox="1">
          <a:spLocks noChangeArrowheads="1"/>
        </xdr:cNvSpPr>
      </xdr:nvSpPr>
      <xdr:spPr bwMode="auto">
        <a:xfrm>
          <a:off x="2638426" y="5438775"/>
          <a:ext cx="5934074" cy="1323975"/>
        </a:xfrm>
        <a:prstGeom prst="rect">
          <a:avLst/>
        </a:prstGeom>
        <a:noFill/>
        <a:ln w="9525">
          <a:noFill/>
          <a:miter lim="800000"/>
          <a:headEnd/>
          <a:tailEnd/>
        </a:ln>
      </xdr:spPr>
      <xdr:txBody>
        <a:bodyPr vertOverflow="clip" wrap="square" lIns="90000" tIns="36000" rIns="90000" bIns="46800" anchor="t" upright="1"/>
        <a:lstStyle/>
        <a:p>
          <a:pPr algn="l" rtl="0">
            <a:defRPr sz="1000"/>
          </a:pPr>
          <a:r>
            <a:rPr lang="en-US" sz="900" b="1" i="0" u="none" strike="noStrike" baseline="0">
              <a:solidFill>
                <a:srgbClr val="000000"/>
              </a:solidFill>
              <a:latin typeface="Verdana"/>
            </a:rPr>
            <a:t>NOTES</a:t>
          </a:r>
          <a:endParaRPr lang="en-US" sz="1000" b="0" i="0" u="none" strike="noStrike" baseline="0">
            <a:solidFill>
              <a:srgbClr val="000000"/>
            </a:solidFill>
            <a:latin typeface="Verdana"/>
          </a:endParaRPr>
        </a:p>
        <a:p>
          <a:pPr algn="l" rtl="0">
            <a:defRPr sz="1000"/>
          </a:pPr>
          <a:r>
            <a:rPr lang="en-US" sz="900" b="0" i="0" u="none" strike="noStrike" baseline="0">
              <a:solidFill>
                <a:srgbClr val="000000"/>
              </a:solidFill>
              <a:latin typeface="Verdana"/>
            </a:rPr>
            <a:t>All scores 0-100 where 100=best</a:t>
          </a:r>
        </a:p>
        <a:p>
          <a:pPr algn="l" rtl="0">
            <a:defRPr sz="1000"/>
          </a:pPr>
          <a:r>
            <a:rPr lang="en-US" sz="900" b="0" i="0" u="none" strike="noStrike" baseline="0">
              <a:solidFill>
                <a:srgbClr val="000000"/>
              </a:solidFill>
              <a:latin typeface="Verdana"/>
            </a:rPr>
            <a:t>The "=" sign indicates tied ranks</a:t>
          </a:r>
        </a:p>
        <a:p>
          <a:pPr algn="l" rtl="0">
            <a:defRPr sz="1000"/>
          </a:pPr>
          <a:endParaRPr lang="en-US" sz="900" b="0" i="0" u="none" strike="noStrike" baseline="0">
            <a:solidFill>
              <a:srgbClr val="000000"/>
            </a:solidFill>
            <a:latin typeface="Verdana"/>
          </a:endParaRPr>
        </a:p>
        <a:p>
          <a:pPr algn="l" rtl="0">
            <a:defRPr sz="1000"/>
          </a:pPr>
          <a:r>
            <a:rPr lang="en-US" sz="900" b="0" i="0" u="none" strike="noStrike" baseline="0">
              <a:solidFill>
                <a:srgbClr val="000000"/>
              </a:solidFill>
              <a:latin typeface="Verdana"/>
            </a:rPr>
            <a:t>YoY comparison shows 2010 score change from 2009</a:t>
          </a:r>
        </a:p>
        <a:p>
          <a:pPr algn="l" rtl="0">
            <a:defRPr sz="1000"/>
          </a:pPr>
          <a:r>
            <a:rPr lang="en-US" sz="900" b="0" i="0" u="none" strike="noStrike" baseline="0">
              <a:solidFill>
                <a:srgbClr val="000000"/>
              </a:solidFill>
              <a:latin typeface="Verdana"/>
            </a:rPr>
            <a:t>Plus = better than 2008, Minus = worse than 2008</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drawing" Target="../drawings/drawing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drawing" Target="../drawings/drawing6.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sheetPr codeName="Sheet5"/>
  <dimension ref="A1:T29"/>
  <sheetViews>
    <sheetView workbookViewId="0">
      <selection activeCell="D5" sqref="D5"/>
    </sheetView>
  </sheetViews>
  <sheetFormatPr defaultRowHeight="15"/>
  <cols>
    <col min="1" max="1" width="19.28515625" bestFit="1" customWidth="1"/>
  </cols>
  <sheetData>
    <row r="1" spans="1:20">
      <c r="G1" t="s">
        <v>832</v>
      </c>
    </row>
    <row r="3" spans="1:20">
      <c r="A3" t="s">
        <v>963</v>
      </c>
      <c r="B3" s="45">
        <v>3</v>
      </c>
    </row>
    <row r="4" spans="1:20">
      <c r="D4" t="s">
        <v>3</v>
      </c>
    </row>
    <row r="5" spans="1:20">
      <c r="A5" t="s">
        <v>560</v>
      </c>
      <c r="B5" s="45">
        <v>1</v>
      </c>
      <c r="D5" t="s">
        <v>561</v>
      </c>
    </row>
    <row r="8" spans="1:20">
      <c r="A8" t="s">
        <v>549</v>
      </c>
      <c r="B8" s="45">
        <v>3</v>
      </c>
      <c r="C8" s="65" t="str">
        <f>tblIndicators!A1</f>
        <v>Code</v>
      </c>
      <c r="D8" s="65" t="str">
        <f>tblIndicators!B1</f>
        <v>Parent</v>
      </c>
      <c r="E8" s="65" t="str">
        <f>tblIndicators!C1</f>
        <v>Level</v>
      </c>
      <c r="F8" s="65" t="str">
        <f>tblIndicators!D1</f>
        <v>Process</v>
      </c>
      <c r="G8" s="65" t="str">
        <f>tblIndicators!E1</f>
        <v>XX_Offset</v>
      </c>
      <c r="H8" s="65" t="str">
        <f>tblIndicators!F1</f>
        <v>XX_Mult</v>
      </c>
      <c r="I8" s="65" t="str">
        <f>tblIndicators!G1</f>
        <v>0=High is good,1=High is bad</v>
      </c>
      <c r="J8" s="65" t="str">
        <f>tblIndicators!H1</f>
        <v>Short</v>
      </c>
      <c r="K8" s="65" t="str">
        <f>tblIndicators!I1</f>
        <v>Unit</v>
      </c>
      <c r="L8" s="65" t="str">
        <f>tblIndicators!J1</f>
        <v>Source</v>
      </c>
      <c r="M8" s="65" t="str">
        <f>tblIndicators!K1</f>
        <v>High Value</v>
      </c>
      <c r="N8" s="65" t="str">
        <f>tblIndicators!L1</f>
        <v>Statement</v>
      </c>
      <c r="O8" s="65" t="str">
        <f>tblIndicators!M1</f>
        <v>Year</v>
      </c>
      <c r="P8" s="65" t="str">
        <f>tblIndicators!N1</f>
        <v>Notes</v>
      </c>
      <c r="Q8" s="65" t="str">
        <f>tblIndicators!O1</f>
        <v>Format</v>
      </c>
      <c r="R8" s="65" t="str">
        <f>tblIndicators!P1</f>
        <v>DP</v>
      </c>
      <c r="S8" s="65" t="str">
        <f>tblIndicators!Q1</f>
        <v>Tidy</v>
      </c>
      <c r="T8" s="65" t="str">
        <f>tblIndicators!R1</f>
        <v>Indi Full</v>
      </c>
    </row>
    <row r="9" spans="1:20">
      <c r="A9" t="s">
        <v>550</v>
      </c>
      <c r="B9" s="91">
        <f>B8</f>
        <v>3</v>
      </c>
      <c r="C9" t="str">
        <f>INDEX(tblIndicators!A$2:A$39,$B9)</f>
        <v>LEGF01</v>
      </c>
      <c r="D9" t="str">
        <f>INDEX(tblIndicators!B$2:B$39,$B9)</f>
        <v>LEGF</v>
      </c>
      <c r="E9">
        <f>INDEX(tblIndicators!C$2:C$39,$B9)</f>
        <v>2</v>
      </c>
      <c r="F9" t="str">
        <f>INDEX(tblIndicators!D$2:D$39,$B9)</f>
        <v>XX</v>
      </c>
      <c r="G9">
        <f>INDEX(tblIndicators!E$2:E$39,$B9)</f>
        <v>0</v>
      </c>
      <c r="H9">
        <f>INDEX(tblIndicators!F$2:F$39,$B9)</f>
        <v>25</v>
      </c>
      <c r="I9">
        <f>INDEX(tblIndicators!G$2:G$39,$B9)</f>
        <v>0</v>
      </c>
      <c r="J9" t="str">
        <f>INDEX(tblIndicators!H$2:H$39,$B9)</f>
        <v>Consistency and quality of PPP regulations</v>
      </c>
      <c r="K9" t="str">
        <f>INDEX(tblIndicators!I$2:I$39,$B9)</f>
        <v>0-4, where 4=best and 0=worst</v>
      </c>
      <c r="L9" t="str">
        <f>INDEX(tblIndicators!J$2:J$39,$B9)</f>
        <v>EIU qualitative assessment</v>
      </c>
      <c r="M9" t="str">
        <f>INDEX(tblIndicators!K$2:K$39,$B9)</f>
        <v>GOOD</v>
      </c>
      <c r="N9" t="str">
        <f>INDEX(tblIndicators!L$2:L$39,$B9)</f>
        <v xml:space="preserve">“How consistent are PPP laws and regulations at different levels of government and across sectors? Do regulations establish clear requirements and oversight mechanisms for project implementation (project preparation, bidding, contract awards, construction and operation)? Must risk be allocated to different parties according to ability to manage them? Is there a clear system for compensating the private sector for acts of authority that change sector-specific economic conditions not foreseen during bidding?" Also considers if regulations avoid open-ended compensation rights for changes in financial equilibrium so that the state only assumes explicitly written commercial contractual contingent liabilities. </v>
      </c>
      <c r="O9">
        <f>INDEX(tblIndicators!M$2:M$39,$B9)</f>
        <v>0</v>
      </c>
      <c r="P9" t="str">
        <f>INDEX(tblIndicators!N$2:N$39,$B9)</f>
        <v>0=The legal framework is so cumbersome or restrictive that in practice PPPs are extremely difficult to implement;
1=The legal framework allows concessions but it is ill defined and risk allocation and compensation is unclear and inefficient; 
2=The legal framework allows concessions and also establishes general, open-ended oversight, risk allocation and compensation rules; 
3=The legal framework is generally good and coherent, addressing risk allocation issues while leaving some ambiguity with regards to compensation schemes and project implementation;
4=The legal framework is comprehensive and consistent across sectors and layers of government, addresses risk allocation and compensation issues according to strict economic principles and establishes sophisticated and consistent oversight of project implementation</v>
      </c>
      <c r="Q9" t="str">
        <f>INDEX(tblIndicators!O$2:O$39,$B9)</f>
        <v>0</v>
      </c>
      <c r="R9">
        <f>INDEX(tblIndicators!P$2:P$39,$B9)</f>
        <v>0</v>
      </c>
      <c r="S9" t="str">
        <f>INDEX(tblIndicators!Q$2:Q$39,$B9)</f>
        <v xml:space="preserve">   Consistency and quality of PPP regulations</v>
      </c>
      <c r="T9" t="str">
        <f>INDEX(tblIndicators!R$2:R$39,$B9)</f>
        <v>Consistency and quality of PPP regulations, 0-4, where 4=best and 0=worst</v>
      </c>
    </row>
    <row r="10" spans="1:20">
      <c r="A10" t="s">
        <v>870</v>
      </c>
      <c r="B10" s="45">
        <v>32</v>
      </c>
    </row>
    <row r="11" spans="1:20">
      <c r="A11" t="s">
        <v>871</v>
      </c>
      <c r="B11" s="91">
        <f>B10</f>
        <v>32</v>
      </c>
      <c r="C11" t="str">
        <f>INDEX(tblIndicators!A$2:A$39,$B11)</f>
        <v>DEPE05</v>
      </c>
      <c r="D11" t="str">
        <f>INDEX(tblIndicators!B$2:B$39,$B11)</f>
        <v>DEPE</v>
      </c>
      <c r="E11">
        <f>INDEX(tblIndicators!C$2:C$39,$B11)</f>
        <v>3</v>
      </c>
      <c r="F11" t="str">
        <f>INDEX(tblIndicators!D$2:D$39,$B11)</f>
        <v>XX</v>
      </c>
      <c r="G11">
        <f>INDEX(tblIndicators!E$2:E$39,$B11)</f>
        <v>0</v>
      </c>
      <c r="H11">
        <f>INDEX(tblIndicators!F$2:F$39,$B11)</f>
        <v>1</v>
      </c>
      <c r="I11">
        <f>INDEX(tblIndicators!G$2:G$39,$B11)</f>
        <v>0</v>
      </c>
      <c r="J11" t="str">
        <f>INDEX(tblIndicators!H$2:H$39,$B11)</f>
        <v>Nominal GDP , 2009</v>
      </c>
      <c r="K11" t="str">
        <f>INDEX(tblIndicators!I$2:I$39,$B11)</f>
        <v>US$</v>
      </c>
      <c r="L11">
        <f>INDEX(tblIndicators!J$2:J$39,$B11)</f>
        <v>0</v>
      </c>
      <c r="M11" t="str">
        <f>INDEX(tblIndicators!K$2:K$39,$B11)</f>
        <v>GOOD</v>
      </c>
      <c r="N11">
        <f>INDEX(tblIndicators!L$2:L$39,$B11)</f>
        <v>0</v>
      </c>
      <c r="O11">
        <f>INDEX(tblIndicators!M$2:M$39,$B11)</f>
        <v>0</v>
      </c>
      <c r="P11">
        <f>INDEX(tblIndicators!N$2:N$39,$B11)</f>
        <v>0</v>
      </c>
      <c r="Q11" t="str">
        <f>INDEX(tblIndicators!O$2:O$39,$B11)</f>
        <v>#,###.0</v>
      </c>
      <c r="R11">
        <f>INDEX(tblIndicators!P$2:P$39,$B11)</f>
        <v>1</v>
      </c>
      <c r="S11" t="str">
        <f>INDEX(tblIndicators!Q$2:Q$39,$B11)</f>
        <v xml:space="preserve">      Nominal GDP , 2009</v>
      </c>
      <c r="T11" t="str">
        <f>INDEX(tblIndicators!R$2:R$39,$B11)</f>
        <v>Nominal GDP , 2009, US$</v>
      </c>
    </row>
    <row r="13" spans="1:20">
      <c r="A13" t="s">
        <v>562</v>
      </c>
      <c r="B13" s="45">
        <v>1</v>
      </c>
    </row>
    <row r="14" spans="1:20">
      <c r="A14" t="s">
        <v>887</v>
      </c>
      <c r="B14" s="91">
        <f>B13-1</f>
        <v>0</v>
      </c>
      <c r="C14" t="str">
        <f>INDEX(tblCountries!E$5:E$24,B13)</f>
        <v>&lt;none&gt;</v>
      </c>
      <c r="E14" t="s">
        <v>886</v>
      </c>
    </row>
    <row r="15" spans="1:20" ht="18.75" customHeight="1">
      <c r="A15" t="s">
        <v>563</v>
      </c>
      <c r="B15" s="45">
        <v>18</v>
      </c>
      <c r="C15" t="str">
        <f>INDEX(tblCountries!E$6:E$24,B15)</f>
        <v>Uruguay</v>
      </c>
    </row>
    <row r="16" spans="1:20">
      <c r="B16" s="49"/>
    </row>
    <row r="17" spans="1:5">
      <c r="A17" t="s">
        <v>893</v>
      </c>
      <c r="B17" s="45">
        <v>4</v>
      </c>
    </row>
    <row r="18" spans="1:5">
      <c r="A18" t="s">
        <v>564</v>
      </c>
      <c r="B18" s="91">
        <f>B17-1</f>
        <v>3</v>
      </c>
      <c r="C18" t="str">
        <f>INDEX(tblCountries!E$5:E$24,B17)</f>
        <v xml:space="preserve">Chile </v>
      </c>
      <c r="E18" t="s">
        <v>886</v>
      </c>
    </row>
    <row r="19" spans="1:5">
      <c r="A19" t="s">
        <v>894</v>
      </c>
      <c r="B19" s="45">
        <v>16</v>
      </c>
    </row>
    <row r="20" spans="1:5">
      <c r="A20" t="s">
        <v>565</v>
      </c>
      <c r="B20" s="91">
        <f>B19-1</f>
        <v>15</v>
      </c>
      <c r="C20" t="str">
        <f>INDEX(tblCountries!E$5:E$24,B19)</f>
        <v>Paraguay</v>
      </c>
      <c r="E20" t="s">
        <v>886</v>
      </c>
    </row>
    <row r="21" spans="1:5">
      <c r="B21" s="91"/>
    </row>
    <row r="22" spans="1:5">
      <c r="A22" t="s">
        <v>829</v>
      </c>
      <c r="B22" s="45">
        <v>1</v>
      </c>
      <c r="C22" t="str">
        <f>INDEX(tblCountries!K6:K10,B22)</f>
        <v>None</v>
      </c>
    </row>
    <row r="23" spans="1:5">
      <c r="A23" t="s">
        <v>830</v>
      </c>
      <c r="B23">
        <v>1</v>
      </c>
    </row>
    <row r="26" spans="1:5">
      <c r="A26" t="s">
        <v>851</v>
      </c>
      <c r="B26" t="b">
        <v>1</v>
      </c>
    </row>
    <row r="27" spans="1:5">
      <c r="A27" t="s">
        <v>852</v>
      </c>
      <c r="B27" t="b">
        <v>0</v>
      </c>
    </row>
    <row r="29" spans="1:5">
      <c r="A29" t="s">
        <v>881</v>
      </c>
      <c r="B29">
        <v>1</v>
      </c>
      <c r="C29" t="str">
        <f>INDEX(tblSections!B2:B7,B29)</f>
        <v>OVERALL SCORE</v>
      </c>
    </row>
  </sheetData>
  <phoneticPr fontId="0" type="noConversion"/>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sheetPr codeName="Sheet26"/>
  <dimension ref="A1:AS34"/>
  <sheetViews>
    <sheetView showGridLines="0" showRowColHeaders="0" zoomScale="80" zoomScaleNormal="80" workbookViewId="0">
      <selection activeCell="M35" sqref="M35"/>
    </sheetView>
  </sheetViews>
  <sheetFormatPr defaultRowHeight="15"/>
  <cols>
    <col min="1" max="1" width="2" style="49" customWidth="1"/>
    <col min="2" max="2" width="2.28515625" style="49" customWidth="1"/>
    <col min="3" max="3" width="2.5703125" style="49" hidden="1" customWidth="1"/>
    <col min="4" max="4" width="4.140625" style="49" customWidth="1"/>
    <col min="5" max="5" width="15.5703125" style="49" customWidth="1"/>
    <col min="6" max="6" width="7.42578125" style="49" customWidth="1"/>
    <col min="7" max="7" width="5.7109375" style="49" customWidth="1"/>
    <col min="8" max="8" width="5.7109375" style="49" hidden="1" customWidth="1"/>
    <col min="9" max="9" width="3.28515625" style="49" customWidth="1"/>
    <col min="10" max="10" width="2.5703125" style="49" hidden="1" customWidth="1"/>
    <col min="11" max="11" width="4.140625" style="49" customWidth="1"/>
    <col min="12" max="12" width="18.7109375" style="49" customWidth="1"/>
    <col min="13" max="13" width="8.85546875" style="49" customWidth="1"/>
    <col min="14" max="14" width="5.7109375" style="49" customWidth="1"/>
    <col min="15" max="15" width="5.7109375" style="49" hidden="1" customWidth="1"/>
    <col min="16" max="16" width="3.28515625" style="49" customWidth="1"/>
    <col min="17" max="17" width="2.5703125" style="49" hidden="1" customWidth="1"/>
    <col min="18" max="18" width="3.85546875" style="49" customWidth="1"/>
    <col min="19" max="19" width="18.7109375" style="49" customWidth="1"/>
    <col min="20" max="20" width="8.85546875" style="49" customWidth="1"/>
    <col min="21" max="21" width="5.7109375" style="49" customWidth="1"/>
    <col min="22" max="22" width="5.7109375" style="49" hidden="1" customWidth="1"/>
    <col min="23" max="23" width="2.28515625" style="49" customWidth="1"/>
    <col min="24" max="24" width="2.5703125" style="49" hidden="1" customWidth="1"/>
    <col min="25" max="25" width="4" style="49" customWidth="1"/>
    <col min="26" max="26" width="18.7109375" style="49" customWidth="1"/>
    <col min="27" max="27" width="8.7109375" style="49" customWidth="1"/>
    <col min="28" max="28" width="5.7109375" style="49" customWidth="1"/>
    <col min="29" max="29" width="5.7109375" style="49" hidden="1" customWidth="1"/>
    <col min="30" max="30" width="3.42578125" style="49" customWidth="1"/>
    <col min="31" max="31" width="2.5703125" style="49" hidden="1" customWidth="1"/>
    <col min="32" max="32" width="3.7109375" style="49" customWidth="1"/>
    <col min="33" max="33" width="18.7109375" style="49" customWidth="1"/>
    <col min="34" max="34" width="8.7109375" style="49" customWidth="1"/>
    <col min="35" max="35" width="5.7109375" style="49" customWidth="1"/>
    <col min="36" max="36" width="5.7109375" style="49" hidden="1" customWidth="1"/>
    <col min="37" max="37" width="3.140625" style="49" customWidth="1"/>
    <col min="38" max="38" width="2.5703125" style="49" hidden="1" customWidth="1"/>
    <col min="39" max="39" width="4" style="49" customWidth="1"/>
    <col min="40" max="40" width="18.7109375" style="49" customWidth="1"/>
    <col min="41" max="41" width="9.28515625" style="49" customWidth="1"/>
    <col min="42" max="42" width="5.7109375" style="49" customWidth="1"/>
    <col min="43" max="43" width="5.7109375" style="49" hidden="1" customWidth="1"/>
    <col min="44" max="44" width="2.7109375" style="49" customWidth="1"/>
    <col min="45" max="45" width="0" style="49" hidden="1" customWidth="1"/>
    <col min="46" max="16384" width="9.140625" style="49"/>
  </cols>
  <sheetData>
    <row r="1" spans="1:45" s="72" customFormat="1" ht="50.25" customHeight="1">
      <c r="A1" s="229" t="s">
        <v>0</v>
      </c>
      <c r="B1" s="229"/>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c r="AE1" s="229"/>
      <c r="AF1" s="229"/>
      <c r="AG1" s="229"/>
      <c r="AH1" s="229"/>
      <c r="AI1" s="229"/>
      <c r="AJ1" s="229"/>
      <c r="AK1" s="229"/>
      <c r="AL1" s="229"/>
      <c r="AM1" s="229"/>
      <c r="AN1" s="229"/>
      <c r="AO1" s="229"/>
    </row>
    <row r="3" spans="1:45">
      <c r="D3" s="188" t="s">
        <v>330</v>
      </c>
      <c r="E3" s="194"/>
      <c r="F3" s="190" t="s">
        <v>568</v>
      </c>
      <c r="G3" s="190" t="s">
        <v>545</v>
      </c>
      <c r="K3" s="50" t="str">
        <f>i_rankYOY!AX7</f>
        <v>Regulatory framework</v>
      </c>
      <c r="L3" s="51"/>
      <c r="M3" s="196" t="s">
        <v>568</v>
      </c>
      <c r="N3" s="195" t="s">
        <v>545</v>
      </c>
      <c r="O3" s="51"/>
      <c r="Q3" s="49">
        <f>i_rankYOY!BL7</f>
        <v>0</v>
      </c>
      <c r="R3" s="50" t="str">
        <f>i_rankYOY!BM7</f>
        <v>Institutional framework</v>
      </c>
      <c r="S3" s="51"/>
      <c r="T3" s="196" t="s">
        <v>568</v>
      </c>
      <c r="U3" s="195" t="s">
        <v>545</v>
      </c>
      <c r="V3" s="51"/>
      <c r="Y3" s="50" t="str">
        <f>i_rankYOY!CB7</f>
        <v>Operational maturity</v>
      </c>
      <c r="Z3" s="51"/>
      <c r="AA3" s="196" t="s">
        <v>568</v>
      </c>
      <c r="AB3" s="195" t="s">
        <v>545</v>
      </c>
      <c r="AC3" s="51"/>
      <c r="AF3" s="50" t="s">
        <v>331</v>
      </c>
      <c r="AG3" s="51"/>
      <c r="AH3" s="196" t="s">
        <v>568</v>
      </c>
      <c r="AI3" s="195" t="s">
        <v>545</v>
      </c>
      <c r="AJ3" s="51"/>
      <c r="AM3" s="50" t="str">
        <f>i_rankYOY!DF7</f>
        <v>Financial facilities</v>
      </c>
      <c r="AN3" s="51"/>
      <c r="AO3" s="196" t="s">
        <v>568</v>
      </c>
      <c r="AP3" s="195" t="s">
        <v>545</v>
      </c>
      <c r="AQ3" s="51"/>
    </row>
    <row r="4" spans="1:45">
      <c r="C4" s="49">
        <f ca="1">i_rankYOY!AH10</f>
        <v>1</v>
      </c>
      <c r="D4" s="191">
        <f ca="1">i_rankYOY!AI10</f>
        <v>1</v>
      </c>
      <c r="E4" s="54" t="str">
        <f ca="1">i_rankYOY!AJ10</f>
        <v xml:space="preserve">Chile </v>
      </c>
      <c r="F4" s="53">
        <f ca="1">i_rankYOY!AK10</f>
        <v>80.099999999999994</v>
      </c>
      <c r="G4" s="211">
        <f ca="1">i_rankYOY!AL10</f>
        <v>11.9</v>
      </c>
      <c r="H4" s="49">
        <f ca="1">i_rankYOY!AM10</f>
        <v>11.9</v>
      </c>
      <c r="J4" s="49">
        <f ca="1">i_rankYOY!AW10</f>
        <v>1</v>
      </c>
      <c r="K4" s="191">
        <f ca="1">i_rankYOY!AX10</f>
        <v>1</v>
      </c>
      <c r="L4" s="54" t="str">
        <f ca="1">i_rankYOY!AY10</f>
        <v xml:space="preserve">Chile </v>
      </c>
      <c r="M4" s="53">
        <f ca="1">i_rankYOY!AZ10</f>
        <v>84.4</v>
      </c>
      <c r="N4" s="211">
        <f ca="1">i_rankYOY!BA10</f>
        <v>21.9</v>
      </c>
      <c r="O4" s="92">
        <f ca="1">i_rankYOY!BB10</f>
        <v>21.9</v>
      </c>
      <c r="Q4" s="49">
        <f ca="1">i_rankYOY!BL10</f>
        <v>1</v>
      </c>
      <c r="R4" s="191">
        <f ca="1">i_rankYOY!BM10</f>
        <v>1</v>
      </c>
      <c r="S4" s="54" t="str">
        <f ca="1">i_rankYOY!BN10</f>
        <v>Brazil</v>
      </c>
      <c r="T4" s="53">
        <f ca="1">i_rankYOY!BO10</f>
        <v>75</v>
      </c>
      <c r="U4" s="211">
        <f ca="1">i_rankYOY!BP10</f>
        <v>8.3000000000000007</v>
      </c>
      <c r="V4" s="92">
        <f ca="1">i_rankYOY!BQ10</f>
        <v>8.3000000000000007</v>
      </c>
      <c r="X4" s="49">
        <f ca="1">i_rankYOY!CA10</f>
        <v>1</v>
      </c>
      <c r="Y4" s="191">
        <f ca="1">i_rankYOY!CB10</f>
        <v>1</v>
      </c>
      <c r="Z4" s="54" t="str">
        <f ca="1">i_rankYOY!CC10</f>
        <v>Brazil</v>
      </c>
      <c r="AA4" s="53">
        <f ca="1">i_rankYOY!CD10</f>
        <v>87.5</v>
      </c>
      <c r="AB4" s="211">
        <f ca="1">i_rankYOY!CE10</f>
        <v>18.8</v>
      </c>
      <c r="AC4" s="92">
        <f ca="1">i_rankYOY!CF10</f>
        <v>18.8</v>
      </c>
      <c r="AE4" s="49">
        <f ca="1">i_rankYOY!CP10</f>
        <v>1</v>
      </c>
      <c r="AF4" s="191">
        <f ca="1">i_rankYOY!CQ10</f>
        <v>1</v>
      </c>
      <c r="AG4" s="54" t="str">
        <f ca="1">i_rankYOY!CR10</f>
        <v xml:space="preserve">Chile </v>
      </c>
      <c r="AH4" s="53">
        <f ca="1">i_rankYOY!CS10</f>
        <v>70.8</v>
      </c>
      <c r="AI4" s="211">
        <f ca="1">i_rankYOY!CT10</f>
        <v>-0.5</v>
      </c>
      <c r="AJ4" s="92">
        <f ca="1">i_rankYOY!CU10</f>
        <v>-0.5</v>
      </c>
      <c r="AL4" s="49">
        <f ca="1">i_rankYOY!DE10</f>
        <v>1</v>
      </c>
      <c r="AM4" s="191">
        <f ca="1">i_rankYOY!DF10</f>
        <v>1</v>
      </c>
      <c r="AN4" s="54" t="str">
        <f ca="1">i_rankYOY!DG10</f>
        <v xml:space="preserve">Chile </v>
      </c>
      <c r="AO4" s="53">
        <f ca="1">i_rankYOY!DH10</f>
        <v>97.2</v>
      </c>
      <c r="AP4" s="211" t="str">
        <f ca="1">i_rankYOY!DI10</f>
        <v>-</v>
      </c>
      <c r="AQ4" s="92">
        <f ca="1">i_rankYOY!DJ10</f>
        <v>0</v>
      </c>
      <c r="AS4" s="49">
        <f ca="1">i_rankYOY!DT10</f>
        <v>1</v>
      </c>
    </row>
    <row r="5" spans="1:45">
      <c r="C5" s="49">
        <f ca="1">i_rankYOY!AH11</f>
        <v>1</v>
      </c>
      <c r="D5" s="191">
        <f ca="1">i_rankYOY!AI11</f>
        <v>2</v>
      </c>
      <c r="E5" s="54" t="str">
        <f ca="1">i_rankYOY!AJ11</f>
        <v>Brazil</v>
      </c>
      <c r="F5" s="53">
        <f ca="1">i_rankYOY!AK11</f>
        <v>71.7</v>
      </c>
      <c r="G5" s="211">
        <f ca="1">i_rankYOY!AL11</f>
        <v>13.3</v>
      </c>
      <c r="H5" s="49">
        <f ca="1">i_rankYOY!AM11</f>
        <v>13.3</v>
      </c>
      <c r="J5" s="49">
        <f ca="1">i_rankYOY!AW11</f>
        <v>1</v>
      </c>
      <c r="K5" s="191">
        <f ca="1">i_rankYOY!AX11</f>
        <v>2</v>
      </c>
      <c r="L5" s="54" t="str">
        <f ca="1">i_rankYOY!AY11</f>
        <v>Peru</v>
      </c>
      <c r="M5" s="53">
        <f ca="1">i_rankYOY!AZ11</f>
        <v>75</v>
      </c>
      <c r="N5" s="211">
        <f ca="1">i_rankYOY!BA11</f>
        <v>9.4</v>
      </c>
      <c r="O5" s="92">
        <f ca="1">i_rankYOY!BB11</f>
        <v>9.4</v>
      </c>
      <c r="Q5" s="49">
        <f ca="1">i_rankYOY!BL11</f>
        <v>1</v>
      </c>
      <c r="R5" s="191" t="str">
        <f ca="1">i_rankYOY!BM11</f>
        <v>=2</v>
      </c>
      <c r="S5" s="54" t="str">
        <f ca="1">i_rankYOY!BN11</f>
        <v xml:space="preserve">Chile </v>
      </c>
      <c r="T5" s="53">
        <f ca="1">i_rankYOY!BO11</f>
        <v>75</v>
      </c>
      <c r="U5" s="211">
        <f ca="1">i_rankYOY!BP11</f>
        <v>25</v>
      </c>
      <c r="V5" s="92">
        <f ca="1">i_rankYOY!BQ11</f>
        <v>25</v>
      </c>
      <c r="X5" s="49">
        <f ca="1">i_rankYOY!CA11</f>
        <v>1</v>
      </c>
      <c r="Y5" s="191">
        <f ca="1">i_rankYOY!CB11</f>
        <v>2</v>
      </c>
      <c r="Z5" s="54" t="str">
        <f ca="1">i_rankYOY!CC11</f>
        <v xml:space="preserve">Chile </v>
      </c>
      <c r="AA5" s="53">
        <f ca="1">i_rankYOY!CD11</f>
        <v>72.2</v>
      </c>
      <c r="AB5" s="211">
        <f ca="1">i_rankYOY!CE11</f>
        <v>2</v>
      </c>
      <c r="AC5" s="92">
        <f ca="1">i_rankYOY!CF11</f>
        <v>2</v>
      </c>
      <c r="AE5" s="49">
        <f ca="1">i_rankYOY!CP11</f>
        <v>1</v>
      </c>
      <c r="AF5" s="191">
        <f ca="1">i_rankYOY!CQ11</f>
        <v>2</v>
      </c>
      <c r="AG5" s="54" t="str">
        <f ca="1">i_rankYOY!CR11</f>
        <v>Uruguay</v>
      </c>
      <c r="AH5" s="53">
        <f ca="1">i_rankYOY!CS11</f>
        <v>54</v>
      </c>
      <c r="AI5" s="211">
        <f ca="1">i_rankYOY!CT11</f>
        <v>1.5</v>
      </c>
      <c r="AJ5" s="92">
        <f ca="1">i_rankYOY!CU11</f>
        <v>1.5</v>
      </c>
      <c r="AL5" s="49">
        <f ca="1">i_rankYOY!DE11</f>
        <v>1</v>
      </c>
      <c r="AM5" s="191">
        <f ca="1">i_rankYOY!DF11</f>
        <v>2</v>
      </c>
      <c r="AN5" s="54" t="str">
        <f ca="1">i_rankYOY!DG11</f>
        <v>Brazil</v>
      </c>
      <c r="AO5" s="53">
        <f ca="1">i_rankYOY!DH11</f>
        <v>72.2</v>
      </c>
      <c r="AP5" s="211">
        <f ca="1">i_rankYOY!DI11</f>
        <v>8.3000000000000007</v>
      </c>
      <c r="AQ5" s="92">
        <f ca="1">i_rankYOY!DJ11</f>
        <v>8.3000000000000007</v>
      </c>
      <c r="AS5" s="49">
        <f ca="1">i_rankYOY!DT11</f>
        <v>1</v>
      </c>
    </row>
    <row r="6" spans="1:45">
      <c r="C6" s="49">
        <f ca="1">i_rankYOY!AH12</f>
        <v>1</v>
      </c>
      <c r="D6" s="191">
        <f ca="1">i_rankYOY!AI12</f>
        <v>3</v>
      </c>
      <c r="E6" s="54" t="str">
        <f ca="1">i_rankYOY!AJ12</f>
        <v>Peru</v>
      </c>
      <c r="F6" s="53">
        <f ca="1">i_rankYOY!AK12</f>
        <v>65</v>
      </c>
      <c r="G6" s="211">
        <f ca="1">i_rankYOY!AL12</f>
        <v>10.199999999999999</v>
      </c>
      <c r="H6" s="49">
        <f ca="1">i_rankYOY!AM12</f>
        <v>10.199999999999999</v>
      </c>
      <c r="J6" s="49">
        <f ca="1">i_rankYOY!AW12</f>
        <v>1</v>
      </c>
      <c r="K6" s="191">
        <f ca="1">i_rankYOY!AX12</f>
        <v>3</v>
      </c>
      <c r="L6" s="54" t="str">
        <f ca="1">i_rankYOY!AY12</f>
        <v>Brazil</v>
      </c>
      <c r="M6" s="53">
        <f ca="1">i_rankYOY!AZ12</f>
        <v>71.900000000000006</v>
      </c>
      <c r="N6" s="211">
        <f ca="1">i_rankYOY!BA12</f>
        <v>25</v>
      </c>
      <c r="O6" s="92">
        <f ca="1">i_rankYOY!BB12</f>
        <v>25</v>
      </c>
      <c r="Q6" s="49">
        <f ca="1">i_rankYOY!BL12</f>
        <v>1</v>
      </c>
      <c r="R6" s="191" t="str">
        <f ca="1">i_rankYOY!BM12</f>
        <v>=2</v>
      </c>
      <c r="S6" s="54" t="str">
        <f ca="1">i_rankYOY!BN12</f>
        <v>Peru</v>
      </c>
      <c r="T6" s="53">
        <f ca="1">i_rankYOY!BO12</f>
        <v>75</v>
      </c>
      <c r="U6" s="211">
        <f ca="1">i_rankYOY!BP12</f>
        <v>25</v>
      </c>
      <c r="V6" s="92">
        <f ca="1">i_rankYOY!BQ12</f>
        <v>25</v>
      </c>
      <c r="X6" s="49">
        <f ca="1">i_rankYOY!CA12</f>
        <v>1</v>
      </c>
      <c r="Y6" s="191">
        <f ca="1">i_rankYOY!CB12</f>
        <v>3</v>
      </c>
      <c r="Z6" s="54" t="str">
        <f ca="1">i_rankYOY!CC12</f>
        <v>Mexico</v>
      </c>
      <c r="AA6" s="53">
        <f ca="1">i_rankYOY!CD12</f>
        <v>54</v>
      </c>
      <c r="AB6" s="211">
        <f ca="1">i_rankYOY!CE12</f>
        <v>8.1</v>
      </c>
      <c r="AC6" s="92">
        <f ca="1">i_rankYOY!CF12</f>
        <v>8.1</v>
      </c>
      <c r="AE6" s="49">
        <f ca="1">i_rankYOY!CP12</f>
        <v>1</v>
      </c>
      <c r="AF6" s="191">
        <f ca="1">i_rankYOY!CQ12</f>
        <v>3</v>
      </c>
      <c r="AG6" s="54" t="str">
        <f ca="1">i_rankYOY!CR12</f>
        <v>Brazil</v>
      </c>
      <c r="AH6" s="53">
        <f ca="1">i_rankYOY!CS12</f>
        <v>50.9</v>
      </c>
      <c r="AI6" s="211" t="str">
        <f ca="1">i_rankYOY!CT12</f>
        <v>-</v>
      </c>
      <c r="AJ6" s="92">
        <f ca="1">i_rankYOY!CU12</f>
        <v>0</v>
      </c>
      <c r="AL6" s="49">
        <f ca="1">i_rankYOY!DE12</f>
        <v>1</v>
      </c>
      <c r="AM6" s="191">
        <f ca="1">i_rankYOY!DF12</f>
        <v>3</v>
      </c>
      <c r="AN6" s="54" t="str">
        <f ca="1">i_rankYOY!DG12</f>
        <v>Mexico</v>
      </c>
      <c r="AO6" s="53">
        <f ca="1">i_rankYOY!DH12</f>
        <v>72.2</v>
      </c>
      <c r="AP6" s="211">
        <f ca="1">i_rankYOY!DI12</f>
        <v>2.8</v>
      </c>
      <c r="AQ6" s="92">
        <f ca="1">i_rankYOY!DJ12</f>
        <v>2.8</v>
      </c>
      <c r="AS6" s="49">
        <f ca="1">i_rankYOY!DT12</f>
        <v>1</v>
      </c>
    </row>
    <row r="7" spans="1:45">
      <c r="C7" s="49">
        <f ca="1">i_rankYOY!AH13</f>
        <v>1</v>
      </c>
      <c r="D7" s="191">
        <f ca="1">i_rankYOY!AI13</f>
        <v>4</v>
      </c>
      <c r="E7" s="54" t="str">
        <f ca="1">i_rankYOY!AJ13</f>
        <v>Mexico</v>
      </c>
      <c r="F7" s="53">
        <f ca="1">i_rankYOY!AK13</f>
        <v>57.2</v>
      </c>
      <c r="G7" s="211">
        <f ca="1">i_rankYOY!AL13</f>
        <v>8.1999999999999993</v>
      </c>
      <c r="H7" s="49">
        <f ca="1">i_rankYOY!AM13</f>
        <v>8.1999999999999993</v>
      </c>
      <c r="J7" s="49">
        <f ca="1">i_rankYOY!AW13</f>
        <v>1</v>
      </c>
      <c r="K7" s="191">
        <f ca="1">i_rankYOY!AX13</f>
        <v>4</v>
      </c>
      <c r="L7" s="54" t="str">
        <f ca="1">i_rankYOY!AY13</f>
        <v>Mexico</v>
      </c>
      <c r="M7" s="53">
        <f ca="1">i_rankYOY!AZ13</f>
        <v>56.3</v>
      </c>
      <c r="N7" s="211">
        <f ca="1">i_rankYOY!BA13</f>
        <v>6.3</v>
      </c>
      <c r="O7" s="92">
        <f ca="1">i_rankYOY!BB13</f>
        <v>6.3</v>
      </c>
      <c r="Q7" s="49">
        <f ca="1">i_rankYOY!BL13</f>
        <v>1</v>
      </c>
      <c r="R7" s="191" t="str">
        <f ca="1">i_rankYOY!BM13</f>
        <v>=2</v>
      </c>
      <c r="S7" s="54" t="str">
        <f ca="1">i_rankYOY!BN13</f>
        <v>Mexico</v>
      </c>
      <c r="T7" s="53">
        <f ca="1">i_rankYOY!BO13</f>
        <v>58.3</v>
      </c>
      <c r="U7" s="211">
        <f ca="1">i_rankYOY!BP13</f>
        <v>25</v>
      </c>
      <c r="V7" s="92">
        <f ca="1">i_rankYOY!BQ13</f>
        <v>25</v>
      </c>
      <c r="X7" s="49">
        <f ca="1">i_rankYOY!CA13</f>
        <v>1</v>
      </c>
      <c r="Y7" s="191">
        <f ca="1">i_rankYOY!CB13</f>
        <v>4</v>
      </c>
      <c r="Z7" s="54" t="str">
        <f ca="1">i_rankYOY!CC13</f>
        <v>Peru</v>
      </c>
      <c r="AA7" s="53">
        <f ca="1">i_rankYOY!CD13</f>
        <v>53.6</v>
      </c>
      <c r="AB7" s="211">
        <f ca="1">i_rankYOY!CE13</f>
        <v>8.4</v>
      </c>
      <c r="AC7" s="92">
        <f ca="1">i_rankYOY!CF13</f>
        <v>8.4</v>
      </c>
      <c r="AE7" s="49">
        <f ca="1">i_rankYOY!CP13</f>
        <v>1</v>
      </c>
      <c r="AF7" s="191">
        <f ca="1">i_rankYOY!CQ13</f>
        <v>4</v>
      </c>
      <c r="AG7" s="54" t="str">
        <f ca="1">i_rankYOY!CR13</f>
        <v>Peru</v>
      </c>
      <c r="AH7" s="53">
        <f ca="1">i_rankYOY!CS13</f>
        <v>50.3</v>
      </c>
      <c r="AI7" s="211">
        <f ca="1">i_rankYOY!CT13</f>
        <v>1.2</v>
      </c>
      <c r="AJ7" s="92">
        <f ca="1">i_rankYOY!CU13</f>
        <v>1.2</v>
      </c>
      <c r="AL7" s="49">
        <f ca="1">i_rankYOY!DE13</f>
        <v>1</v>
      </c>
      <c r="AM7" s="191">
        <f ca="1">i_rankYOY!DF13</f>
        <v>4</v>
      </c>
      <c r="AN7" s="54" t="str">
        <f ca="1">i_rankYOY!DG13</f>
        <v>Panama</v>
      </c>
      <c r="AO7" s="53">
        <f ca="1">i_rankYOY!DH13</f>
        <v>63.9</v>
      </c>
      <c r="AP7" s="211" t="str">
        <f ca="1">i_rankYOY!DI13</f>
        <v>-</v>
      </c>
      <c r="AQ7" s="92">
        <f ca="1">i_rankYOY!DJ13</f>
        <v>0</v>
      </c>
      <c r="AS7" s="49">
        <f ca="1">i_rankYOY!DT13</f>
        <v>1</v>
      </c>
    </row>
    <row r="8" spans="1:45">
      <c r="C8" s="49">
        <f ca="1">i_rankYOY!AH14</f>
        <v>1</v>
      </c>
      <c r="D8" s="191">
        <f ca="1">i_rankYOY!AI14</f>
        <v>5</v>
      </c>
      <c r="E8" s="54" t="str">
        <f ca="1">i_rankYOY!AJ14</f>
        <v>Colombia</v>
      </c>
      <c r="F8" s="53">
        <f ca="1">i_rankYOY!AK14</f>
        <v>49.5</v>
      </c>
      <c r="G8" s="211">
        <f ca="1">i_rankYOY!AL14</f>
        <v>9.3000000000000007</v>
      </c>
      <c r="H8" s="49">
        <f ca="1">i_rankYOY!AM14</f>
        <v>9.3000000000000007</v>
      </c>
      <c r="J8" s="49">
        <f ca="1">i_rankYOY!AW14</f>
        <v>1</v>
      </c>
      <c r="K8" s="191">
        <f ca="1">i_rankYOY!AX14</f>
        <v>5</v>
      </c>
      <c r="L8" s="54" t="str">
        <f ca="1">i_rankYOY!AY14</f>
        <v>Guatemala</v>
      </c>
      <c r="M8" s="53">
        <f ca="1">i_rankYOY!AZ14</f>
        <v>53.1</v>
      </c>
      <c r="N8" s="211">
        <f ca="1">i_rankYOY!BA14</f>
        <v>34.4</v>
      </c>
      <c r="O8" s="92">
        <f ca="1">i_rankYOY!BB14</f>
        <v>34.4</v>
      </c>
      <c r="Q8" s="49">
        <f ca="1">i_rankYOY!BL14</f>
        <v>1</v>
      </c>
      <c r="R8" s="191">
        <f ca="1">i_rankYOY!BM14</f>
        <v>5</v>
      </c>
      <c r="S8" s="54" t="str">
        <f ca="1">i_rankYOY!BN14</f>
        <v>Colombia</v>
      </c>
      <c r="T8" s="53">
        <f ca="1">i_rankYOY!BO14</f>
        <v>50</v>
      </c>
      <c r="U8" s="211">
        <f ca="1">i_rankYOY!BP14</f>
        <v>16.7</v>
      </c>
      <c r="V8" s="92">
        <f ca="1">i_rankYOY!BQ14</f>
        <v>16.7</v>
      </c>
      <c r="X8" s="49">
        <f ca="1">i_rankYOY!CA14</f>
        <v>1</v>
      </c>
      <c r="Y8" s="191">
        <f ca="1">i_rankYOY!CB14</f>
        <v>5</v>
      </c>
      <c r="Z8" s="54" t="str">
        <f ca="1">i_rankYOY!CC14</f>
        <v>Colombia</v>
      </c>
      <c r="AA8" s="53">
        <f ca="1">i_rankYOY!CD14</f>
        <v>46.7</v>
      </c>
      <c r="AB8" s="211">
        <f ca="1">i_rankYOY!CE14</f>
        <v>1.5</v>
      </c>
      <c r="AC8" s="92">
        <f ca="1">i_rankYOY!CF14</f>
        <v>1.5</v>
      </c>
      <c r="AE8" s="49">
        <f ca="1">i_rankYOY!CP14</f>
        <v>1</v>
      </c>
      <c r="AF8" s="191">
        <f ca="1">i_rankYOY!CQ14</f>
        <v>5</v>
      </c>
      <c r="AG8" s="54" t="str">
        <f ca="1">i_rankYOY!CR14</f>
        <v>Panama</v>
      </c>
      <c r="AH8" s="53">
        <f ca="1">i_rankYOY!CS14</f>
        <v>49.5</v>
      </c>
      <c r="AI8" s="211">
        <f ca="1">i_rankYOY!CT14</f>
        <v>-1</v>
      </c>
      <c r="AJ8" s="92">
        <f ca="1">i_rankYOY!CU14</f>
        <v>-1</v>
      </c>
      <c r="AL8" s="49">
        <f ca="1">i_rankYOY!DE14</f>
        <v>1</v>
      </c>
      <c r="AM8" s="191">
        <f ca="1">i_rankYOY!DF14</f>
        <v>5</v>
      </c>
      <c r="AN8" s="54" t="str">
        <f ca="1">i_rankYOY!DG14</f>
        <v>Peru</v>
      </c>
      <c r="AO8" s="53">
        <f ca="1">i_rankYOY!DH14</f>
        <v>61.1</v>
      </c>
      <c r="AP8" s="211">
        <f ca="1">i_rankYOY!DI14</f>
        <v>2.8</v>
      </c>
      <c r="AQ8" s="92">
        <f ca="1">i_rankYOY!DJ14</f>
        <v>2.8</v>
      </c>
      <c r="AS8" s="49">
        <f ca="1">i_rankYOY!DT14</f>
        <v>1</v>
      </c>
    </row>
    <row r="9" spans="1:45">
      <c r="C9" s="49">
        <f ca="1">i_rankYOY!AH15</f>
        <v>1</v>
      </c>
      <c r="D9" s="191">
        <f ca="1">i_rankYOY!AI15</f>
        <v>6</v>
      </c>
      <c r="E9" s="54" t="str">
        <f ca="1">i_rankYOY!AJ15</f>
        <v>Guatemala</v>
      </c>
      <c r="F9" s="53">
        <f ca="1">i_rankYOY!AK15</f>
        <v>42</v>
      </c>
      <c r="G9" s="211">
        <f ca="1">i_rankYOY!AL15</f>
        <v>20.7</v>
      </c>
      <c r="H9" s="49">
        <f ca="1">i_rankYOY!AM15</f>
        <v>20.7</v>
      </c>
      <c r="J9" s="49">
        <f ca="1">i_rankYOY!AW15</f>
        <v>1</v>
      </c>
      <c r="K9" s="191">
        <f ca="1">i_rankYOY!AX15</f>
        <v>6</v>
      </c>
      <c r="L9" s="54" t="str">
        <f ca="1">i_rankYOY!AY15</f>
        <v>Colombia</v>
      </c>
      <c r="M9" s="53">
        <f ca="1">i_rankYOY!AZ15</f>
        <v>50</v>
      </c>
      <c r="N9" s="211">
        <f ca="1">i_rankYOY!BA15</f>
        <v>18.8</v>
      </c>
      <c r="O9" s="92">
        <f ca="1">i_rankYOY!BB15</f>
        <v>18.8</v>
      </c>
      <c r="Q9" s="49">
        <f ca="1">i_rankYOY!BL15</f>
        <v>1</v>
      </c>
      <c r="R9" s="191">
        <f ca="1">i_rankYOY!BM15</f>
        <v>6</v>
      </c>
      <c r="S9" s="54" t="str">
        <f ca="1">i_rankYOY!BN15</f>
        <v>Guatemala</v>
      </c>
      <c r="T9" s="53">
        <f ca="1">i_rankYOY!BO15</f>
        <v>50</v>
      </c>
      <c r="U9" s="211">
        <f ca="1">i_rankYOY!BP15</f>
        <v>25</v>
      </c>
      <c r="V9" s="92">
        <f ca="1">i_rankYOY!BQ15</f>
        <v>25</v>
      </c>
      <c r="X9" s="49">
        <f ca="1">i_rankYOY!CA15</f>
        <v>1</v>
      </c>
      <c r="Y9" s="191">
        <f ca="1">i_rankYOY!CB15</f>
        <v>6</v>
      </c>
      <c r="Z9" s="54" t="str">
        <f ca="1">i_rankYOY!CC15</f>
        <v>Costa Rica</v>
      </c>
      <c r="AA9" s="53">
        <f ca="1">i_rankYOY!CD15</f>
        <v>42.1</v>
      </c>
      <c r="AB9" s="211">
        <f ca="1">i_rankYOY!CE15</f>
        <v>-2.8</v>
      </c>
      <c r="AC9" s="92">
        <f ca="1">i_rankYOY!CF15</f>
        <v>-2.8</v>
      </c>
      <c r="AE9" s="49">
        <f ca="1">i_rankYOY!CP15</f>
        <v>1</v>
      </c>
      <c r="AF9" s="191">
        <f ca="1">i_rankYOY!CQ15</f>
        <v>6</v>
      </c>
      <c r="AG9" s="54" t="str">
        <f ca="1">i_rankYOY!CR15</f>
        <v>Costa Rica</v>
      </c>
      <c r="AH9" s="53">
        <f ca="1">i_rankYOY!CS15</f>
        <v>48</v>
      </c>
      <c r="AI9" s="211" t="str">
        <f ca="1">i_rankYOY!CT15</f>
        <v>-</v>
      </c>
      <c r="AJ9" s="92">
        <f ca="1">i_rankYOY!CU15</f>
        <v>0</v>
      </c>
      <c r="AL9" s="49">
        <f ca="1">i_rankYOY!DE15</f>
        <v>1</v>
      </c>
      <c r="AM9" s="191" t="str">
        <f ca="1">i_rankYOY!DF15</f>
        <v>=6</v>
      </c>
      <c r="AN9" s="54" t="str">
        <f ca="1">i_rankYOY!DG15</f>
        <v>Trinidad &amp; Tobago</v>
      </c>
      <c r="AO9" s="53">
        <f ca="1">i_rankYOY!DH15</f>
        <v>58.3</v>
      </c>
      <c r="AP9" s="211" t="str">
        <f ca="1">i_rankYOY!DI15</f>
        <v>-</v>
      </c>
      <c r="AQ9" s="92">
        <f ca="1">i_rankYOY!DJ15</f>
        <v>0</v>
      </c>
      <c r="AS9" s="49">
        <f ca="1">i_rankYOY!DT15</f>
        <v>1</v>
      </c>
    </row>
    <row r="10" spans="1:45">
      <c r="C10" s="49">
        <f ca="1">i_rankYOY!AH16</f>
        <v>1</v>
      </c>
      <c r="D10" s="191">
        <f ca="1">i_rankYOY!AI16</f>
        <v>7</v>
      </c>
      <c r="E10" s="54" t="str">
        <f ca="1">i_rankYOY!AJ16</f>
        <v>Costa Rica</v>
      </c>
      <c r="F10" s="53">
        <f ca="1">i_rankYOY!AK16</f>
        <v>37.1</v>
      </c>
      <c r="G10" s="211">
        <f ca="1">i_rankYOY!AL16</f>
        <v>-4.8</v>
      </c>
      <c r="H10" s="49">
        <f ca="1">i_rankYOY!AM16</f>
        <v>-4.8</v>
      </c>
      <c r="J10" s="49">
        <f ca="1">i_rankYOY!AW16</f>
        <v>1</v>
      </c>
      <c r="K10" s="191">
        <f ca="1">i_rankYOY!AX16</f>
        <v>7</v>
      </c>
      <c r="L10" s="54" t="str">
        <f ca="1">i_rankYOY!AY16</f>
        <v>Panama</v>
      </c>
      <c r="M10" s="53">
        <f ca="1">i_rankYOY!AZ16</f>
        <v>37.5</v>
      </c>
      <c r="N10" s="211">
        <f ca="1">i_rankYOY!BA16</f>
        <v>12.5</v>
      </c>
      <c r="O10" s="92">
        <f ca="1">i_rankYOY!BB16</f>
        <v>12.5</v>
      </c>
      <c r="Q10" s="49">
        <f ca="1">i_rankYOY!BL16</f>
        <v>1</v>
      </c>
      <c r="R10" s="191" t="str">
        <f ca="1">i_rankYOY!BM16</f>
        <v>=7</v>
      </c>
      <c r="S10" s="54" t="str">
        <f ca="1">i_rankYOY!BN16</f>
        <v>Argentina</v>
      </c>
      <c r="T10" s="53">
        <f ca="1">i_rankYOY!BO16</f>
        <v>33.299999999999997</v>
      </c>
      <c r="U10" s="211">
        <f ca="1">i_rankYOY!BP16</f>
        <v>16.7</v>
      </c>
      <c r="V10" s="92">
        <f ca="1">i_rankYOY!BQ16</f>
        <v>16.7</v>
      </c>
      <c r="X10" s="49">
        <f ca="1">i_rankYOY!CA16</f>
        <v>1</v>
      </c>
      <c r="Y10" s="191">
        <f ca="1">i_rankYOY!CB16</f>
        <v>7</v>
      </c>
      <c r="Z10" s="54" t="str">
        <f ca="1">i_rankYOY!CC16</f>
        <v>Guatemala</v>
      </c>
      <c r="AA10" s="53">
        <f ca="1">i_rankYOY!CD16</f>
        <v>35.4</v>
      </c>
      <c r="AB10" s="211">
        <f ca="1">i_rankYOY!CE16</f>
        <v>28.7</v>
      </c>
      <c r="AC10" s="92">
        <f ca="1">i_rankYOY!CF16</f>
        <v>28.7</v>
      </c>
      <c r="AE10" s="49">
        <f ca="1">i_rankYOY!CP16</f>
        <v>1</v>
      </c>
      <c r="AF10" s="191">
        <f ca="1">i_rankYOY!CQ16</f>
        <v>7</v>
      </c>
      <c r="AG10" s="54" t="str">
        <f ca="1">i_rankYOY!CR16</f>
        <v>El Salvador</v>
      </c>
      <c r="AH10" s="53">
        <f ca="1">i_rankYOY!CS16</f>
        <v>47.4</v>
      </c>
      <c r="AI10" s="211">
        <f ca="1">i_rankYOY!CT16</f>
        <v>-6.6</v>
      </c>
      <c r="AJ10" s="92">
        <f ca="1">i_rankYOY!CU16</f>
        <v>-6.6</v>
      </c>
      <c r="AL10" s="49">
        <f ca="1">i_rankYOY!DE16</f>
        <v>1</v>
      </c>
      <c r="AM10" s="191" t="str">
        <f ca="1">i_rankYOY!DF16</f>
        <v>=6</v>
      </c>
      <c r="AN10" s="54" t="str">
        <f ca="1">i_rankYOY!DG16</f>
        <v>Colombia</v>
      </c>
      <c r="AO10" s="53">
        <f ca="1">i_rankYOY!DH16</f>
        <v>55.6</v>
      </c>
      <c r="AP10" s="211" t="str">
        <f ca="1">i_rankYOY!DI16</f>
        <v>-</v>
      </c>
      <c r="AQ10" s="92">
        <f ca="1">i_rankYOY!DJ16</f>
        <v>0</v>
      </c>
      <c r="AS10" s="49">
        <f ca="1">i_rankYOY!DT16</f>
        <v>1</v>
      </c>
    </row>
    <row r="11" spans="1:45">
      <c r="C11" s="49">
        <f ca="1">i_rankYOY!AH17</f>
        <v>1</v>
      </c>
      <c r="D11" s="191">
        <f ca="1">i_rankYOY!AI17</f>
        <v>8</v>
      </c>
      <c r="E11" s="54" t="str">
        <f ca="1">i_rankYOY!AJ17</f>
        <v>Panama</v>
      </c>
      <c r="F11" s="53">
        <f ca="1">i_rankYOY!AK17</f>
        <v>37.1</v>
      </c>
      <c r="G11" s="211">
        <f ca="1">i_rankYOY!AL17</f>
        <v>8</v>
      </c>
      <c r="H11" s="49">
        <f ca="1">i_rankYOY!AM17</f>
        <v>8</v>
      </c>
      <c r="J11" s="49">
        <f ca="1">i_rankYOY!AW17</f>
        <v>1</v>
      </c>
      <c r="K11" s="191">
        <f ca="1">i_rankYOY!AX17</f>
        <v>8</v>
      </c>
      <c r="L11" s="54" t="str">
        <f ca="1">i_rankYOY!AY17</f>
        <v>Costa Rica</v>
      </c>
      <c r="M11" s="53">
        <f ca="1">i_rankYOY!AZ17</f>
        <v>34.4</v>
      </c>
      <c r="N11" s="211">
        <f ca="1">i_rankYOY!BA17</f>
        <v>-15.6</v>
      </c>
      <c r="O11" s="92">
        <f ca="1">i_rankYOY!BB17</f>
        <v>-15.6</v>
      </c>
      <c r="Q11" s="49">
        <f ca="1">i_rankYOY!BL17</f>
        <v>1</v>
      </c>
      <c r="R11" s="191" t="str">
        <f ca="1">i_rankYOY!BM17</f>
        <v>=7</v>
      </c>
      <c r="S11" s="54" t="str">
        <f ca="1">i_rankYOY!BN17</f>
        <v>El Salvador</v>
      </c>
      <c r="T11" s="53">
        <f ca="1">i_rankYOY!BO17</f>
        <v>33.299999999999997</v>
      </c>
      <c r="U11" s="211">
        <f ca="1">i_rankYOY!BP17</f>
        <v>16.7</v>
      </c>
      <c r="V11" s="92">
        <f ca="1">i_rankYOY!BQ17</f>
        <v>16.7</v>
      </c>
      <c r="X11" s="49">
        <f ca="1">i_rankYOY!CA17</f>
        <v>1</v>
      </c>
      <c r="Y11" s="191">
        <f ca="1">i_rankYOY!CB17</f>
        <v>8</v>
      </c>
      <c r="Z11" s="54" t="str">
        <f ca="1">i_rankYOY!CC17</f>
        <v>Honduras</v>
      </c>
      <c r="AA11" s="53">
        <f ca="1">i_rankYOY!CD17</f>
        <v>35.1</v>
      </c>
      <c r="AB11" s="211">
        <f ca="1">i_rankYOY!CE17</f>
        <v>15.6</v>
      </c>
      <c r="AC11" s="92">
        <f ca="1">i_rankYOY!CF17</f>
        <v>15.6</v>
      </c>
      <c r="AE11" s="49">
        <f ca="1">i_rankYOY!CP17</f>
        <v>1</v>
      </c>
      <c r="AF11" s="191">
        <f ca="1">i_rankYOY!CQ17</f>
        <v>8</v>
      </c>
      <c r="AG11" s="54" t="str">
        <f ca="1">i_rankYOY!CR17</f>
        <v>Trinidad &amp; Tobago</v>
      </c>
      <c r="AH11" s="53">
        <f ca="1">i_rankYOY!CS17</f>
        <v>46.5</v>
      </c>
      <c r="AI11" s="211">
        <f ca="1">i_rankYOY!CT17</f>
        <v>-3.9</v>
      </c>
      <c r="AJ11" s="92">
        <f ca="1">i_rankYOY!CU17</f>
        <v>-3.9</v>
      </c>
      <c r="AL11" s="49">
        <f ca="1">i_rankYOY!DE17</f>
        <v>1</v>
      </c>
      <c r="AM11" s="191" t="str">
        <f ca="1">i_rankYOY!DF17</f>
        <v>=6</v>
      </c>
      <c r="AN11" s="54" t="str">
        <f ca="1">i_rankYOY!DG17</f>
        <v>El Salvador</v>
      </c>
      <c r="AO11" s="53">
        <f ca="1">i_rankYOY!DH17</f>
        <v>47.2</v>
      </c>
      <c r="AP11" s="211" t="str">
        <f ca="1">i_rankYOY!DI17</f>
        <v>-</v>
      </c>
      <c r="AQ11" s="92">
        <f ca="1">i_rankYOY!DJ17</f>
        <v>0</v>
      </c>
      <c r="AS11" s="49">
        <f ca="1">i_rankYOY!DT17</f>
        <v>1</v>
      </c>
    </row>
    <row r="12" spans="1:45">
      <c r="C12" s="49">
        <f ca="1">i_rankYOY!AH18</f>
        <v>1</v>
      </c>
      <c r="D12" s="191">
        <f ca="1">i_rankYOY!AI18</f>
        <v>9</v>
      </c>
      <c r="E12" s="54" t="str">
        <f ca="1">i_rankYOY!AJ18</f>
        <v>El Salvador</v>
      </c>
      <c r="F12" s="53">
        <f ca="1">i_rankYOY!AK18</f>
        <v>35.200000000000003</v>
      </c>
      <c r="G12" s="211">
        <f ca="1">i_rankYOY!AL18</f>
        <v>5.8</v>
      </c>
      <c r="H12" s="49">
        <f ca="1">i_rankYOY!AM18</f>
        <v>5.8</v>
      </c>
      <c r="J12" s="49">
        <f ca="1">i_rankYOY!AW18</f>
        <v>1</v>
      </c>
      <c r="K12" s="191" t="str">
        <f ca="1">i_rankYOY!AX18</f>
        <v>=9</v>
      </c>
      <c r="L12" s="54" t="str">
        <f ca="1">i_rankYOY!AY18</f>
        <v>Uruguay</v>
      </c>
      <c r="M12" s="53">
        <f ca="1">i_rankYOY!AZ18</f>
        <v>34.4</v>
      </c>
      <c r="N12" s="211">
        <f ca="1">i_rankYOY!BA18</f>
        <v>9.4</v>
      </c>
      <c r="O12" s="92">
        <f ca="1">i_rankYOY!BB18</f>
        <v>9.4</v>
      </c>
      <c r="Q12" s="49">
        <f ca="1">i_rankYOY!BL18</f>
        <v>1</v>
      </c>
      <c r="R12" s="191" t="str">
        <f ca="1">i_rankYOY!BM18</f>
        <v>=9</v>
      </c>
      <c r="S12" s="54" t="str">
        <f ca="1">i_rankYOY!BN18</f>
        <v>Honduras</v>
      </c>
      <c r="T12" s="53">
        <f ca="1">i_rankYOY!BO18</f>
        <v>33.299999999999997</v>
      </c>
      <c r="U12" s="211" t="str">
        <f ca="1">i_rankYOY!BP18</f>
        <v>-</v>
      </c>
      <c r="V12" s="92">
        <f ca="1">i_rankYOY!BQ18</f>
        <v>0</v>
      </c>
      <c r="X12" s="49">
        <f ca="1">i_rankYOY!CA18</f>
        <v>1</v>
      </c>
      <c r="Y12" s="191">
        <f ca="1">i_rankYOY!CB18</f>
        <v>9</v>
      </c>
      <c r="Z12" s="54" t="str">
        <f ca="1">i_rankYOY!CC18</f>
        <v>Ecuador</v>
      </c>
      <c r="AA12" s="53">
        <f ca="1">i_rankYOY!CD18</f>
        <v>33</v>
      </c>
      <c r="AB12" s="211">
        <f ca="1">i_rankYOY!CE18</f>
        <v>-1.1000000000000001</v>
      </c>
      <c r="AC12" s="92">
        <f ca="1">i_rankYOY!CF18</f>
        <v>-1.1000000000000001</v>
      </c>
      <c r="AE12" s="49">
        <f ca="1">i_rankYOY!CP18</f>
        <v>1</v>
      </c>
      <c r="AF12" s="191">
        <f ca="1">i_rankYOY!CQ18</f>
        <v>9</v>
      </c>
      <c r="AG12" s="54" t="str">
        <f ca="1">i_rankYOY!CR18</f>
        <v>Mexico</v>
      </c>
      <c r="AH12" s="53">
        <f ca="1">i_rankYOY!CS18</f>
        <v>45.6</v>
      </c>
      <c r="AI12" s="211">
        <f ca="1">i_rankYOY!CT18</f>
        <v>-5.7</v>
      </c>
      <c r="AJ12" s="92">
        <f ca="1">i_rankYOY!CU18</f>
        <v>-5.7</v>
      </c>
      <c r="AL12" s="49">
        <f ca="1">i_rankYOY!DE18</f>
        <v>1</v>
      </c>
      <c r="AM12" s="191" t="str">
        <f ca="1">i_rankYOY!DF18</f>
        <v>=6</v>
      </c>
      <c r="AN12" s="54" t="str">
        <f ca="1">i_rankYOY!DG18</f>
        <v>Costa Rica</v>
      </c>
      <c r="AO12" s="53">
        <f ca="1">i_rankYOY!DH18</f>
        <v>41.7</v>
      </c>
      <c r="AP12" s="211" t="str">
        <f ca="1">i_rankYOY!DI18</f>
        <v>-</v>
      </c>
      <c r="AQ12" s="92">
        <f ca="1">i_rankYOY!DJ18</f>
        <v>0</v>
      </c>
      <c r="AS12" s="49">
        <f ca="1">i_rankYOY!DT18</f>
        <v>1</v>
      </c>
    </row>
    <row r="13" spans="1:45">
      <c r="C13" s="49">
        <f ca="1">i_rankYOY!AH19</f>
        <v>1</v>
      </c>
      <c r="D13" s="191">
        <f ca="1">i_rankYOY!AI19</f>
        <v>10</v>
      </c>
      <c r="E13" s="54" t="str">
        <f ca="1">i_rankYOY!AJ19</f>
        <v>Uruguay</v>
      </c>
      <c r="F13" s="53">
        <f ca="1">i_rankYOY!AK19</f>
        <v>34.299999999999997</v>
      </c>
      <c r="G13" s="211">
        <f ca="1">i_rankYOY!AL19</f>
        <v>4.7</v>
      </c>
      <c r="H13" s="49">
        <f ca="1">i_rankYOY!AM19</f>
        <v>4.7</v>
      </c>
      <c r="J13" s="49">
        <f ca="1">i_rankYOY!AW19</f>
        <v>1</v>
      </c>
      <c r="K13" s="191" t="str">
        <f ca="1">i_rankYOY!AX19</f>
        <v>=9</v>
      </c>
      <c r="L13" s="54" t="str">
        <f ca="1">i_rankYOY!AY19</f>
        <v>El Salvador</v>
      </c>
      <c r="M13" s="53">
        <f ca="1">i_rankYOY!AZ19</f>
        <v>28.1</v>
      </c>
      <c r="N13" s="211">
        <f ca="1">i_rankYOY!BA19</f>
        <v>9.4</v>
      </c>
      <c r="O13" s="92">
        <f ca="1">i_rankYOY!BB19</f>
        <v>9.4</v>
      </c>
      <c r="Q13" s="49">
        <f ca="1">i_rankYOY!BL19</f>
        <v>1</v>
      </c>
      <c r="R13" s="191" t="str">
        <f ca="1">i_rankYOY!BM19</f>
        <v>=9</v>
      </c>
      <c r="S13" s="54" t="str">
        <f ca="1">i_rankYOY!BN19</f>
        <v>Uruguay</v>
      </c>
      <c r="T13" s="53">
        <f ca="1">i_rankYOY!BO19</f>
        <v>33.299999999999997</v>
      </c>
      <c r="U13" s="211" t="str">
        <f ca="1">i_rankYOY!BP19</f>
        <v>-</v>
      </c>
      <c r="V13" s="92">
        <f ca="1">i_rankYOY!BQ19</f>
        <v>0</v>
      </c>
      <c r="X13" s="49">
        <f ca="1">i_rankYOY!CA19</f>
        <v>1</v>
      </c>
      <c r="Y13" s="191">
        <f ca="1">i_rankYOY!CB19</f>
        <v>10</v>
      </c>
      <c r="Z13" s="54" t="str">
        <f ca="1">i_rankYOY!CC19</f>
        <v>Jamaica</v>
      </c>
      <c r="AA13" s="53">
        <f ca="1">i_rankYOY!CD19</f>
        <v>25.3</v>
      </c>
      <c r="AB13" s="211">
        <f ca="1">i_rankYOY!CE19</f>
        <v>9.1999999999999993</v>
      </c>
      <c r="AC13" s="92">
        <f ca="1">i_rankYOY!CF19</f>
        <v>9.1999999999999993</v>
      </c>
      <c r="AE13" s="49">
        <f ca="1">i_rankYOY!CP19</f>
        <v>1</v>
      </c>
      <c r="AF13" s="191">
        <f ca="1">i_rankYOY!CQ19</f>
        <v>10</v>
      </c>
      <c r="AG13" s="54" t="str">
        <f ca="1">i_rankYOY!CR19</f>
        <v>Colombia</v>
      </c>
      <c r="AH13" s="53">
        <f ca="1">i_rankYOY!CS19</f>
        <v>44.9</v>
      </c>
      <c r="AI13" s="211">
        <f ca="1">i_rankYOY!CT19</f>
        <v>0.8</v>
      </c>
      <c r="AJ13" s="92">
        <f ca="1">i_rankYOY!CU19</f>
        <v>0.8</v>
      </c>
      <c r="AL13" s="49">
        <f ca="1">i_rankYOY!DE19</f>
        <v>1</v>
      </c>
      <c r="AM13" s="191">
        <f ca="1">i_rankYOY!DF19</f>
        <v>10</v>
      </c>
      <c r="AN13" s="54" t="str">
        <f ca="1">i_rankYOY!DG19</f>
        <v>Argentina</v>
      </c>
      <c r="AO13" s="53">
        <f ca="1">i_rankYOY!DH19</f>
        <v>33.299999999999997</v>
      </c>
      <c r="AP13" s="211">
        <f ca="1">i_rankYOY!DI19</f>
        <v>5.6</v>
      </c>
      <c r="AQ13" s="92">
        <f ca="1">i_rankYOY!DJ19</f>
        <v>5.6</v>
      </c>
      <c r="AS13" s="49">
        <f ca="1">i_rankYOY!DT19</f>
        <v>1</v>
      </c>
    </row>
    <row r="14" spans="1:45">
      <c r="C14" s="49">
        <f ca="1">i_rankYOY!AH20</f>
        <v>1</v>
      </c>
      <c r="D14" s="191">
        <f ca="1">i_rankYOY!AI20</f>
        <v>11</v>
      </c>
      <c r="E14" s="54" t="str">
        <f ca="1">i_rankYOY!AJ20</f>
        <v>Trinidad &amp; Tobago</v>
      </c>
      <c r="F14" s="53">
        <f ca="1">i_rankYOY!AK20</f>
        <v>31.6</v>
      </c>
      <c r="G14" s="211">
        <f ca="1">i_rankYOY!AL20</f>
        <v>0.4</v>
      </c>
      <c r="H14" s="49">
        <f ca="1">i_rankYOY!AM20</f>
        <v>0.4</v>
      </c>
      <c r="J14" s="49">
        <f ca="1">i_rankYOY!AW20</f>
        <v>1</v>
      </c>
      <c r="K14" s="191" t="str">
        <f ca="1">i_rankYOY!AX20</f>
        <v>=11</v>
      </c>
      <c r="L14" s="54" t="str">
        <f ca="1">i_rankYOY!AY20</f>
        <v>Jamaica</v>
      </c>
      <c r="M14" s="53">
        <f ca="1">i_rankYOY!AZ20</f>
        <v>25</v>
      </c>
      <c r="N14" s="211" t="str">
        <f ca="1">i_rankYOY!BA20</f>
        <v>-</v>
      </c>
      <c r="O14" s="92">
        <f ca="1">i_rankYOY!BB20</f>
        <v>0</v>
      </c>
      <c r="Q14" s="49">
        <f ca="1">i_rankYOY!BL20</f>
        <v>1</v>
      </c>
      <c r="R14" s="191" t="str">
        <f ca="1">i_rankYOY!BM20</f>
        <v>=9</v>
      </c>
      <c r="S14" s="54" t="str">
        <f ca="1">i_rankYOY!BN20</f>
        <v>Costa Rica</v>
      </c>
      <c r="T14" s="53">
        <f ca="1">i_rankYOY!BO20</f>
        <v>25</v>
      </c>
      <c r="U14" s="211" t="str">
        <f ca="1">i_rankYOY!BP20</f>
        <v>-</v>
      </c>
      <c r="V14" s="92">
        <f ca="1">i_rankYOY!BQ20</f>
        <v>0</v>
      </c>
      <c r="X14" s="49">
        <f ca="1">i_rankYOY!CA20</f>
        <v>1</v>
      </c>
      <c r="Y14" s="191">
        <f ca="1">i_rankYOY!CB20</f>
        <v>11</v>
      </c>
      <c r="Z14" s="54" t="str">
        <f ca="1">i_rankYOY!CC20</f>
        <v>El Salvador</v>
      </c>
      <c r="AA14" s="53">
        <f ca="1">i_rankYOY!CD20</f>
        <v>25.1</v>
      </c>
      <c r="AB14" s="211">
        <f ca="1">i_rankYOY!CE20</f>
        <v>3.3</v>
      </c>
      <c r="AC14" s="92">
        <f ca="1">i_rankYOY!CF20</f>
        <v>3.3</v>
      </c>
      <c r="AE14" s="49">
        <f ca="1">i_rankYOY!CP20</f>
        <v>1</v>
      </c>
      <c r="AF14" s="191">
        <f ca="1">i_rankYOY!CQ20</f>
        <v>11</v>
      </c>
      <c r="AG14" s="54" t="str">
        <f ca="1">i_rankYOY!CR20</f>
        <v>Guatemala</v>
      </c>
      <c r="AH14" s="53">
        <f ca="1">i_rankYOY!CS20</f>
        <v>39.1</v>
      </c>
      <c r="AI14" s="211">
        <f ca="1">i_rankYOY!CT20</f>
        <v>5</v>
      </c>
      <c r="AJ14" s="92">
        <f ca="1">i_rankYOY!CU20</f>
        <v>5</v>
      </c>
      <c r="AL14" s="49">
        <f ca="1">i_rankYOY!DE20</f>
        <v>1</v>
      </c>
      <c r="AM14" s="191">
        <f ca="1">i_rankYOY!DF20</f>
        <v>11</v>
      </c>
      <c r="AN14" s="54" t="str">
        <f ca="1">i_rankYOY!DG20</f>
        <v>Dominican Rep.</v>
      </c>
      <c r="AO14" s="53">
        <f ca="1">i_rankYOY!DH20</f>
        <v>30.6</v>
      </c>
      <c r="AP14" s="211">
        <f ca="1">i_rankYOY!DI20</f>
        <v>8.3000000000000007</v>
      </c>
      <c r="AQ14" s="92">
        <f ca="1">i_rankYOY!DJ20</f>
        <v>8.3000000000000007</v>
      </c>
      <c r="AS14" s="49">
        <f ca="1">i_rankYOY!DT20</f>
        <v>1</v>
      </c>
    </row>
    <row r="15" spans="1:45">
      <c r="C15" s="49">
        <f ca="1">i_rankYOY!AH21</f>
        <v>1</v>
      </c>
      <c r="D15" s="191">
        <f ca="1">i_rankYOY!AI21</f>
        <v>12</v>
      </c>
      <c r="E15" s="54" t="str">
        <f ca="1">i_rankYOY!AJ21</f>
        <v>Argentina</v>
      </c>
      <c r="F15" s="53">
        <f ca="1">i_rankYOY!AK21</f>
        <v>28.1</v>
      </c>
      <c r="G15" s="211">
        <f ca="1">i_rankYOY!AL21</f>
        <v>0.9</v>
      </c>
      <c r="H15" s="49">
        <f ca="1">i_rankYOY!AM21</f>
        <v>0.9</v>
      </c>
      <c r="J15" s="49">
        <f ca="1">i_rankYOY!AW21</f>
        <v>1</v>
      </c>
      <c r="K15" s="191" t="str">
        <f ca="1">i_rankYOY!AX21</f>
        <v>=11</v>
      </c>
      <c r="L15" s="54" t="str">
        <f ca="1">i_rankYOY!AY21</f>
        <v>Paraguay</v>
      </c>
      <c r="M15" s="53">
        <f ca="1">i_rankYOY!AZ21</f>
        <v>25</v>
      </c>
      <c r="N15" s="211" t="str">
        <f ca="1">i_rankYOY!BA21</f>
        <v>-</v>
      </c>
      <c r="O15" s="92">
        <f ca="1">i_rankYOY!BB21</f>
        <v>0</v>
      </c>
      <c r="Q15" s="49">
        <f ca="1">i_rankYOY!BL21</f>
        <v>1</v>
      </c>
      <c r="R15" s="191">
        <f ca="1">i_rankYOY!BM21</f>
        <v>12</v>
      </c>
      <c r="S15" s="54" t="str">
        <f ca="1">i_rankYOY!BN21</f>
        <v>Jamaica</v>
      </c>
      <c r="T15" s="53">
        <f ca="1">i_rankYOY!BO21</f>
        <v>25</v>
      </c>
      <c r="U15" s="211">
        <f ca="1">i_rankYOY!BP21</f>
        <v>-16.7</v>
      </c>
      <c r="V15" s="92">
        <f ca="1">i_rankYOY!BQ21</f>
        <v>-16.7</v>
      </c>
      <c r="X15" s="49">
        <f ca="1">i_rankYOY!CA21</f>
        <v>1</v>
      </c>
      <c r="Y15" s="191">
        <f ca="1">i_rankYOY!CB21</f>
        <v>12</v>
      </c>
      <c r="Z15" s="54" t="str">
        <f ca="1">i_rankYOY!CC21</f>
        <v>Uruguay</v>
      </c>
      <c r="AA15" s="53">
        <f ca="1">i_rankYOY!CD21</f>
        <v>19.3</v>
      </c>
      <c r="AB15" s="211">
        <f ca="1">i_rankYOY!CE21</f>
        <v>5.6</v>
      </c>
      <c r="AC15" s="92">
        <f ca="1">i_rankYOY!CF21</f>
        <v>5.6</v>
      </c>
      <c r="AE15" s="49">
        <f ca="1">i_rankYOY!CP21</f>
        <v>1</v>
      </c>
      <c r="AF15" s="191">
        <f ca="1">i_rankYOY!CQ21</f>
        <v>12</v>
      </c>
      <c r="AG15" s="54" t="str">
        <f ca="1">i_rankYOY!CR21</f>
        <v>Jamaica</v>
      </c>
      <c r="AH15" s="53">
        <f ca="1">i_rankYOY!CS21</f>
        <v>38.4</v>
      </c>
      <c r="AI15" s="211">
        <f ca="1">i_rankYOY!CT21</f>
        <v>-0.7</v>
      </c>
      <c r="AJ15" s="92">
        <f ca="1">i_rankYOY!CU21</f>
        <v>-0.7</v>
      </c>
      <c r="AL15" s="49">
        <f ca="1">i_rankYOY!DE21</f>
        <v>1</v>
      </c>
      <c r="AM15" s="191">
        <f ca="1">i_rankYOY!DF21</f>
        <v>12</v>
      </c>
      <c r="AN15" s="54" t="str">
        <f ca="1">i_rankYOY!DG21</f>
        <v>Uruguay</v>
      </c>
      <c r="AO15" s="53">
        <f ca="1">i_rankYOY!DH21</f>
        <v>30.6</v>
      </c>
      <c r="AP15" s="211">
        <f ca="1">i_rankYOY!DI21</f>
        <v>5.6</v>
      </c>
      <c r="AQ15" s="92">
        <f ca="1">i_rankYOY!DJ21</f>
        <v>5.6</v>
      </c>
      <c r="AS15" s="49">
        <f ca="1">i_rankYOY!DT21</f>
        <v>1</v>
      </c>
    </row>
    <row r="16" spans="1:45">
      <c r="C16" s="49">
        <f ca="1">i_rankYOY!AH22</f>
        <v>1</v>
      </c>
      <c r="D16" s="191">
        <f ca="1">i_rankYOY!AI22</f>
        <v>13</v>
      </c>
      <c r="E16" s="54" t="str">
        <f ca="1">i_rankYOY!AJ22</f>
        <v>Jamaica</v>
      </c>
      <c r="F16" s="53">
        <f ca="1">i_rankYOY!AK22</f>
        <v>25.9</v>
      </c>
      <c r="G16" s="211">
        <f ca="1">i_rankYOY!AL22</f>
        <v>-1.8</v>
      </c>
      <c r="H16" s="49">
        <f ca="1">i_rankYOY!AM22</f>
        <v>-1.8</v>
      </c>
      <c r="J16" s="49">
        <f ca="1">i_rankYOY!AW22</f>
        <v>1</v>
      </c>
      <c r="K16" s="191" t="str">
        <f ca="1">i_rankYOY!AX22</f>
        <v>=11</v>
      </c>
      <c r="L16" s="54" t="str">
        <f ca="1">i_rankYOY!AY22</f>
        <v>Trinidad &amp; Tobago</v>
      </c>
      <c r="M16" s="53">
        <f ca="1">i_rankYOY!AZ22</f>
        <v>25</v>
      </c>
      <c r="N16" s="211" t="str">
        <f ca="1">i_rankYOY!BA22</f>
        <v>-</v>
      </c>
      <c r="O16" s="92">
        <f ca="1">i_rankYOY!BB22</f>
        <v>0</v>
      </c>
      <c r="Q16" s="49">
        <f ca="1">i_rankYOY!BL22</f>
        <v>1</v>
      </c>
      <c r="R16" s="191" t="str">
        <f ca="1">i_rankYOY!BM22</f>
        <v>=13</v>
      </c>
      <c r="S16" s="54" t="str">
        <f ca="1">i_rankYOY!BN22</f>
        <v>Nicaragua</v>
      </c>
      <c r="T16" s="53">
        <f ca="1">i_rankYOY!BO22</f>
        <v>25</v>
      </c>
      <c r="U16" s="211">
        <f ca="1">i_rankYOY!BP22</f>
        <v>16.7</v>
      </c>
      <c r="V16" s="92">
        <f ca="1">i_rankYOY!BQ22</f>
        <v>16.7</v>
      </c>
      <c r="X16" s="49">
        <f ca="1">i_rankYOY!CA22</f>
        <v>1</v>
      </c>
      <c r="Y16" s="191">
        <f ca="1">i_rankYOY!CB22</f>
        <v>13</v>
      </c>
      <c r="Z16" s="54" t="str">
        <f ca="1">i_rankYOY!CC22</f>
        <v>Argentina</v>
      </c>
      <c r="AA16" s="53">
        <f ca="1">i_rankYOY!CD22</f>
        <v>16.7</v>
      </c>
      <c r="AB16" s="211">
        <f ca="1">i_rankYOY!CE22</f>
        <v>-5.4</v>
      </c>
      <c r="AC16" s="92">
        <f ca="1">i_rankYOY!CF22</f>
        <v>-5.4</v>
      </c>
      <c r="AE16" s="49">
        <f ca="1">i_rankYOY!CP22</f>
        <v>1</v>
      </c>
      <c r="AF16" s="191">
        <f ca="1">i_rankYOY!CQ22</f>
        <v>13</v>
      </c>
      <c r="AG16" s="54" t="str">
        <f ca="1">i_rankYOY!CR22</f>
        <v>Argentina</v>
      </c>
      <c r="AH16" s="53">
        <f ca="1">i_rankYOY!CS22</f>
        <v>38</v>
      </c>
      <c r="AI16" s="211">
        <f ca="1">i_rankYOY!CT22</f>
        <v>-6.3</v>
      </c>
      <c r="AJ16" s="92">
        <f ca="1">i_rankYOY!CU22</f>
        <v>-6.3</v>
      </c>
      <c r="AL16" s="49">
        <f ca="1">i_rankYOY!DE22</f>
        <v>1</v>
      </c>
      <c r="AM16" s="191" t="str">
        <f ca="1">i_rankYOY!DF22</f>
        <v>=13</v>
      </c>
      <c r="AN16" s="54" t="str">
        <f ca="1">i_rankYOY!DG22</f>
        <v>Paraguay</v>
      </c>
      <c r="AO16" s="53">
        <f ca="1">i_rankYOY!DH22</f>
        <v>25</v>
      </c>
      <c r="AP16" s="211" t="str">
        <f ca="1">i_rankYOY!DI22</f>
        <v>-</v>
      </c>
      <c r="AQ16" s="92">
        <f ca="1">i_rankYOY!DJ22</f>
        <v>0</v>
      </c>
      <c r="AS16" s="49">
        <f ca="1">i_rankYOY!DT22</f>
        <v>1</v>
      </c>
    </row>
    <row r="17" spans="3:45">
      <c r="C17" s="49">
        <f ca="1">i_rankYOY!AH23</f>
        <v>1</v>
      </c>
      <c r="D17" s="191">
        <f ca="1">i_rankYOY!AI23</f>
        <v>14</v>
      </c>
      <c r="E17" s="54" t="str">
        <f ca="1">i_rankYOY!AJ23</f>
        <v>Paraguay</v>
      </c>
      <c r="F17" s="53">
        <f ca="1">i_rankYOY!AK23</f>
        <v>24.2</v>
      </c>
      <c r="G17" s="211">
        <f ca="1">i_rankYOY!AL23</f>
        <v>0.9</v>
      </c>
      <c r="H17" s="49">
        <f ca="1">i_rankYOY!AM23</f>
        <v>0.9</v>
      </c>
      <c r="J17" s="49">
        <f ca="1">i_rankYOY!AW23</f>
        <v>1</v>
      </c>
      <c r="K17" s="191">
        <f ca="1">i_rankYOY!AX23</f>
        <v>14</v>
      </c>
      <c r="L17" s="54" t="str">
        <f ca="1">i_rankYOY!AY23</f>
        <v>Argentina</v>
      </c>
      <c r="M17" s="53">
        <f ca="1">i_rankYOY!AZ23</f>
        <v>21.9</v>
      </c>
      <c r="N17" s="211">
        <f ca="1">i_rankYOY!BA23</f>
        <v>-6.3</v>
      </c>
      <c r="O17" s="92">
        <f ca="1">i_rankYOY!BB23</f>
        <v>-6.3</v>
      </c>
      <c r="Q17" s="49">
        <f ca="1">i_rankYOY!BL23</f>
        <v>1</v>
      </c>
      <c r="R17" s="191" t="str">
        <f ca="1">i_rankYOY!BM23</f>
        <v>=13</v>
      </c>
      <c r="S17" s="54" t="str">
        <f ca="1">i_rankYOY!BN23</f>
        <v>Panama</v>
      </c>
      <c r="T17" s="53">
        <f ca="1">i_rankYOY!BO23</f>
        <v>25</v>
      </c>
      <c r="U17" s="211">
        <f ca="1">i_rankYOY!BP23</f>
        <v>16.7</v>
      </c>
      <c r="V17" s="92">
        <f ca="1">i_rankYOY!BQ23</f>
        <v>16.7</v>
      </c>
      <c r="X17" s="49">
        <f ca="1">i_rankYOY!CA23</f>
        <v>1</v>
      </c>
      <c r="Y17" s="191">
        <f ca="1">i_rankYOY!CB23</f>
        <v>14</v>
      </c>
      <c r="Z17" s="54" t="str">
        <f ca="1">i_rankYOY!CC23</f>
        <v>Paraguay</v>
      </c>
      <c r="AA17" s="53">
        <f ca="1">i_rankYOY!CD23</f>
        <v>15.6</v>
      </c>
      <c r="AB17" s="211">
        <f ca="1">i_rankYOY!CE23</f>
        <v>9.1</v>
      </c>
      <c r="AC17" s="92">
        <f ca="1">i_rankYOY!CF23</f>
        <v>9.1</v>
      </c>
      <c r="AE17" s="49">
        <f ca="1">i_rankYOY!CP23</f>
        <v>1</v>
      </c>
      <c r="AF17" s="191">
        <f ca="1">i_rankYOY!CQ23</f>
        <v>14</v>
      </c>
      <c r="AG17" s="54" t="str">
        <f ca="1">i_rankYOY!CR23</f>
        <v>Ecuador</v>
      </c>
      <c r="AH17" s="53">
        <f ca="1">i_rankYOY!CS23</f>
        <v>35.799999999999997</v>
      </c>
      <c r="AI17" s="211">
        <f ca="1">i_rankYOY!CT23</f>
        <v>2.1</v>
      </c>
      <c r="AJ17" s="92">
        <f ca="1">i_rankYOY!CU23</f>
        <v>2.1</v>
      </c>
      <c r="AL17" s="49">
        <f ca="1">i_rankYOY!DE23</f>
        <v>1</v>
      </c>
      <c r="AM17" s="191" t="str">
        <f ca="1">i_rankYOY!DF23</f>
        <v>=13</v>
      </c>
      <c r="AN17" s="54" t="str">
        <f ca="1">i_rankYOY!DG23</f>
        <v>Guatemala</v>
      </c>
      <c r="AO17" s="53">
        <f ca="1">i_rankYOY!DH23</f>
        <v>22.2</v>
      </c>
      <c r="AP17" s="211" t="str">
        <f ca="1">i_rankYOY!DI23</f>
        <v>-</v>
      </c>
      <c r="AQ17" s="92">
        <f ca="1">i_rankYOY!DJ23</f>
        <v>0</v>
      </c>
      <c r="AS17" s="49">
        <f ca="1">i_rankYOY!DT23</f>
        <v>1</v>
      </c>
    </row>
    <row r="18" spans="3:45">
      <c r="C18" s="49">
        <f ca="1">i_rankYOY!AH24</f>
        <v>1</v>
      </c>
      <c r="D18" s="191">
        <f ca="1">i_rankYOY!AI24</f>
        <v>15</v>
      </c>
      <c r="E18" s="54" t="str">
        <f ca="1">i_rankYOY!AJ24</f>
        <v>Honduras</v>
      </c>
      <c r="F18" s="53">
        <f ca="1">i_rankYOY!AK24</f>
        <v>24</v>
      </c>
      <c r="G18" s="211">
        <f ca="1">i_rankYOY!AL24</f>
        <v>2.8</v>
      </c>
      <c r="H18" s="49">
        <f ca="1">i_rankYOY!AM24</f>
        <v>2.8</v>
      </c>
      <c r="J18" s="49">
        <f ca="1">i_rankYOY!AW24</f>
        <v>1</v>
      </c>
      <c r="K18" s="191">
        <f ca="1">i_rankYOY!AX24</f>
        <v>15</v>
      </c>
      <c r="L18" s="54" t="str">
        <f ca="1">i_rankYOY!AY24</f>
        <v>Dominican Rep.</v>
      </c>
      <c r="M18" s="53">
        <f ca="1">i_rankYOY!AZ24</f>
        <v>21.9</v>
      </c>
      <c r="N18" s="211">
        <f ca="1">i_rankYOY!BA24</f>
        <v>3.1</v>
      </c>
      <c r="O18" s="92">
        <f ca="1">i_rankYOY!BB24</f>
        <v>3.1</v>
      </c>
      <c r="Q18" s="49">
        <f ca="1">i_rankYOY!BL24</f>
        <v>1</v>
      </c>
      <c r="R18" s="191" t="str">
        <f ca="1">i_rankYOY!BM24</f>
        <v>=15</v>
      </c>
      <c r="S18" s="54" t="str">
        <f ca="1">i_rankYOY!BN24</f>
        <v>Paraguay</v>
      </c>
      <c r="T18" s="53">
        <f ca="1">i_rankYOY!BO24</f>
        <v>25</v>
      </c>
      <c r="U18" s="211" t="str">
        <f ca="1">i_rankYOY!BP24</f>
        <v>-</v>
      </c>
      <c r="V18" s="92">
        <f ca="1">i_rankYOY!BQ24</f>
        <v>0</v>
      </c>
      <c r="X18" s="49">
        <f ca="1">i_rankYOY!CA24</f>
        <v>1</v>
      </c>
      <c r="Y18" s="191">
        <f ca="1">i_rankYOY!CB24</f>
        <v>15</v>
      </c>
      <c r="Z18" s="54" t="str">
        <f ca="1">i_rankYOY!CC24</f>
        <v>Dominican Rep.</v>
      </c>
      <c r="AA18" s="53">
        <f ca="1">i_rankYOY!CD24</f>
        <v>14</v>
      </c>
      <c r="AB18" s="211">
        <f ca="1">i_rankYOY!CE24</f>
        <v>-18.899999999999999</v>
      </c>
      <c r="AC18" s="92">
        <f ca="1">i_rankYOY!CF24</f>
        <v>-18.899999999999999</v>
      </c>
      <c r="AE18" s="49">
        <f ca="1">i_rankYOY!CP24</f>
        <v>1</v>
      </c>
      <c r="AF18" s="191">
        <f ca="1">i_rankYOY!CQ24</f>
        <v>15</v>
      </c>
      <c r="AG18" s="54" t="str">
        <f ca="1">i_rankYOY!CR24</f>
        <v>Dominican Rep.</v>
      </c>
      <c r="AH18" s="53">
        <f ca="1">i_rankYOY!CS24</f>
        <v>31.6</v>
      </c>
      <c r="AI18" s="211">
        <f ca="1">i_rankYOY!CT24</f>
        <v>1.4</v>
      </c>
      <c r="AJ18" s="92">
        <f ca="1">i_rankYOY!CU24</f>
        <v>1.4</v>
      </c>
      <c r="AL18" s="49">
        <f ca="1">i_rankYOY!DE24</f>
        <v>1</v>
      </c>
      <c r="AM18" s="191">
        <f ca="1">i_rankYOY!DF24</f>
        <v>15</v>
      </c>
      <c r="AN18" s="54" t="str">
        <f ca="1">i_rankYOY!DG24</f>
        <v>Ecuador</v>
      </c>
      <c r="AO18" s="53">
        <f ca="1">i_rankYOY!DH24</f>
        <v>16.7</v>
      </c>
      <c r="AP18" s="211">
        <f ca="1">i_rankYOY!DI24</f>
        <v>-2.8</v>
      </c>
      <c r="AQ18" s="92">
        <f ca="1">i_rankYOY!DJ24</f>
        <v>-2.8</v>
      </c>
      <c r="AS18" s="49">
        <f ca="1">i_rankYOY!DT24</f>
        <v>1</v>
      </c>
    </row>
    <row r="19" spans="3:45">
      <c r="C19" s="49">
        <f ca="1">i_rankYOY!AH25</f>
        <v>1</v>
      </c>
      <c r="D19" s="191">
        <f ca="1">i_rankYOY!AI25</f>
        <v>16</v>
      </c>
      <c r="E19" s="54" t="str">
        <f ca="1">i_rankYOY!AJ25</f>
        <v>Dominican Rep.</v>
      </c>
      <c r="F19" s="53">
        <f ca="1">i_rankYOY!AK25</f>
        <v>20.6</v>
      </c>
      <c r="G19" s="211">
        <f ca="1">i_rankYOY!AL25</f>
        <v>-4.4000000000000004</v>
      </c>
      <c r="H19" s="49">
        <f ca="1">i_rankYOY!AM25</f>
        <v>-4.4000000000000004</v>
      </c>
      <c r="J19" s="49">
        <f ca="1">i_rankYOY!AW25</f>
        <v>1</v>
      </c>
      <c r="K19" s="191">
        <f ca="1">i_rankYOY!AX25</f>
        <v>16</v>
      </c>
      <c r="L19" s="54" t="str">
        <f ca="1">i_rankYOY!AY25</f>
        <v>Nicaragua</v>
      </c>
      <c r="M19" s="53">
        <f ca="1">i_rankYOY!AZ25</f>
        <v>21.9</v>
      </c>
      <c r="N19" s="211">
        <f ca="1">i_rankYOY!BA25</f>
        <v>15.6</v>
      </c>
      <c r="O19" s="92">
        <f ca="1">i_rankYOY!BB25</f>
        <v>15.6</v>
      </c>
      <c r="Q19" s="49">
        <f ca="1">i_rankYOY!BL25</f>
        <v>1</v>
      </c>
      <c r="R19" s="191" t="str">
        <f ca="1">i_rankYOY!BM25</f>
        <v>=15</v>
      </c>
      <c r="S19" s="54" t="str">
        <f ca="1">i_rankYOY!BN25</f>
        <v>Trinidad &amp; Tobago</v>
      </c>
      <c r="T19" s="53">
        <f ca="1">i_rankYOY!BO25</f>
        <v>25</v>
      </c>
      <c r="U19" s="211" t="str">
        <f ca="1">i_rankYOY!BP25</f>
        <v>-</v>
      </c>
      <c r="V19" s="92">
        <f ca="1">i_rankYOY!BQ25</f>
        <v>0</v>
      </c>
      <c r="X19" s="49">
        <f ca="1">i_rankYOY!CA25</f>
        <v>1</v>
      </c>
      <c r="Y19" s="191">
        <f ca="1">i_rankYOY!CB25</f>
        <v>16</v>
      </c>
      <c r="Z19" s="54" t="str">
        <f ca="1">i_rankYOY!CC25</f>
        <v>Nicaragua</v>
      </c>
      <c r="AA19" s="53">
        <f ca="1">i_rankYOY!CD25</f>
        <v>13.1</v>
      </c>
      <c r="AB19" s="211">
        <f ca="1">i_rankYOY!CE25</f>
        <v>6.6</v>
      </c>
      <c r="AC19" s="92">
        <f ca="1">i_rankYOY!CF25</f>
        <v>6.6</v>
      </c>
      <c r="AE19" s="49">
        <f ca="1">i_rankYOY!CP25</f>
        <v>1</v>
      </c>
      <c r="AF19" s="191">
        <f ca="1">i_rankYOY!CQ25</f>
        <v>16</v>
      </c>
      <c r="AG19" s="54" t="str">
        <f ca="1">i_rankYOY!CR25</f>
        <v>Nicaragua</v>
      </c>
      <c r="AH19" s="53">
        <f ca="1">i_rankYOY!CS25</f>
        <v>31.1</v>
      </c>
      <c r="AI19" s="211">
        <f ca="1">i_rankYOY!CT25</f>
        <v>-0.8</v>
      </c>
      <c r="AJ19" s="92">
        <f ca="1">i_rankYOY!CU25</f>
        <v>-0.8</v>
      </c>
      <c r="AL19" s="49">
        <f ca="1">i_rankYOY!DE25</f>
        <v>1</v>
      </c>
      <c r="AM19" s="191">
        <f ca="1">i_rankYOY!DF25</f>
        <v>16</v>
      </c>
      <c r="AN19" s="54" t="str">
        <f ca="1">i_rankYOY!DG25</f>
        <v>Jamaica</v>
      </c>
      <c r="AO19" s="53">
        <f ca="1">i_rankYOY!DH25</f>
        <v>16.7</v>
      </c>
      <c r="AP19" s="211">
        <f ca="1">i_rankYOY!DI25</f>
        <v>2.8</v>
      </c>
      <c r="AQ19" s="92">
        <f ca="1">i_rankYOY!DJ25</f>
        <v>2.8</v>
      </c>
      <c r="AS19" s="49">
        <f ca="1">i_rankYOY!DT25</f>
        <v>1</v>
      </c>
    </row>
    <row r="20" spans="3:45">
      <c r="C20" s="49">
        <f ca="1">i_rankYOY!AH26</f>
        <v>1</v>
      </c>
      <c r="D20" s="191">
        <f ca="1">i_rankYOY!AI26</f>
        <v>17</v>
      </c>
      <c r="E20" s="54" t="str">
        <f ca="1">i_rankYOY!AJ26</f>
        <v>Nicaragua</v>
      </c>
      <c r="F20" s="53">
        <f ca="1">i_rankYOY!AK26</f>
        <v>20.399999999999999</v>
      </c>
      <c r="G20" s="211">
        <f ca="1">i_rankYOY!AL26</f>
        <v>9.5</v>
      </c>
      <c r="H20" s="49">
        <f ca="1">i_rankYOY!AM26</f>
        <v>9.5</v>
      </c>
      <c r="J20" s="49">
        <f ca="1">i_rankYOY!AW26</f>
        <v>1</v>
      </c>
      <c r="K20" s="191" t="str">
        <f ca="1">i_rankYOY!AX26</f>
        <v>=17</v>
      </c>
      <c r="L20" s="54" t="str">
        <f ca="1">i_rankYOY!AY26</f>
        <v>Honduras</v>
      </c>
      <c r="M20" s="53">
        <f ca="1">i_rankYOY!AZ26</f>
        <v>15.6</v>
      </c>
      <c r="N20" s="211" t="str">
        <f ca="1">i_rankYOY!BA26</f>
        <v>-</v>
      </c>
      <c r="O20" s="92">
        <f ca="1">i_rankYOY!BB26</f>
        <v>0</v>
      </c>
      <c r="Q20" s="49">
        <f ca="1">i_rankYOY!BL26</f>
        <v>1</v>
      </c>
      <c r="R20" s="191">
        <f ca="1">i_rankYOY!BM26</f>
        <v>17</v>
      </c>
      <c r="S20" s="54" t="str">
        <f ca="1">i_rankYOY!BN26</f>
        <v>Dominican Rep.</v>
      </c>
      <c r="T20" s="53">
        <f ca="1">i_rankYOY!BO26</f>
        <v>8.3000000000000007</v>
      </c>
      <c r="U20" s="211">
        <f ca="1">i_rankYOY!BP26</f>
        <v>-16.7</v>
      </c>
      <c r="V20" s="92">
        <f ca="1">i_rankYOY!BQ26</f>
        <v>-16.7</v>
      </c>
      <c r="X20" s="49">
        <f ca="1">i_rankYOY!CA26</f>
        <v>1</v>
      </c>
      <c r="Y20" s="191">
        <f ca="1">i_rankYOY!CB26</f>
        <v>17</v>
      </c>
      <c r="Z20" s="54" t="str">
        <f ca="1">i_rankYOY!CC26</f>
        <v>Panama</v>
      </c>
      <c r="AA20" s="53">
        <f ca="1">i_rankYOY!CD26</f>
        <v>13.1</v>
      </c>
      <c r="AB20" s="211">
        <f ca="1">i_rankYOY!CE26</f>
        <v>6.1</v>
      </c>
      <c r="AC20" s="92">
        <f ca="1">i_rankYOY!CF26</f>
        <v>6.1</v>
      </c>
      <c r="AE20" s="49">
        <f ca="1">i_rankYOY!CP26</f>
        <v>1</v>
      </c>
      <c r="AF20" s="191">
        <f ca="1">i_rankYOY!CQ26</f>
        <v>17</v>
      </c>
      <c r="AG20" s="54" t="str">
        <f ca="1">i_rankYOY!CR26</f>
        <v>Paraguay</v>
      </c>
      <c r="AH20" s="53">
        <f ca="1">i_rankYOY!CS26</f>
        <v>29.4</v>
      </c>
      <c r="AI20" s="211">
        <f ca="1">i_rankYOY!CT26</f>
        <v>-3.9</v>
      </c>
      <c r="AJ20" s="92">
        <f ca="1">i_rankYOY!CU26</f>
        <v>-3.9</v>
      </c>
      <c r="AL20" s="49">
        <f ca="1">i_rankYOY!DE26</f>
        <v>1</v>
      </c>
      <c r="AM20" s="191">
        <f ca="1">i_rankYOY!DF26</f>
        <v>17</v>
      </c>
      <c r="AN20" s="54" t="str">
        <f ca="1">i_rankYOY!DG26</f>
        <v>Venezuela</v>
      </c>
      <c r="AO20" s="53">
        <f ca="1">i_rankYOY!DH26</f>
        <v>16.7</v>
      </c>
      <c r="AP20" s="211">
        <f ca="1">i_rankYOY!DI26</f>
        <v>-5.6</v>
      </c>
      <c r="AQ20" s="92">
        <f ca="1">i_rankYOY!DJ26</f>
        <v>-5.6</v>
      </c>
      <c r="AS20" s="49">
        <f ca="1">i_rankYOY!DT26</f>
        <v>1</v>
      </c>
    </row>
    <row r="21" spans="3:45">
      <c r="C21" s="49">
        <f ca="1">i_rankYOY!AH27</f>
        <v>1</v>
      </c>
      <c r="D21" s="191">
        <f ca="1">i_rankYOY!AI27</f>
        <v>18</v>
      </c>
      <c r="E21" s="54" t="str">
        <f ca="1">i_rankYOY!AJ27</f>
        <v>Ecuador</v>
      </c>
      <c r="F21" s="53">
        <f ca="1">i_rankYOY!AK27</f>
        <v>16</v>
      </c>
      <c r="G21" s="211">
        <f ca="1">i_rankYOY!AL27</f>
        <v>-0.3</v>
      </c>
      <c r="H21" s="49">
        <f ca="1">i_rankYOY!AM27</f>
        <v>-0.3</v>
      </c>
      <c r="J21" s="49">
        <f ca="1">i_rankYOY!AW27</f>
        <v>1</v>
      </c>
      <c r="K21" s="191" t="str">
        <f ca="1">i_rankYOY!AX27</f>
        <v>=17</v>
      </c>
      <c r="L21" s="54" t="str">
        <f ca="1">i_rankYOY!AY27</f>
        <v>Ecuador</v>
      </c>
      <c r="M21" s="53">
        <f ca="1">i_rankYOY!AZ27</f>
        <v>6.3</v>
      </c>
      <c r="N21" s="211" t="str">
        <f ca="1">i_rankYOY!BA27</f>
        <v>-</v>
      </c>
      <c r="O21" s="92">
        <f ca="1">i_rankYOY!BB27</f>
        <v>0</v>
      </c>
      <c r="Q21" s="49">
        <f ca="1">i_rankYOY!BL27</f>
        <v>1</v>
      </c>
      <c r="R21" s="191" t="str">
        <f ca="1">i_rankYOY!BM27</f>
        <v>=18</v>
      </c>
      <c r="S21" s="54" t="str">
        <f ca="1">i_rankYOY!BN27</f>
        <v>Ecuador</v>
      </c>
      <c r="T21" s="53">
        <f ca="1">i_rankYOY!BO27</f>
        <v>0</v>
      </c>
      <c r="U21" s="211" t="str">
        <f ca="1">i_rankYOY!BP27</f>
        <v>-</v>
      </c>
      <c r="V21" s="92">
        <f ca="1">i_rankYOY!BQ27</f>
        <v>0</v>
      </c>
      <c r="X21" s="49">
        <f ca="1">i_rankYOY!CA27</f>
        <v>1</v>
      </c>
      <c r="Y21" s="191">
        <f ca="1">i_rankYOY!CB27</f>
        <v>18</v>
      </c>
      <c r="Z21" s="54" t="str">
        <f ca="1">i_rankYOY!CC27</f>
        <v>Trinidad &amp; Tobago</v>
      </c>
      <c r="AA21" s="53">
        <f ca="1">i_rankYOY!CD27</f>
        <v>9.5</v>
      </c>
      <c r="AB21" s="211">
        <f ca="1">i_rankYOY!CE27</f>
        <v>6.2</v>
      </c>
      <c r="AC21" s="92">
        <f ca="1">i_rankYOY!CF27</f>
        <v>6.2</v>
      </c>
      <c r="AE21" s="49">
        <f ca="1">i_rankYOY!CP27</f>
        <v>1</v>
      </c>
      <c r="AF21" s="191">
        <f ca="1">i_rankYOY!CQ27</f>
        <v>18</v>
      </c>
      <c r="AG21" s="54" t="str">
        <f ca="1">i_rankYOY!CR27</f>
        <v>Honduras</v>
      </c>
      <c r="AH21" s="53">
        <f ca="1">i_rankYOY!CS27</f>
        <v>27.6</v>
      </c>
      <c r="AI21" s="211">
        <f ca="1">i_rankYOY!CT27</f>
        <v>-1.8</v>
      </c>
      <c r="AJ21" s="92">
        <f ca="1">i_rankYOY!CU27</f>
        <v>-1.8</v>
      </c>
      <c r="AL21" s="49">
        <f ca="1">i_rankYOY!DE27</f>
        <v>1</v>
      </c>
      <c r="AM21" s="191" t="str">
        <f ca="1">i_rankYOY!DF27</f>
        <v>=18</v>
      </c>
      <c r="AN21" s="54" t="str">
        <f ca="1">i_rankYOY!DG27</f>
        <v>Honduras</v>
      </c>
      <c r="AO21" s="53">
        <f ca="1">i_rankYOY!DH27</f>
        <v>11.1</v>
      </c>
      <c r="AP21" s="211">
        <f ca="1">i_rankYOY!DI27</f>
        <v>2.8</v>
      </c>
      <c r="AQ21" s="92">
        <f ca="1">i_rankYOY!DJ27</f>
        <v>2.8</v>
      </c>
      <c r="AS21" s="49">
        <f ca="1">i_rankYOY!DT27</f>
        <v>1</v>
      </c>
    </row>
    <row r="22" spans="3:45">
      <c r="C22" s="49">
        <f ca="1">i_rankYOY!AH28</f>
        <v>1</v>
      </c>
      <c r="D22" s="191">
        <f ca="1">i_rankYOY!AI28</f>
        <v>19</v>
      </c>
      <c r="E22" s="54" t="str">
        <f ca="1">i_rankYOY!AJ28</f>
        <v>Venezuela</v>
      </c>
      <c r="F22" s="53">
        <f ca="1">i_rankYOY!AK28</f>
        <v>6.4</v>
      </c>
      <c r="G22" s="211">
        <f ca="1">i_rankYOY!AL28</f>
        <v>-5.7</v>
      </c>
      <c r="H22" s="49">
        <f ca="1">i_rankYOY!AM28</f>
        <v>-5.7</v>
      </c>
      <c r="J22" s="49">
        <f ca="1">i_rankYOY!AW28</f>
        <v>1</v>
      </c>
      <c r="K22" s="191">
        <f ca="1">i_rankYOY!AX28</f>
        <v>19</v>
      </c>
      <c r="L22" s="54" t="str">
        <f ca="1">i_rankYOY!AY28</f>
        <v>Venezuela</v>
      </c>
      <c r="M22" s="53">
        <f ca="1">i_rankYOY!AZ28</f>
        <v>0</v>
      </c>
      <c r="N22" s="211">
        <f ca="1">i_rankYOY!BA28</f>
        <v>-9.4</v>
      </c>
      <c r="O22" s="92">
        <f ca="1">i_rankYOY!BB28</f>
        <v>-9.4</v>
      </c>
      <c r="Q22" s="49">
        <f ca="1">i_rankYOY!BL28</f>
        <v>1</v>
      </c>
      <c r="R22" s="191" t="str">
        <f ca="1">i_rankYOY!BM28</f>
        <v>=18</v>
      </c>
      <c r="S22" s="54" t="str">
        <f ca="1">i_rankYOY!BN28</f>
        <v>Venezuela</v>
      </c>
      <c r="T22" s="53">
        <f ca="1">i_rankYOY!BO28</f>
        <v>0</v>
      </c>
      <c r="U22" s="211" t="str">
        <f ca="1">i_rankYOY!BP28</f>
        <v>-</v>
      </c>
      <c r="V22" s="92">
        <f ca="1">i_rankYOY!BQ28</f>
        <v>0</v>
      </c>
      <c r="X22" s="49">
        <f ca="1">i_rankYOY!CA28</f>
        <v>1</v>
      </c>
      <c r="Y22" s="191">
        <f ca="1">i_rankYOY!CB28</f>
        <v>19</v>
      </c>
      <c r="Z22" s="54" t="str">
        <f ca="1">i_rankYOY!CC28</f>
        <v>Venezuela</v>
      </c>
      <c r="AA22" s="53">
        <f ca="1">i_rankYOY!CD28</f>
        <v>0.6</v>
      </c>
      <c r="AB22" s="211">
        <f ca="1">i_rankYOY!CE28</f>
        <v>-6.6</v>
      </c>
      <c r="AC22" s="92">
        <f ca="1">i_rankYOY!CF28</f>
        <v>-6.6</v>
      </c>
      <c r="AE22" s="49">
        <f ca="1">i_rankYOY!CP28</f>
        <v>1</v>
      </c>
      <c r="AF22" s="191">
        <f ca="1">i_rankYOY!CQ28</f>
        <v>19</v>
      </c>
      <c r="AG22" s="54" t="str">
        <f ca="1">i_rankYOY!CR28</f>
        <v>Venezuela</v>
      </c>
      <c r="AH22" s="53">
        <f ca="1">i_rankYOY!CS28</f>
        <v>21.1</v>
      </c>
      <c r="AI22" s="211">
        <f ca="1">i_rankYOY!CT28</f>
        <v>-6.3</v>
      </c>
      <c r="AJ22" s="92">
        <f ca="1">i_rankYOY!CU28</f>
        <v>-6.3</v>
      </c>
      <c r="AL22" s="49">
        <f ca="1">i_rankYOY!DE28</f>
        <v>1</v>
      </c>
      <c r="AM22" s="191" t="str">
        <f ca="1">i_rankYOY!DF28</f>
        <v>=18</v>
      </c>
      <c r="AN22" s="54" t="str">
        <f ca="1">i_rankYOY!DG28</f>
        <v>Nicaragua</v>
      </c>
      <c r="AO22" s="53">
        <f ca="1">i_rankYOY!DH28</f>
        <v>8.3000000000000007</v>
      </c>
      <c r="AP22" s="211">
        <f ca="1">i_rankYOY!DI28</f>
        <v>2.8</v>
      </c>
      <c r="AQ22" s="92">
        <f ca="1">i_rankYOY!DJ28</f>
        <v>2.8</v>
      </c>
      <c r="AS22" s="49">
        <f ca="1">i_rankYOY!DT28</f>
        <v>1</v>
      </c>
    </row>
    <row r="23" spans="3:45" ht="12.75" customHeight="1"/>
    <row r="24" spans="3:45" ht="52.5" customHeight="1">
      <c r="D24" s="230" t="s">
        <v>1071</v>
      </c>
      <c r="E24" s="230"/>
      <c r="F24" s="230"/>
      <c r="G24" s="230"/>
      <c r="AF24" s="230" t="s">
        <v>332</v>
      </c>
      <c r="AG24" s="230"/>
      <c r="AH24" s="230"/>
      <c r="AI24" s="230"/>
    </row>
    <row r="25" spans="3:45" ht="15" customHeight="1">
      <c r="K25" s="49" t="s">
        <v>1038</v>
      </c>
      <c r="M25" s="198">
        <f>Scores2009_YOY!Q8</f>
        <v>0.27777777777777773</v>
      </c>
      <c r="R25" s="49" t="s">
        <v>1038</v>
      </c>
      <c r="T25" s="198">
        <f>Scores2009_YOY!Q13</f>
        <v>0.22222222222222221</v>
      </c>
      <c r="Y25" s="49" t="s">
        <v>1038</v>
      </c>
      <c r="AA25" s="198">
        <f>Scores2009_YOY!Q16</f>
        <v>0.16666666666666666</v>
      </c>
      <c r="AB25" s="198"/>
      <c r="AF25" s="49" t="s">
        <v>1038</v>
      </c>
      <c r="AH25" s="198">
        <f>Scores2009_YOY!Q22</f>
        <v>0.16666666666666666</v>
      </c>
      <c r="AM25" s="49" t="s">
        <v>1038</v>
      </c>
      <c r="AO25" s="198">
        <f>Scores2009_YOY!Q26</f>
        <v>0.16666666666666666</v>
      </c>
    </row>
    <row r="26" spans="3:45" ht="14.25" customHeight="1"/>
    <row r="27" spans="3:45">
      <c r="D27" s="145"/>
      <c r="E27" s="146" t="s">
        <v>833</v>
      </c>
      <c r="F27" s="147"/>
      <c r="G27" s="147"/>
      <c r="H27" s="147"/>
      <c r="I27" s="147"/>
      <c r="J27" s="147"/>
      <c r="K27" s="147"/>
      <c r="L27" s="147"/>
      <c r="M27" s="147"/>
      <c r="N27" s="147"/>
      <c r="O27" s="147"/>
      <c r="P27" s="147"/>
      <c r="Q27" s="147"/>
      <c r="R27" s="147"/>
      <c r="S27" s="147"/>
      <c r="T27" s="147"/>
      <c r="U27" s="148"/>
      <c r="V27" s="150"/>
      <c r="X27" s="29"/>
    </row>
    <row r="28" spans="3:45">
      <c r="D28" s="149"/>
      <c r="E28" s="150"/>
      <c r="F28" s="150"/>
      <c r="G28" s="150"/>
      <c r="H28" s="150"/>
      <c r="I28" s="150"/>
      <c r="J28" s="150"/>
      <c r="K28" s="150"/>
      <c r="L28" s="150"/>
      <c r="M28" s="150"/>
      <c r="N28" s="150"/>
      <c r="O28" s="150"/>
      <c r="P28" s="150"/>
      <c r="Q28" s="150"/>
      <c r="R28" s="150"/>
      <c r="S28" s="150"/>
      <c r="T28" s="150"/>
      <c r="U28" s="151"/>
      <c r="V28" s="150"/>
      <c r="X28" s="29"/>
    </row>
    <row r="29" spans="3:45" ht="11.25" customHeight="1">
      <c r="D29" s="149"/>
      <c r="E29" s="150"/>
      <c r="F29" s="150"/>
      <c r="G29" s="150"/>
      <c r="H29" s="150"/>
      <c r="I29" s="150"/>
      <c r="J29" s="150"/>
      <c r="K29" s="150"/>
      <c r="L29" s="150"/>
      <c r="M29" s="150"/>
      <c r="N29" s="150"/>
      <c r="O29" s="150"/>
      <c r="P29" s="150"/>
      <c r="Q29" s="150"/>
      <c r="R29" s="150"/>
      <c r="S29" s="150"/>
      <c r="T29" s="150"/>
      <c r="U29" s="151"/>
      <c r="V29" s="150"/>
      <c r="X29" s="29"/>
    </row>
    <row r="30" spans="3:45">
      <c r="D30" s="149"/>
      <c r="E30" s="152" t="s">
        <v>828</v>
      </c>
      <c r="F30" s="150"/>
      <c r="G30" s="150"/>
      <c r="H30" s="150"/>
      <c r="I30" s="150"/>
      <c r="J30" s="150"/>
      <c r="K30" s="150"/>
      <c r="L30" s="150"/>
      <c r="M30" s="150"/>
      <c r="N30" s="150"/>
      <c r="O30" s="150"/>
      <c r="P30" s="150"/>
      <c r="Q30" s="150"/>
      <c r="R30" s="150"/>
      <c r="S30" s="150"/>
      <c r="T30" s="150"/>
      <c r="U30" s="151"/>
      <c r="V30" s="150"/>
      <c r="X30" s="29"/>
    </row>
    <row r="31" spans="3:45">
      <c r="D31" s="149"/>
      <c r="E31" s="150"/>
      <c r="F31" s="150"/>
      <c r="G31" s="150"/>
      <c r="H31" s="150"/>
      <c r="I31" s="150"/>
      <c r="J31" s="150"/>
      <c r="K31" s="150"/>
      <c r="L31" s="150"/>
      <c r="M31" s="150"/>
      <c r="N31" s="150"/>
      <c r="O31" s="150"/>
      <c r="P31" s="150"/>
      <c r="Q31" s="150"/>
      <c r="R31" s="150"/>
      <c r="S31" s="150"/>
      <c r="T31" s="150"/>
      <c r="U31" s="151"/>
      <c r="V31" s="150"/>
      <c r="X31" s="29"/>
    </row>
    <row r="32" spans="3:45" ht="18.75" customHeight="1">
      <c r="D32" s="149"/>
      <c r="E32" s="152" t="s">
        <v>834</v>
      </c>
      <c r="F32" s="150"/>
      <c r="G32" s="150"/>
      <c r="H32" s="150"/>
      <c r="I32" s="150"/>
      <c r="J32" s="150"/>
      <c r="K32" s="150"/>
      <c r="L32" s="150"/>
      <c r="M32" s="150"/>
      <c r="N32" s="150"/>
      <c r="O32" s="150"/>
      <c r="P32" s="150"/>
      <c r="Q32" s="150"/>
      <c r="R32" s="150"/>
      <c r="S32" s="150"/>
      <c r="T32" s="150"/>
      <c r="U32" s="151"/>
      <c r="V32" s="150"/>
      <c r="X32" s="29"/>
    </row>
    <row r="33" spans="4:24">
      <c r="D33" s="149"/>
      <c r="E33" s="150"/>
      <c r="F33" s="150"/>
      <c r="G33" s="150"/>
      <c r="H33" s="150"/>
      <c r="I33" s="150"/>
      <c r="J33" s="150"/>
      <c r="K33" s="150"/>
      <c r="L33" s="150"/>
      <c r="M33" s="150"/>
      <c r="N33" s="150"/>
      <c r="O33" s="150"/>
      <c r="P33" s="150"/>
      <c r="Q33" s="150"/>
      <c r="R33" s="150"/>
      <c r="S33" s="150"/>
      <c r="T33" s="150"/>
      <c r="U33" s="151"/>
      <c r="V33" s="150"/>
      <c r="X33" s="29"/>
    </row>
    <row r="34" spans="4:24">
      <c r="D34" s="153"/>
      <c r="E34" s="106"/>
      <c r="F34" s="106"/>
      <c r="G34" s="106"/>
      <c r="H34" s="106"/>
      <c r="I34" s="106"/>
      <c r="J34" s="106"/>
      <c r="K34" s="106"/>
      <c r="L34" s="106"/>
      <c r="M34" s="106"/>
      <c r="N34" s="106"/>
      <c r="O34" s="106"/>
      <c r="P34" s="106"/>
      <c r="Q34" s="106"/>
      <c r="R34" s="106"/>
      <c r="S34" s="106"/>
      <c r="T34" s="106"/>
      <c r="U34" s="154"/>
      <c r="V34" s="150"/>
      <c r="X34" s="29"/>
    </row>
  </sheetData>
  <sheetProtection password="CD4E" sheet="1" objects="1" scenarios="1" selectLockedCells="1" selectUnlockedCells="1"/>
  <mergeCells count="3">
    <mergeCell ref="A1:AO1"/>
    <mergeCell ref="D24:G24"/>
    <mergeCell ref="AF24:AI24"/>
  </mergeCells>
  <phoneticPr fontId="61" type="noConversion"/>
  <conditionalFormatting sqref="D4:D22 K4:K22 R4:R22 Y4:Y22 AF4:AF22 AM4:AM22">
    <cfRule type="expression" dxfId="30" priority="1" stopIfTrue="1">
      <formula>C4=3</formula>
    </cfRule>
    <cfRule type="expression" dxfId="29" priority="2" stopIfTrue="1">
      <formula>C4=2</formula>
    </cfRule>
  </conditionalFormatting>
  <conditionalFormatting sqref="E4:E22 L4:L22 S4:S22 Z4:Z22 AG4:AG22 AN4:AN22">
    <cfRule type="expression" dxfId="28" priority="3" stopIfTrue="1">
      <formula>C4=3</formula>
    </cfRule>
    <cfRule type="expression" dxfId="27" priority="4" stopIfTrue="1">
      <formula>C4=2</formula>
    </cfRule>
  </conditionalFormatting>
  <conditionalFormatting sqref="F4:F22 M4:M22 T4:T22 AA4:AA22 AH4:AH22 AO4:AO22">
    <cfRule type="expression" dxfId="26" priority="5" stopIfTrue="1">
      <formula>C4=3</formula>
    </cfRule>
    <cfRule type="expression" dxfId="25" priority="6" stopIfTrue="1">
      <formula>C4=2</formula>
    </cfRule>
  </conditionalFormatting>
  <conditionalFormatting sqref="G4:G22 N4:N22 U4:U22 AB4:AB22 AI4:AI22 AP4:AP22">
    <cfRule type="expression" dxfId="24" priority="7" stopIfTrue="1">
      <formula>C4=3</formula>
    </cfRule>
    <cfRule type="expression" dxfId="23" priority="8" stopIfTrue="1">
      <formula>C4=2</formula>
    </cfRule>
  </conditionalFormatting>
  <pageMargins left="0.7" right="0.7" top="0.75" bottom="0.75" header="0.3" footer="0.3"/>
  <pageSetup orientation="portrait" horizontalDpi="1200" verticalDpi="1200" r:id="rId1"/>
  <drawing r:id="rId2"/>
  <legacyDrawing r:id="rId3"/>
</worksheet>
</file>

<file path=xl/worksheets/sheet11.xml><?xml version="1.0" encoding="utf-8"?>
<worksheet xmlns="http://schemas.openxmlformats.org/spreadsheetml/2006/main" xmlns:r="http://schemas.openxmlformats.org/officeDocument/2006/relationships">
  <sheetPr codeName="Sheet3"/>
  <dimension ref="A1:Q32"/>
  <sheetViews>
    <sheetView showGridLines="0" showRowColHeaders="0" zoomScaleNormal="100" workbookViewId="0">
      <selection activeCell="B36" sqref="B36"/>
    </sheetView>
  </sheetViews>
  <sheetFormatPr defaultRowHeight="15"/>
  <cols>
    <col min="1" max="1" width="3.28515625" customWidth="1"/>
    <col min="2" max="2" width="37" customWidth="1"/>
    <col min="3" max="3" width="2.140625" customWidth="1"/>
    <col min="4" max="4" width="5.140625" customWidth="1"/>
    <col min="5" max="5" width="3.28515625" hidden="1" customWidth="1"/>
    <col min="6" max="6" width="3.85546875" customWidth="1"/>
    <col min="7" max="7" width="18" customWidth="1"/>
    <col min="9" max="9" width="1.42578125" customWidth="1"/>
    <col min="10" max="10" width="15.140625" customWidth="1"/>
    <col min="11" max="11" width="1.7109375" customWidth="1"/>
    <col min="12" max="12" width="6.7109375" customWidth="1"/>
    <col min="13" max="13" width="7.7109375" customWidth="1"/>
    <col min="14" max="14" width="0" hidden="1" customWidth="1"/>
    <col min="17" max="17" width="27.5703125" customWidth="1"/>
  </cols>
  <sheetData>
    <row r="1" spans="1:14" ht="9" customHeight="1">
      <c r="A1" s="231" t="s">
        <v>824</v>
      </c>
      <c r="B1" s="231"/>
      <c r="C1" s="231"/>
    </row>
    <row r="2" spans="1:14" ht="18.75">
      <c r="A2" s="231"/>
      <c r="B2" s="231"/>
      <c r="C2" s="231"/>
      <c r="F2" s="55" t="str">
        <f>UPPER(uxbWorks!J9)</f>
        <v>CONSISTENCY AND QUALITY OF PPP REGULATIONS</v>
      </c>
    </row>
    <row r="3" spans="1:14">
      <c r="A3" s="29"/>
      <c r="B3" s="87" t="s">
        <v>826</v>
      </c>
      <c r="C3" s="88"/>
      <c r="F3" s="69" t="str">
        <f>uxbWorks!K9</f>
        <v>0-4, where 4=best and 0=worst</v>
      </c>
    </row>
    <row r="4" spans="1:14">
      <c r="A4" s="29"/>
      <c r="B4" s="29"/>
      <c r="C4" s="88"/>
    </row>
    <row r="5" spans="1:14" ht="13.5" customHeight="1">
      <c r="A5" s="29"/>
      <c r="B5" s="29"/>
      <c r="C5" s="88"/>
      <c r="F5" s="50"/>
      <c r="G5" s="76"/>
      <c r="H5" s="77" t="s">
        <v>552</v>
      </c>
      <c r="I5" s="77"/>
      <c r="J5" s="77"/>
      <c r="K5" s="77"/>
      <c r="L5" s="77" t="s">
        <v>575</v>
      </c>
      <c r="M5" s="77" t="s">
        <v>545</v>
      </c>
    </row>
    <row r="6" spans="1:14">
      <c r="A6" s="29"/>
      <c r="B6" s="29"/>
      <c r="C6" s="88"/>
      <c r="E6">
        <f ca="1">i_rank!R10</f>
        <v>1</v>
      </c>
      <c r="F6" s="73">
        <f ca="1">i_rank!S10</f>
        <v>1</v>
      </c>
      <c r="G6" s="78" t="str">
        <f ca="1">i_rank!T10</f>
        <v xml:space="preserve">Chile </v>
      </c>
      <c r="H6" s="94" t="str">
        <f ca="1">i_rank!U10</f>
        <v>4</v>
      </c>
      <c r="I6" s="74"/>
      <c r="J6" s="75" t="str">
        <f ca="1">IF(ISNUMBER(L6),REPT("|",L6/2),REPT("|",((VALUE(H6)/H$6)*50)))</f>
        <v>||||||||||||||||||||||||||||||||||||||||||||||||||</v>
      </c>
      <c r="K6" s="74"/>
      <c r="L6" s="93">
        <f ca="1">i_rank!V10</f>
        <v>100</v>
      </c>
      <c r="M6" s="192" t="str">
        <f ca="1">i_rank!X10</f>
        <v>+25.0</v>
      </c>
      <c r="N6">
        <f ca="1">i_rank!Z10</f>
        <v>1</v>
      </c>
    </row>
    <row r="7" spans="1:14">
      <c r="A7" s="29"/>
      <c r="B7" s="29"/>
      <c r="C7" s="88"/>
      <c r="E7">
        <f ca="1">i_rank!R11</f>
        <v>1</v>
      </c>
      <c r="F7" s="73" t="str">
        <f ca="1">i_rank!S11</f>
        <v>=2</v>
      </c>
      <c r="G7" s="78" t="str">
        <f ca="1">i_rank!T11</f>
        <v>Brazil</v>
      </c>
      <c r="H7" s="94" t="str">
        <f ca="1">i_rank!U11</f>
        <v>3</v>
      </c>
      <c r="I7" s="74"/>
      <c r="J7" s="75" t="str">
        <f t="shared" ref="J7:J24" ca="1" si="0">IF(ISNUMBER(L7),REPT("|",L7/2),REPT("|",((VALUE(H7)/H$6)*50)))</f>
        <v>|||||||||||||||||||||||||||||||||||||</v>
      </c>
      <c r="K7" s="74"/>
      <c r="L7" s="93">
        <f ca="1">i_rank!V11</f>
        <v>75</v>
      </c>
      <c r="M7" s="192" t="str">
        <f ca="1">i_rank!X11</f>
        <v>+25.0</v>
      </c>
      <c r="N7">
        <f ca="1">i_rank!Z11</f>
        <v>1</v>
      </c>
    </row>
    <row r="8" spans="1:14">
      <c r="A8" s="29"/>
      <c r="B8" s="29"/>
      <c r="C8" s="88"/>
      <c r="E8">
        <f ca="1">i_rank!R12</f>
        <v>1</v>
      </c>
      <c r="F8" s="73" t="str">
        <f ca="1">i_rank!S12</f>
        <v>=2</v>
      </c>
      <c r="G8" s="78" t="str">
        <f ca="1">i_rank!T12</f>
        <v>Guatemala</v>
      </c>
      <c r="H8" s="94" t="str">
        <f ca="1">i_rank!U12</f>
        <v>3</v>
      </c>
      <c r="I8" s="74"/>
      <c r="J8" s="75" t="str">
        <f t="shared" ca="1" si="0"/>
        <v>|||||||||||||||||||||||||||||||||||||</v>
      </c>
      <c r="K8" s="74"/>
      <c r="L8" s="93">
        <f ca="1">i_rank!V12</f>
        <v>75</v>
      </c>
      <c r="M8" s="192" t="str">
        <f ca="1">i_rank!X12</f>
        <v>+50.0</v>
      </c>
      <c r="N8">
        <f ca="1">i_rank!Z12</f>
        <v>1</v>
      </c>
    </row>
    <row r="9" spans="1:14">
      <c r="A9" s="29"/>
      <c r="B9" s="29"/>
      <c r="C9" s="88"/>
      <c r="E9">
        <f ca="1">i_rank!R13</f>
        <v>1</v>
      </c>
      <c r="F9" s="73" t="str">
        <f ca="1">i_rank!S13</f>
        <v>=2</v>
      </c>
      <c r="G9" s="78" t="str">
        <f ca="1">i_rank!T13</f>
        <v>Peru</v>
      </c>
      <c r="H9" s="94" t="str">
        <f ca="1">i_rank!U13</f>
        <v>3</v>
      </c>
      <c r="I9" s="74"/>
      <c r="J9" s="75" t="str">
        <f t="shared" ca="1" si="0"/>
        <v>|||||||||||||||||||||||||||||||||||||</v>
      </c>
      <c r="K9" s="74"/>
      <c r="L9" s="93">
        <f ca="1">i_rank!V13</f>
        <v>75</v>
      </c>
      <c r="M9" s="192" t="str">
        <f ca="1">i_rank!X13</f>
        <v>-</v>
      </c>
      <c r="N9">
        <f ca="1">i_rank!Z13</f>
        <v>0</v>
      </c>
    </row>
    <row r="10" spans="1:14">
      <c r="A10" s="29"/>
      <c r="B10" s="29"/>
      <c r="C10" s="88"/>
      <c r="E10">
        <f ca="1">i_rank!R14</f>
        <v>1</v>
      </c>
      <c r="F10" s="73" t="str">
        <f ca="1">i_rank!S14</f>
        <v>=5</v>
      </c>
      <c r="G10" s="78" t="str">
        <f ca="1">i_rank!T14</f>
        <v>Argentina</v>
      </c>
      <c r="H10" s="94" t="str">
        <f ca="1">i_rank!U14</f>
        <v>2</v>
      </c>
      <c r="I10" s="74"/>
      <c r="J10" s="75" t="str">
        <f t="shared" ca="1" si="0"/>
        <v>|||||||||||||||||||||||||</v>
      </c>
      <c r="K10" s="74"/>
      <c r="L10" s="93">
        <f ca="1">i_rank!V14</f>
        <v>50</v>
      </c>
      <c r="M10" s="192" t="str">
        <f ca="1">i_rank!X14</f>
        <v>-</v>
      </c>
      <c r="N10">
        <f ca="1">i_rank!Z14</f>
        <v>0</v>
      </c>
    </row>
    <row r="11" spans="1:14">
      <c r="A11" s="29"/>
      <c r="B11" s="29"/>
      <c r="C11" s="88"/>
      <c r="E11">
        <f ca="1">i_rank!R15</f>
        <v>1</v>
      </c>
      <c r="F11" s="73" t="str">
        <f ca="1">i_rank!S15</f>
        <v>=5</v>
      </c>
      <c r="G11" s="78" t="str">
        <f ca="1">i_rank!T15</f>
        <v>Colombia</v>
      </c>
      <c r="H11" s="94" t="str">
        <f ca="1">i_rank!U15</f>
        <v>2</v>
      </c>
      <c r="I11" s="74"/>
      <c r="J11" s="75" t="str">
        <f t="shared" ca="1" si="0"/>
        <v>|||||||||||||||||||||||||</v>
      </c>
      <c r="K11" s="74"/>
      <c r="L11" s="93">
        <f ca="1">i_rank!V15</f>
        <v>50</v>
      </c>
      <c r="M11" s="192" t="str">
        <f ca="1">i_rank!X15</f>
        <v>+25.0</v>
      </c>
      <c r="N11">
        <f ca="1">i_rank!Z15</f>
        <v>1</v>
      </c>
    </row>
    <row r="12" spans="1:14">
      <c r="A12" s="29"/>
      <c r="B12" s="29"/>
      <c r="C12" s="88"/>
      <c r="E12">
        <f ca="1">i_rank!R16</f>
        <v>1</v>
      </c>
      <c r="F12" s="73" t="str">
        <f ca="1">i_rank!S16</f>
        <v>=5</v>
      </c>
      <c r="G12" s="78" t="str">
        <f ca="1">i_rank!T16</f>
        <v>Mexico</v>
      </c>
      <c r="H12" s="94" t="str">
        <f ca="1">i_rank!U16</f>
        <v>2</v>
      </c>
      <c r="I12" s="74"/>
      <c r="J12" s="75" t="str">
        <f t="shared" ca="1" si="0"/>
        <v>|||||||||||||||||||||||||</v>
      </c>
      <c r="K12" s="74"/>
      <c r="L12" s="93">
        <f ca="1">i_rank!V16</f>
        <v>50</v>
      </c>
      <c r="M12" s="192" t="str">
        <f ca="1">i_rank!X16</f>
        <v>-</v>
      </c>
      <c r="N12">
        <f ca="1">i_rank!Z16</f>
        <v>0</v>
      </c>
    </row>
    <row r="13" spans="1:14">
      <c r="A13" s="29"/>
      <c r="B13" s="29"/>
      <c r="C13" s="88"/>
      <c r="E13">
        <f ca="1">i_rank!R17</f>
        <v>1</v>
      </c>
      <c r="F13" s="73" t="str">
        <f ca="1">i_rank!S17</f>
        <v>=5</v>
      </c>
      <c r="G13" s="78" t="str">
        <f ca="1">i_rank!T17</f>
        <v>Panama</v>
      </c>
      <c r="H13" s="94" t="str">
        <f ca="1">i_rank!U17</f>
        <v>2</v>
      </c>
      <c r="I13" s="74"/>
      <c r="J13" s="75" t="str">
        <f t="shared" ca="1" si="0"/>
        <v>|||||||||||||||||||||||||</v>
      </c>
      <c r="K13" s="74"/>
      <c r="L13" s="93">
        <f ca="1">i_rank!V17</f>
        <v>50</v>
      </c>
      <c r="M13" s="192" t="str">
        <f ca="1">i_rank!X17</f>
        <v>+25.0</v>
      </c>
      <c r="N13">
        <f ca="1">i_rank!Z17</f>
        <v>1</v>
      </c>
    </row>
    <row r="14" spans="1:14">
      <c r="A14" s="29"/>
      <c r="B14" s="29"/>
      <c r="C14" s="88"/>
      <c r="E14">
        <f ca="1">i_rank!R18</f>
        <v>1</v>
      </c>
      <c r="F14" s="73" t="str">
        <f ca="1">i_rank!S18</f>
        <v>=9</v>
      </c>
      <c r="G14" s="78" t="str">
        <f ca="1">i_rank!T18</f>
        <v>Costa Rica</v>
      </c>
      <c r="H14" s="94" t="str">
        <f ca="1">i_rank!U18</f>
        <v>1</v>
      </c>
      <c r="I14" s="74"/>
      <c r="J14" s="75" t="str">
        <f t="shared" ca="1" si="0"/>
        <v>||||||||||||</v>
      </c>
      <c r="K14" s="74"/>
      <c r="L14" s="93">
        <f ca="1">i_rank!V18</f>
        <v>25</v>
      </c>
      <c r="M14" s="192" t="str">
        <f ca="1">i_rank!X18</f>
        <v>-25.0</v>
      </c>
      <c r="N14">
        <f ca="1">i_rank!Z18</f>
        <v>-1</v>
      </c>
    </row>
    <row r="15" spans="1:14">
      <c r="A15" s="29"/>
      <c r="B15" s="29"/>
      <c r="C15" s="88"/>
      <c r="E15">
        <f ca="1">i_rank!R19</f>
        <v>1</v>
      </c>
      <c r="F15" s="73" t="str">
        <f ca="1">i_rank!S19</f>
        <v>=9</v>
      </c>
      <c r="G15" s="78" t="str">
        <f ca="1">i_rank!T19</f>
        <v>Dominican Rep.</v>
      </c>
      <c r="H15" s="94" t="str">
        <f ca="1">i_rank!U19</f>
        <v>1</v>
      </c>
      <c r="I15" s="74"/>
      <c r="J15" s="75" t="str">
        <f t="shared" ca="1" si="0"/>
        <v>||||||||||||</v>
      </c>
      <c r="K15" s="74"/>
      <c r="L15" s="93">
        <f ca="1">i_rank!V19</f>
        <v>25</v>
      </c>
      <c r="M15" s="192" t="str">
        <f ca="1">i_rank!X19</f>
        <v>-</v>
      </c>
      <c r="N15">
        <f ca="1">i_rank!Z19</f>
        <v>0</v>
      </c>
    </row>
    <row r="16" spans="1:14">
      <c r="A16" s="29"/>
      <c r="B16" s="29"/>
      <c r="C16" s="88"/>
      <c r="E16">
        <f ca="1">i_rank!R20</f>
        <v>1</v>
      </c>
      <c r="F16" s="73" t="str">
        <f ca="1">i_rank!S20</f>
        <v>=9</v>
      </c>
      <c r="G16" s="78" t="str">
        <f ca="1">i_rank!T20</f>
        <v>El Salvador</v>
      </c>
      <c r="H16" s="94" t="str">
        <f ca="1">i_rank!U20</f>
        <v>1</v>
      </c>
      <c r="I16" s="74"/>
      <c r="J16" s="75" t="str">
        <f t="shared" ca="1" si="0"/>
        <v>||||||||||||</v>
      </c>
      <c r="K16" s="74"/>
      <c r="L16" s="93">
        <f ca="1">i_rank!V20</f>
        <v>25</v>
      </c>
      <c r="M16" s="192" t="str">
        <f ca="1">i_rank!X20</f>
        <v>+25.0</v>
      </c>
      <c r="N16">
        <f ca="1">i_rank!Z20</f>
        <v>1</v>
      </c>
    </row>
    <row r="17" spans="1:17">
      <c r="A17" s="29"/>
      <c r="B17" s="29"/>
      <c r="C17" s="88"/>
      <c r="E17">
        <f ca="1">i_rank!R21</f>
        <v>1</v>
      </c>
      <c r="F17" s="73" t="str">
        <f ca="1">i_rank!S21</f>
        <v>=9</v>
      </c>
      <c r="G17" s="78" t="str">
        <f ca="1">i_rank!T21</f>
        <v>Honduras</v>
      </c>
      <c r="H17" s="94" t="str">
        <f ca="1">i_rank!U21</f>
        <v>1</v>
      </c>
      <c r="I17" s="74"/>
      <c r="J17" s="75" t="str">
        <f t="shared" ca="1" si="0"/>
        <v>||||||||||||</v>
      </c>
      <c r="K17" s="74"/>
      <c r="L17" s="93">
        <f ca="1">i_rank!V21</f>
        <v>25</v>
      </c>
      <c r="M17" s="192" t="str">
        <f ca="1">i_rank!X21</f>
        <v>+25.0</v>
      </c>
      <c r="N17">
        <f ca="1">i_rank!Z21</f>
        <v>1</v>
      </c>
    </row>
    <row r="18" spans="1:17">
      <c r="A18" s="29"/>
      <c r="B18" s="29"/>
      <c r="C18" s="88"/>
      <c r="E18">
        <f ca="1">i_rank!R22</f>
        <v>1</v>
      </c>
      <c r="F18" s="73" t="str">
        <f ca="1">i_rank!S22</f>
        <v>=9</v>
      </c>
      <c r="G18" s="78" t="str">
        <f ca="1">i_rank!T22</f>
        <v>Jamaica</v>
      </c>
      <c r="H18" s="94" t="str">
        <f ca="1">i_rank!U22</f>
        <v>1</v>
      </c>
      <c r="I18" s="74"/>
      <c r="J18" s="75" t="str">
        <f t="shared" ca="1" si="0"/>
        <v>||||||||||||</v>
      </c>
      <c r="K18" s="74"/>
      <c r="L18" s="93">
        <f ca="1">i_rank!V22</f>
        <v>25</v>
      </c>
      <c r="M18" s="192" t="str">
        <f ca="1">i_rank!X22</f>
        <v>-</v>
      </c>
      <c r="N18">
        <f ca="1">i_rank!Z22</f>
        <v>0</v>
      </c>
    </row>
    <row r="19" spans="1:17">
      <c r="A19" s="29"/>
      <c r="B19" s="29"/>
      <c r="C19" s="88"/>
      <c r="E19">
        <f ca="1">i_rank!R23</f>
        <v>1</v>
      </c>
      <c r="F19" s="73" t="str">
        <f ca="1">i_rank!S23</f>
        <v>=9</v>
      </c>
      <c r="G19" s="78" t="str">
        <f ca="1">i_rank!T23</f>
        <v>Nicaragua</v>
      </c>
      <c r="H19" s="94" t="str">
        <f ca="1">i_rank!U23</f>
        <v>1</v>
      </c>
      <c r="I19" s="74"/>
      <c r="J19" s="75" t="str">
        <f t="shared" ca="1" si="0"/>
        <v>||||||||||||</v>
      </c>
      <c r="K19" s="74"/>
      <c r="L19" s="93">
        <f ca="1">i_rank!V23</f>
        <v>25</v>
      </c>
      <c r="M19" s="192" t="str">
        <f ca="1">i_rank!X23</f>
        <v>+25.0</v>
      </c>
      <c r="N19">
        <f ca="1">i_rank!Z23</f>
        <v>1</v>
      </c>
    </row>
    <row r="20" spans="1:17">
      <c r="A20" s="29"/>
      <c r="B20" s="29"/>
      <c r="C20" s="88"/>
      <c r="E20">
        <f ca="1">i_rank!R24</f>
        <v>1</v>
      </c>
      <c r="F20" s="73" t="str">
        <f ca="1">i_rank!S24</f>
        <v>=9</v>
      </c>
      <c r="G20" s="78" t="str">
        <f ca="1">i_rank!T24</f>
        <v>Paraguay</v>
      </c>
      <c r="H20" s="94" t="str">
        <f ca="1">i_rank!U24</f>
        <v>1</v>
      </c>
      <c r="I20" s="74"/>
      <c r="J20" s="75" t="str">
        <f t="shared" ca="1" si="0"/>
        <v>||||||||||||</v>
      </c>
      <c r="K20" s="74"/>
      <c r="L20" s="93">
        <f ca="1">i_rank!V24</f>
        <v>25</v>
      </c>
      <c r="M20" s="192" t="str">
        <f ca="1">i_rank!X24</f>
        <v>-</v>
      </c>
      <c r="N20">
        <f ca="1">i_rank!Z24</f>
        <v>0</v>
      </c>
    </row>
    <row r="21" spans="1:17">
      <c r="A21" s="29"/>
      <c r="B21" s="29"/>
      <c r="C21" s="88"/>
      <c r="E21">
        <f ca="1">i_rank!R25</f>
        <v>1</v>
      </c>
      <c r="F21" s="73" t="str">
        <f ca="1">i_rank!S25</f>
        <v>=9</v>
      </c>
      <c r="G21" s="78" t="str">
        <f ca="1">i_rank!T25</f>
        <v>Trinidad &amp; Tobago</v>
      </c>
      <c r="H21" s="94" t="str">
        <f ca="1">i_rank!U25</f>
        <v>1</v>
      </c>
      <c r="I21" s="74"/>
      <c r="J21" s="75" t="str">
        <f t="shared" ca="1" si="0"/>
        <v>||||||||||||</v>
      </c>
      <c r="K21" s="74"/>
      <c r="L21" s="93">
        <f ca="1">i_rank!V25</f>
        <v>25</v>
      </c>
      <c r="M21" s="192" t="str">
        <f ca="1">i_rank!X25</f>
        <v>-</v>
      </c>
      <c r="N21">
        <f ca="1">i_rank!Z25</f>
        <v>0</v>
      </c>
    </row>
    <row r="22" spans="1:17">
      <c r="A22" s="29"/>
      <c r="B22" s="87"/>
      <c r="C22" s="88"/>
      <c r="E22">
        <f ca="1">i_rank!R26</f>
        <v>1</v>
      </c>
      <c r="F22" s="73" t="str">
        <f ca="1">i_rank!S26</f>
        <v>=9</v>
      </c>
      <c r="G22" s="78" t="str">
        <f ca="1">i_rank!T26</f>
        <v>Uruguay</v>
      </c>
      <c r="H22" s="94" t="str">
        <f ca="1">i_rank!U26</f>
        <v>1</v>
      </c>
      <c r="I22" s="74"/>
      <c r="J22" s="75" t="str">
        <f t="shared" ca="1" si="0"/>
        <v>||||||||||||</v>
      </c>
      <c r="K22" s="74"/>
      <c r="L22" s="93">
        <f ca="1">i_rank!V26</f>
        <v>25</v>
      </c>
      <c r="M22" s="192" t="str">
        <f ca="1">i_rank!X26</f>
        <v>-</v>
      </c>
      <c r="N22">
        <f ca="1">i_rank!Z26</f>
        <v>0</v>
      </c>
    </row>
    <row r="23" spans="1:17">
      <c r="A23" s="29"/>
      <c r="B23" s="87" t="s">
        <v>825</v>
      </c>
      <c r="C23" s="88"/>
      <c r="E23">
        <f ca="1">i_rank!R27</f>
        <v>1</v>
      </c>
      <c r="F23" s="73" t="str">
        <f ca="1">i_rank!S27</f>
        <v>=18</v>
      </c>
      <c r="G23" s="78" t="str">
        <f ca="1">i_rank!T27</f>
        <v>Ecuador</v>
      </c>
      <c r="H23" s="94" t="str">
        <f ca="1">i_rank!U27</f>
        <v>0</v>
      </c>
      <c r="I23" s="74"/>
      <c r="J23" s="75" t="str">
        <f t="shared" ca="1" si="0"/>
        <v/>
      </c>
      <c r="K23" s="74"/>
      <c r="L23" s="93">
        <f ca="1">i_rank!V27</f>
        <v>0</v>
      </c>
      <c r="M23" s="192" t="str">
        <f ca="1">i_rank!X27</f>
        <v>-</v>
      </c>
      <c r="N23">
        <f ca="1">i_rank!Z27</f>
        <v>0</v>
      </c>
    </row>
    <row r="24" spans="1:17">
      <c r="A24" s="29"/>
      <c r="B24" s="29"/>
      <c r="C24" s="88"/>
      <c r="E24">
        <f ca="1">i_rank!R28</f>
        <v>1</v>
      </c>
      <c r="F24" s="73" t="str">
        <f ca="1">i_rank!S28</f>
        <v>=18</v>
      </c>
      <c r="G24" s="78" t="str">
        <f ca="1">i_rank!T28</f>
        <v>Venezuela</v>
      </c>
      <c r="H24" s="94" t="str">
        <f ca="1">i_rank!U28</f>
        <v>0</v>
      </c>
      <c r="I24" s="74"/>
      <c r="J24" s="75" t="str">
        <f t="shared" ca="1" si="0"/>
        <v/>
      </c>
      <c r="K24" s="74"/>
      <c r="L24" s="93">
        <f ca="1">i_rank!V28</f>
        <v>0</v>
      </c>
      <c r="M24" s="192" t="str">
        <f ca="1">i_rank!X28</f>
        <v>-25.0</v>
      </c>
      <c r="N24">
        <f ca="1">i_rank!Z28</f>
        <v>-1</v>
      </c>
    </row>
    <row r="25" spans="1:17" ht="12" customHeight="1">
      <c r="A25" s="29"/>
      <c r="B25" s="87"/>
      <c r="C25" s="88"/>
    </row>
    <row r="26" spans="1:17" ht="19.5" customHeight="1">
      <c r="A26" s="29"/>
      <c r="B26" s="87" t="s">
        <v>827</v>
      </c>
      <c r="C26" s="88"/>
      <c r="F26" s="101" t="s">
        <v>973</v>
      </c>
    </row>
    <row r="27" spans="1:17" ht="13.5" customHeight="1">
      <c r="A27" s="29"/>
      <c r="B27" s="29"/>
      <c r="C27" s="88"/>
      <c r="F27" s="208" t="str">
        <f>uxbWorks!L9</f>
        <v>EIU qualitative assessment</v>
      </c>
    </row>
    <row r="28" spans="1:17" ht="12.75" customHeight="1">
      <c r="A28" s="29"/>
      <c r="B28" s="87" t="s">
        <v>831</v>
      </c>
      <c r="C28" s="88"/>
      <c r="F28" s="101" t="s">
        <v>446</v>
      </c>
      <c r="G28" s="70"/>
    </row>
    <row r="29" spans="1:17" ht="66" customHeight="1">
      <c r="A29" s="29"/>
      <c r="B29" s="29"/>
      <c r="C29" s="88"/>
      <c r="F29" s="234" t="str">
        <f>uxbWorks!N9</f>
        <v xml:space="preserve">“How consistent are PPP laws and regulations at different levels of government and across sectors? Do regulations establish clear requirements and oversight mechanisms for project implementation (project preparation, bidding, contract awards, construction and operation)? Must risk be allocated to different parties according to ability to manage them? Is there a clear system for compensating the private sector for acts of authority that change sector-specific economic conditions not foreseen during bidding?" Also considers if regulations avoid open-ended compensation rights for changes in financial equilibrium so that the state only assumes explicitly written commercial contractual contingent liabilities. </v>
      </c>
      <c r="G29" s="234"/>
      <c r="H29" s="234"/>
      <c r="I29" s="234"/>
      <c r="J29" s="234"/>
      <c r="K29" s="234"/>
      <c r="L29" s="234"/>
      <c r="M29" s="234"/>
      <c r="N29" s="234"/>
      <c r="O29" s="234"/>
      <c r="P29" s="234"/>
      <c r="Q29" s="234"/>
    </row>
    <row r="30" spans="1:17">
      <c r="A30" s="29"/>
      <c r="B30" s="29"/>
      <c r="C30" s="88"/>
      <c r="F30" s="101" t="s">
        <v>977</v>
      </c>
    </row>
    <row r="31" spans="1:17" ht="133.5" customHeight="1">
      <c r="A31" s="29"/>
      <c r="B31" s="29"/>
      <c r="C31" s="88"/>
      <c r="F31" s="232" t="str">
        <f>uxbWorks!P9</f>
        <v>0=The legal framework is so cumbersome or restrictive that in practice PPPs are extremely difficult to implement;
1=The legal framework allows concessions but it is ill defined and risk allocation and compensation is unclear and inefficient; 
2=The legal framework allows concessions and also establishes general, open-ended oversight, risk allocation and compensation rules; 
3=The legal framework is generally good and coherent, addressing risk allocation issues while leaving some ambiguity with regards to compensation schemes and project implementation;
4=The legal framework is comprehensive and consistent across sectors and layers of government, addresses risk allocation and compensation issues according to strict economic principles and establishes sophisticated and consistent oversight of project implementation</v>
      </c>
      <c r="G31" s="232"/>
      <c r="H31" s="232"/>
      <c r="I31" s="232"/>
      <c r="J31" s="232"/>
      <c r="K31" s="232"/>
      <c r="L31" s="232"/>
      <c r="M31" s="232"/>
      <c r="N31" s="233"/>
      <c r="O31" s="233"/>
      <c r="P31" s="233"/>
      <c r="Q31" s="233"/>
    </row>
    <row r="32" spans="1:17">
      <c r="A32" s="89"/>
      <c r="B32" s="89"/>
      <c r="C32" s="90"/>
    </row>
  </sheetData>
  <sheetProtection password="CD4E" sheet="1" objects="1" scenarios="1" selectLockedCells="1" selectUnlockedCells="1"/>
  <mergeCells count="3">
    <mergeCell ref="A1:C2"/>
    <mergeCell ref="F31:Q31"/>
    <mergeCell ref="F29:Q29"/>
  </mergeCells>
  <phoneticPr fontId="0" type="noConversion"/>
  <conditionalFormatting sqref="F6:L24">
    <cfRule type="expression" dxfId="22" priority="2" stopIfTrue="1">
      <formula>$E6=3</formula>
    </cfRule>
    <cfRule type="expression" dxfId="21" priority="3" stopIfTrue="1">
      <formula>$E6=2</formula>
    </cfRule>
  </conditionalFormatting>
  <conditionalFormatting sqref="M6:M24">
    <cfRule type="expression" dxfId="20" priority="6" stopIfTrue="1">
      <formula>$E6=3</formula>
    </cfRule>
    <cfRule type="expression" dxfId="19" priority="7" stopIfTrue="1">
      <formula>$E6=2</formula>
    </cfRule>
    <cfRule type="expression" dxfId="18" priority="8" stopIfTrue="1">
      <formula>$N6=-1</formula>
    </cfRule>
  </conditionalFormatting>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sheetPr codeName="Sheet16"/>
  <dimension ref="A1:AN71"/>
  <sheetViews>
    <sheetView topLeftCell="A12" workbookViewId="0">
      <selection activeCell="F42" sqref="F42"/>
    </sheetView>
  </sheetViews>
  <sheetFormatPr defaultRowHeight="15"/>
  <cols>
    <col min="1" max="1" width="13.42578125" bestFit="1" customWidth="1"/>
    <col min="2" max="2" width="3" bestFit="1" customWidth="1"/>
    <col min="3" max="3" width="4.28515625" customWidth="1"/>
    <col min="4" max="4" width="3.42578125" customWidth="1"/>
    <col min="5" max="5" width="29.7109375" bestFit="1" customWidth="1"/>
  </cols>
  <sheetData>
    <row r="1" spans="1:40">
      <c r="A1" s="95" t="s">
        <v>563</v>
      </c>
      <c r="B1" s="48">
        <f>uxbWorks!B15</f>
        <v>18</v>
      </c>
      <c r="C1" s="48" t="str">
        <f>uxbWorks!C15</f>
        <v>Uruguay</v>
      </c>
      <c r="E1">
        <v>1</v>
      </c>
      <c r="F1">
        <f>IF($B1=0,-100,ROUND(INDEX(scores_2009,G$5,$B1),3))</f>
        <v>31.795000000000002</v>
      </c>
      <c r="G1">
        <f>IF(F1="","",RANK(F1,F$1:F$4,1)+COUNTIF(F$1:F1,F1)-1)</f>
        <v>3</v>
      </c>
      <c r="H1">
        <f>MATCH($E1,G$1:G$4,0)</f>
        <v>2</v>
      </c>
      <c r="I1" t="str">
        <f>IF(ISERROR(H1),"",INDEX($C$1:$C$4,H1))</f>
        <v/>
      </c>
      <c r="J1">
        <f>IF(ISERROR(H1),"",INDEX(F$1:F$4,H1))</f>
        <v>-100</v>
      </c>
      <c r="L1">
        <f>IF($B1=0,-100,ROUND(INDEX(scores_2009,M$5,$B1),2))</f>
        <v>34.380000000000003</v>
      </c>
      <c r="M1">
        <f>IF(L1="","",RANK(L1,L$1:L$4,1)+COUNTIF(L$1:L1,L1)-1)</f>
        <v>3</v>
      </c>
      <c r="N1">
        <f>MATCH($E1,M$1:M$4,0)</f>
        <v>2</v>
      </c>
      <c r="O1" t="str">
        <f>IF(ISERROR(N1),"",INDEX($C$1:$C$4,N1))</f>
        <v/>
      </c>
      <c r="P1">
        <f>IF(ISERROR(N1),"",INDEX(L$1:L$4,N1))</f>
        <v>-100</v>
      </c>
      <c r="R1">
        <f>IF($B1=0,-100,ROUND(INDEX(scores_2009,S$5,$B1),2))</f>
        <v>33.33</v>
      </c>
      <c r="S1">
        <f>IF(R1="","",RANK(R1,R$1:R$4,1)+COUNTIF(R$1:R1,R1)-1)</f>
        <v>3</v>
      </c>
      <c r="T1">
        <f>MATCH($E1,S$1:S$4,0)</f>
        <v>2</v>
      </c>
      <c r="U1" t="str">
        <f>IF(ISERROR(T1),"",INDEX($C$1:$C$4,T1))</f>
        <v/>
      </c>
      <c r="V1">
        <f>IF(ISERROR(T1),"",INDEX(R$1:R$4,T1))</f>
        <v>-100</v>
      </c>
      <c r="X1">
        <f>IF($B1=0,-100,ROUND(INDEX(scores_2009,Y$5,$B1),2))</f>
        <v>19.350000000000001</v>
      </c>
      <c r="Y1">
        <f>IF(X1="","",RANK(X1,X$1:X$4,1)+COUNTIF(X$1:X1,X1)-1)</f>
        <v>3</v>
      </c>
      <c r="Z1">
        <f>MATCH($E1,Y$1:Y$4,0)</f>
        <v>2</v>
      </c>
      <c r="AA1" t="str">
        <f>IF(ISERROR(Z1),"",INDEX($C$1:$C$4,Z1))</f>
        <v/>
      </c>
      <c r="AB1">
        <f>IF(ISERROR(Z1),"",INDEX(X$1:X$4,Z1))</f>
        <v>-100</v>
      </c>
      <c r="AD1">
        <f>IF($B1=0,-100,ROUND(INDEX(scores_2009,AE$5,$B1),2))</f>
        <v>43.66</v>
      </c>
      <c r="AE1">
        <f>IF(AD1="","",RANK(AD1,AD$1:AD$4,1)+COUNTIF(AD$1:AD1,AD1)-1)</f>
        <v>3</v>
      </c>
      <c r="AF1">
        <f>MATCH($E1,AE$1:AE$4,0)</f>
        <v>2</v>
      </c>
      <c r="AG1" t="str">
        <f>IF(ISERROR(AF1),"",INDEX($C$1:$C$4,AF1))</f>
        <v/>
      </c>
      <c r="AH1">
        <f>IF(ISERROR(AF1),"",INDEX(AD$1:AD$4,AF1))</f>
        <v>-100</v>
      </c>
      <c r="AJ1">
        <f>IF($B1=0,-100,ROUND(INDEX(scores_2009,AK$5,$B1),2))</f>
        <v>30.56</v>
      </c>
      <c r="AK1">
        <f>IF(AJ1="","",RANK(AJ1,AJ$1:AJ$4,1)+COUNTIF(AJ$1:AJ1,AJ1)-1)</f>
        <v>3</v>
      </c>
      <c r="AL1">
        <f>MATCH($E1,AK$1:AK$4,0)</f>
        <v>2</v>
      </c>
      <c r="AM1" t="str">
        <f>IF(ISERROR(AL1),"",INDEX($C$1:$C$4,AL1))</f>
        <v/>
      </c>
      <c r="AN1">
        <f>IF(ISERROR(AL1),"",INDEX(AJ$1:AJ$4,AL1))</f>
        <v>-100</v>
      </c>
    </row>
    <row r="2" spans="1:40">
      <c r="A2" t="s">
        <v>562</v>
      </c>
      <c r="B2" s="48">
        <f>uxbWorks!B14</f>
        <v>0</v>
      </c>
      <c r="C2" s="48" t="str">
        <f>IF(B2=0,"",uxbWorks!C14)</f>
        <v/>
      </c>
      <c r="E2">
        <v>2</v>
      </c>
      <c r="F2">
        <f>IF($B2=0,-100,ROUND(INDEX(scores_2009,G$5,$B2),3))</f>
        <v>-100</v>
      </c>
      <c r="G2">
        <f>IF(F2="","",RANK(F2,F$1:F$4,1)+COUNTIF(F$1:F2,F2)-1)</f>
        <v>1</v>
      </c>
      <c r="H2">
        <f>MATCH($E2,G$1:G$4,0)</f>
        <v>4</v>
      </c>
      <c r="I2" t="str">
        <f>IF(ISERROR(H2),"",INDEX($C$1:$C$4,H2))</f>
        <v>Paraguay</v>
      </c>
      <c r="J2">
        <f>IF(ISERROR(H2),"",INDEX(F$1:F$4,H2))</f>
        <v>24.548999999999999</v>
      </c>
      <c r="L2">
        <f>IF($B2=0,-100,ROUND(INDEX(scores_2009,M$5,$B2),2))</f>
        <v>-100</v>
      </c>
      <c r="M2">
        <f>IF(L2="","",RANK(L2,L$1:L$4,1)+COUNTIF(L$1:L2,L2)-1)</f>
        <v>1</v>
      </c>
      <c r="N2">
        <f>MATCH($E2,M$1:M$4,0)</f>
        <v>4</v>
      </c>
      <c r="O2" t="str">
        <f>IF(ISERROR(N2),"",INDEX($C$1:$C$4,N2))</f>
        <v>Paraguay</v>
      </c>
      <c r="P2">
        <f>IF(ISERROR(N2),"",INDEX(L$1:L$4,N2))</f>
        <v>25</v>
      </c>
      <c r="R2">
        <f>IF($B2=0,-100,ROUND(INDEX(scores_2009,S$5,$B2),2))</f>
        <v>-100</v>
      </c>
      <c r="S2">
        <f>IF(R2="","",RANK(R2,R$1:R$4,1)+COUNTIF(R$1:R2,R2)-1)</f>
        <v>1</v>
      </c>
      <c r="T2">
        <f>MATCH($E2,S$1:S$4,0)</f>
        <v>4</v>
      </c>
      <c r="U2" t="str">
        <f>IF(ISERROR(T2),"",INDEX($C$1:$C$4,T2))</f>
        <v>Paraguay</v>
      </c>
      <c r="V2">
        <f>IF(ISERROR(T2),"",INDEX(R$1:R$4,T2))</f>
        <v>25</v>
      </c>
      <c r="X2">
        <f>IF($B2=0,-100,ROUND(INDEX(scores_2009,Y$5,$B2),2))</f>
        <v>-100</v>
      </c>
      <c r="Y2">
        <f>IF(X2="","",RANK(X2,X$1:X$4,1)+COUNTIF(X$1:X2,X2)-1)</f>
        <v>1</v>
      </c>
      <c r="Z2">
        <f>MATCH($E2,Y$1:Y$4,0)</f>
        <v>4</v>
      </c>
      <c r="AA2" t="str">
        <f>IF(ISERROR(Z2),"",INDEX($C$1:$C$4,Z2))</f>
        <v>Paraguay</v>
      </c>
      <c r="AB2">
        <f>IF(ISERROR(Z2),"",INDEX(X$1:X$4,Z2))</f>
        <v>15.63</v>
      </c>
      <c r="AD2">
        <f>IF($B2=0,-100,ROUND(INDEX(scores_2009,AE$5,$B2),2))</f>
        <v>-100</v>
      </c>
      <c r="AE2">
        <f>IF(AD2="","",RANK(AD2,AD$1:AD$4,1)+COUNTIF(AD$1:AD2,AD2)-1)</f>
        <v>1</v>
      </c>
      <c r="AF2">
        <f>MATCH($E2,AE$1:AE$4,0)</f>
        <v>4</v>
      </c>
      <c r="AG2" t="str">
        <f>IF(ISERROR(AF2),"",INDEX($C$1:$C$4,AF2))</f>
        <v>Paraguay</v>
      </c>
      <c r="AH2">
        <f>IF(ISERROR(AF2),"",INDEX(AD$1:AD$4,AF2))</f>
        <v>31.37</v>
      </c>
      <c r="AJ2">
        <f>IF($B2=0,-100,ROUND(INDEX(scores_2009,AK$5,$B2),2))</f>
        <v>-100</v>
      </c>
      <c r="AK2">
        <f>IF(AJ2="","",RANK(AJ2,AJ$1:AJ$4,1)+COUNTIF(AJ$1:AJ2,AJ2)-1)</f>
        <v>1</v>
      </c>
      <c r="AL2">
        <f>MATCH($E2,AK$1:AK$4,0)</f>
        <v>4</v>
      </c>
      <c r="AM2" t="str">
        <f>IF(ISERROR(AL2),"",INDEX($C$1:$C$4,AL2))</f>
        <v>Paraguay</v>
      </c>
      <c r="AN2">
        <f>IF(ISERROR(AL2),"",INDEX(AJ$1:AJ$4,AL2))</f>
        <v>25</v>
      </c>
    </row>
    <row r="3" spans="1:40">
      <c r="A3" t="s">
        <v>564</v>
      </c>
      <c r="B3" s="48">
        <f>uxbWorks!B18</f>
        <v>3</v>
      </c>
      <c r="C3" s="48" t="str">
        <f>IF(B3=0,"",uxbWorks!C18)</f>
        <v xml:space="preserve">Chile </v>
      </c>
      <c r="E3">
        <v>3</v>
      </c>
      <c r="F3">
        <f>IF($B3=0,-100,ROUND(INDEX(scores_2009,G$5,$B3),3))</f>
        <v>79.311000000000007</v>
      </c>
      <c r="G3">
        <f>IF(F3="","",RANK(F3,F$1:F$4,1)+COUNTIF(F$1:F3,F3)-1)</f>
        <v>4</v>
      </c>
      <c r="H3">
        <f>MATCH($E3,G$1:G$4,0)</f>
        <v>1</v>
      </c>
      <c r="I3" t="str">
        <f>IF(ISERROR(H3),"",INDEX($C$1:$C$4,H3))</f>
        <v>Uruguay</v>
      </c>
      <c r="J3">
        <f>IF(ISERROR(H3),"",INDEX(F$1:F$4,H3))</f>
        <v>31.795000000000002</v>
      </c>
      <c r="L3">
        <f>IF($B3=0,-100,ROUND(INDEX(scores_2009,M$5,$B3),2))</f>
        <v>84.38</v>
      </c>
      <c r="M3">
        <f>IF(L3="","",RANK(L3,L$1:L$4,1)+COUNTIF(L$1:L3,L3)-1)</f>
        <v>4</v>
      </c>
      <c r="N3">
        <f>MATCH($E3,M$1:M$4,0)</f>
        <v>1</v>
      </c>
      <c r="O3" t="str">
        <f>IF(ISERROR(N3),"",INDEX($C$1:$C$4,N3))</f>
        <v>Uruguay</v>
      </c>
      <c r="P3">
        <f>IF(ISERROR(N3),"",INDEX(L$1:L$4,N3))</f>
        <v>34.380000000000003</v>
      </c>
      <c r="R3">
        <f>IF($B3=0,-100,ROUND(INDEX(scores_2009,S$5,$B3),2))</f>
        <v>75</v>
      </c>
      <c r="S3">
        <f>IF(R3="","",RANK(R3,R$1:R$4,1)+COUNTIF(R$1:R3,R3)-1)</f>
        <v>4</v>
      </c>
      <c r="T3">
        <f>MATCH($E3,S$1:S$4,0)</f>
        <v>1</v>
      </c>
      <c r="U3" t="str">
        <f>IF(ISERROR(T3),"",INDEX($C$1:$C$4,T3))</f>
        <v>Uruguay</v>
      </c>
      <c r="V3">
        <f>IF(ISERROR(T3),"",INDEX(R$1:R$4,T3))</f>
        <v>33.33</v>
      </c>
      <c r="X3">
        <f>IF($B3=0,-100,ROUND(INDEX(scores_2009,Y$5,$B3),2))</f>
        <v>72.17</v>
      </c>
      <c r="Y3">
        <f>IF(X3="","",RANK(X3,X$1:X$4,1)+COUNTIF(X$1:X3,X3)-1)</f>
        <v>4</v>
      </c>
      <c r="Z3">
        <f>MATCH($E3,Y$1:Y$4,0)</f>
        <v>1</v>
      </c>
      <c r="AA3" t="str">
        <f>IF(ISERROR(Z3),"",INDEX($C$1:$C$4,Z3))</f>
        <v>Uruguay</v>
      </c>
      <c r="AB3">
        <f>IF(ISERROR(Z3),"",INDEX(X$1:X$4,Z3))</f>
        <v>19.350000000000001</v>
      </c>
      <c r="AD3">
        <f>IF($B3=0,-100,ROUND(INDEX(scores_2009,AE$5,$B3),2))</f>
        <v>85.39</v>
      </c>
      <c r="AE3">
        <f>IF(AD3="","",RANK(AD3,AD$1:AD$4,1)+COUNTIF(AD$1:AD3,AD3)-1)</f>
        <v>4</v>
      </c>
      <c r="AF3">
        <f>MATCH($E3,AE$1:AE$4,0)</f>
        <v>1</v>
      </c>
      <c r="AG3" t="str">
        <f>IF(ISERROR(AF3),"",INDEX($C$1:$C$4,AF3))</f>
        <v>Uruguay</v>
      </c>
      <c r="AH3">
        <f>IF(ISERROR(AF3),"",INDEX(AD$1:AD$4,AF3))</f>
        <v>43.66</v>
      </c>
      <c r="AJ3">
        <f>IF($B3=0,-100,ROUND(INDEX(scores_2009,AK$5,$B3),2))</f>
        <v>97.22</v>
      </c>
      <c r="AK3">
        <f>IF(AJ3="","",RANK(AJ3,AJ$1:AJ$4,1)+COUNTIF(AJ$1:AJ3,AJ3)-1)</f>
        <v>4</v>
      </c>
      <c r="AL3">
        <f>MATCH($E3,AK$1:AK$4,0)</f>
        <v>1</v>
      </c>
      <c r="AM3" t="str">
        <f>IF(ISERROR(AL3),"",INDEX($C$1:$C$4,AL3))</f>
        <v>Uruguay</v>
      </c>
      <c r="AN3">
        <f>IF(ISERROR(AL3),"",INDEX(AJ$1:AJ$4,AL3))</f>
        <v>30.56</v>
      </c>
    </row>
    <row r="4" spans="1:40">
      <c r="A4" t="s">
        <v>565</v>
      </c>
      <c r="B4" s="48">
        <f>uxbWorks!B20</f>
        <v>15</v>
      </c>
      <c r="C4" s="48" t="str">
        <f>IF(B4=0,"",uxbWorks!C20)</f>
        <v>Paraguay</v>
      </c>
      <c r="E4">
        <v>4</v>
      </c>
      <c r="F4">
        <f>IF($B4=0,-100,ROUND(INDEX(scores_2009,G$5,$B4),3))</f>
        <v>24.548999999999999</v>
      </c>
      <c r="G4">
        <f>IF(F4="","",RANK(F4,F$1:F$4,1)+COUNTIF(F$1:F4,F4)-1)</f>
        <v>2</v>
      </c>
      <c r="H4">
        <f>MATCH($E4,G$1:G$4,0)</f>
        <v>3</v>
      </c>
      <c r="I4" t="str">
        <f>IF(ISERROR(H4),"",INDEX($C$1:$C$4,H4))</f>
        <v xml:space="preserve">Chile </v>
      </c>
      <c r="J4">
        <f>IF(ISERROR(H4),"",INDEX(F$1:F$4,H4))</f>
        <v>79.311000000000007</v>
      </c>
      <c r="L4">
        <f>IF($B4=0,-100,ROUND(INDEX(scores_2009,M$5,$B4),2))</f>
        <v>25</v>
      </c>
      <c r="M4">
        <f>IF(L4="","",RANK(L4,L$1:L$4,1)+COUNTIF(L$1:L4,L4)-1)</f>
        <v>2</v>
      </c>
      <c r="N4">
        <f>MATCH($E4,M$1:M$4,0)</f>
        <v>3</v>
      </c>
      <c r="O4" t="str">
        <f>IF(ISERROR(N4),"",INDEX($C$1:$C$4,N4))</f>
        <v xml:space="preserve">Chile </v>
      </c>
      <c r="P4">
        <f>IF(ISERROR(N4),"",INDEX(L$1:L$4,N4))</f>
        <v>84.38</v>
      </c>
      <c r="R4">
        <f>IF($B4=0,-100,ROUND(INDEX(scores_2009,S$5,$B4),2))</f>
        <v>25</v>
      </c>
      <c r="S4">
        <f>IF(R4="","",RANK(R4,R$1:R$4,1)+COUNTIF(R$1:R4,R4)-1)</f>
        <v>2</v>
      </c>
      <c r="T4">
        <f>MATCH($E4,S$1:S$4,0)</f>
        <v>3</v>
      </c>
      <c r="U4" t="str">
        <f>IF(ISERROR(T4),"",INDEX($C$1:$C$4,T4))</f>
        <v xml:space="preserve">Chile </v>
      </c>
      <c r="V4">
        <f>IF(ISERROR(T4),"",INDEX(R$1:R$4,T4))</f>
        <v>75</v>
      </c>
      <c r="X4">
        <f>IF($B4=0,-100,ROUND(INDEX(scores_2009,Y$5,$B4),2))</f>
        <v>15.63</v>
      </c>
      <c r="Y4">
        <f>IF(X4="","",RANK(X4,X$1:X$4,1)+COUNTIF(X$1:X4,X4)-1)</f>
        <v>2</v>
      </c>
      <c r="Z4">
        <f>MATCH($E4,Y$1:Y$4,0)</f>
        <v>3</v>
      </c>
      <c r="AA4" t="str">
        <f>IF(ISERROR(Z4),"",INDEX($C$1:$C$4,Z4))</f>
        <v xml:space="preserve">Chile </v>
      </c>
      <c r="AB4">
        <f>IF(ISERROR(Z4),"",INDEX(X$1:X$4,Z4))</f>
        <v>72.17</v>
      </c>
      <c r="AD4">
        <f>IF($B4=0,-100,ROUND(INDEX(scores_2009,AE$5,$B4),2))</f>
        <v>31.37</v>
      </c>
      <c r="AE4">
        <f>IF(AD4="","",RANK(AD4,AD$1:AD$4,1)+COUNTIF(AD$1:AD4,AD4)-1)</f>
        <v>2</v>
      </c>
      <c r="AF4">
        <f>MATCH($E4,AE$1:AE$4,0)</f>
        <v>3</v>
      </c>
      <c r="AG4" t="str">
        <f>IF(ISERROR(AF4),"",INDEX($C$1:$C$4,AF4))</f>
        <v xml:space="preserve">Chile </v>
      </c>
      <c r="AH4">
        <f>IF(ISERROR(AF4),"",INDEX(AD$1:AD$4,AF4))</f>
        <v>85.39</v>
      </c>
      <c r="AJ4">
        <f>IF($B4=0,-100,ROUND(INDEX(scores_2009,AK$5,$B4),2))</f>
        <v>25</v>
      </c>
      <c r="AK4">
        <f>IF(AJ4="","",RANK(AJ4,AJ$1:AJ$4,1)+COUNTIF(AJ$1:AJ4,AJ4)-1)</f>
        <v>2</v>
      </c>
      <c r="AL4">
        <f>MATCH($E4,AK$1:AK$4,0)</f>
        <v>3</v>
      </c>
      <c r="AM4" t="str">
        <f>IF(ISERROR(AL4),"",INDEX($C$1:$C$4,AL4))</f>
        <v xml:space="preserve">Chile </v>
      </c>
      <c r="AN4">
        <f>IF(ISERROR(AL4),"",INDEX(AJ$1:AJ$4,AL4))</f>
        <v>97.22</v>
      </c>
    </row>
    <row r="5" spans="1:40">
      <c r="B5" s="48"/>
      <c r="C5" s="48"/>
      <c r="F5" t="str">
        <f>UPPER(E7)</f>
        <v>OVERALL SCORE</v>
      </c>
      <c r="G5">
        <f>B7</f>
        <v>1</v>
      </c>
      <c r="H5" t="s">
        <v>576</v>
      </c>
      <c r="L5" t="str">
        <f>UPPER(E8)</f>
        <v>LEGAL AND REGULATORY FRAMEWORK</v>
      </c>
      <c r="M5">
        <f>B8</f>
        <v>2</v>
      </c>
      <c r="N5" t="s">
        <v>576</v>
      </c>
      <c r="R5" t="str">
        <f>UPPER(E9)</f>
        <v>INSTITUTIONAL FRAMEWORK</v>
      </c>
      <c r="S5">
        <f>B9</f>
        <v>7</v>
      </c>
      <c r="X5" t="str">
        <f>UPPER(E10)</f>
        <v>OPERATIONAL MATURITY</v>
      </c>
      <c r="Y5">
        <f>B10</f>
        <v>10</v>
      </c>
      <c r="AD5" t="str">
        <f>UPPER(E11)</f>
        <v>INVESTMENT CLIMATE</v>
      </c>
      <c r="AE5">
        <f>B11</f>
        <v>16</v>
      </c>
      <c r="AJ5" t="str">
        <f>UPPER(E12)</f>
        <v>FINANCIAL FACILITIES</v>
      </c>
      <c r="AK5">
        <f>B12</f>
        <v>20</v>
      </c>
    </row>
    <row r="6" spans="1:40">
      <c r="I6">
        <v>2008</v>
      </c>
      <c r="J6" t="s">
        <v>844</v>
      </c>
    </row>
    <row r="7" spans="1:40">
      <c r="A7" t="str">
        <f>tblSections!A2</f>
        <v>TOTL</v>
      </c>
      <c r="B7">
        <f t="shared" ref="B7:B12" si="0">MATCH(A7,score2009_indi,0)</f>
        <v>1</v>
      </c>
      <c r="C7">
        <f t="shared" ref="C7:C12" ca="1" si="1">RANK(F7,OFFSET(scores_2009,$B7-1,0,1,20))</f>
        <v>9</v>
      </c>
      <c r="D7">
        <f t="shared" ref="D7:D12" ca="1" si="2">COUNTIF(OFFSET(scores_2009,$B7-1,0,1,20),F7)</f>
        <v>1</v>
      </c>
      <c r="E7" t="str">
        <f>tblSections!B2</f>
        <v>OVERALL SCORE</v>
      </c>
      <c r="F7">
        <f t="shared" ref="F7:F13" si="3">INDEX(scores_2009,$B7,$B$1)</f>
        <v>31.794906198190212</v>
      </c>
      <c r="G7" s="41">
        <f t="shared" ref="G7:G12" ca="1" si="4">IF(D7&gt;1,CONCATENATE("=",C7),C7)</f>
        <v>9</v>
      </c>
      <c r="I7">
        <f t="shared" ref="I7:I13" si="5">INDEX(scores_2008,$B7,$B$1)</f>
        <v>27.334281223057314</v>
      </c>
      <c r="J7">
        <f t="shared" ref="J7:J13" si="6">INDEX(yoy,$B7,$B$1)</f>
        <v>4.7</v>
      </c>
      <c r="K7" s="41" t="str">
        <f t="shared" ref="K7:K12" si="7">IF(J7="-","",IF(J7&gt;0,CONCATENATE("+",TEXT(J7,"0.0")),IF(J7=0,"-",CONCATENATE("-",TEXT(ABS(J7),"0.0")))))</f>
        <v>+4.7</v>
      </c>
      <c r="L7">
        <f t="shared" ref="L7:L12" si="8">IF(J7&lt;0,-1,IF(J7&gt;0,1,0))</f>
        <v>1</v>
      </c>
    </row>
    <row r="8" spans="1:40">
      <c r="A8" t="str">
        <f>tblSections!A3</f>
        <v>LEGF</v>
      </c>
      <c r="B8">
        <f t="shared" si="0"/>
        <v>2</v>
      </c>
      <c r="C8">
        <f t="shared" ca="1" si="1"/>
        <v>8</v>
      </c>
      <c r="D8">
        <f t="shared" ca="1" si="2"/>
        <v>2</v>
      </c>
      <c r="E8" t="str">
        <f>tblSections!B3</f>
        <v>Legal and regulatory framework</v>
      </c>
      <c r="F8">
        <f t="shared" si="3"/>
        <v>34.375</v>
      </c>
      <c r="G8" s="41" t="str">
        <f t="shared" ca="1" si="4"/>
        <v>=8</v>
      </c>
      <c r="I8">
        <f t="shared" si="5"/>
        <v>25</v>
      </c>
      <c r="J8">
        <f t="shared" si="6"/>
        <v>9.4</v>
      </c>
      <c r="K8" s="41" t="str">
        <f t="shared" si="7"/>
        <v>+9.4</v>
      </c>
      <c r="L8">
        <f t="shared" si="8"/>
        <v>1</v>
      </c>
    </row>
    <row r="9" spans="1:40">
      <c r="A9" t="str">
        <f>tblSections!A4</f>
        <v>INST</v>
      </c>
      <c r="B9">
        <f t="shared" si="0"/>
        <v>7</v>
      </c>
      <c r="C9">
        <f t="shared" ca="1" si="1"/>
        <v>7</v>
      </c>
      <c r="D9">
        <f t="shared" ca="1" si="2"/>
        <v>4</v>
      </c>
      <c r="E9" t="str">
        <f>tblSections!B4</f>
        <v>Institutional framework</v>
      </c>
      <c r="F9">
        <f t="shared" si="3"/>
        <v>33.333333333333329</v>
      </c>
      <c r="G9" s="41" t="str">
        <f t="shared" ca="1" si="4"/>
        <v>=7</v>
      </c>
      <c r="I9">
        <f t="shared" si="5"/>
        <v>37.5</v>
      </c>
      <c r="J9">
        <f t="shared" si="6"/>
        <v>0</v>
      </c>
      <c r="K9" s="41" t="str">
        <f t="shared" si="7"/>
        <v>-</v>
      </c>
      <c r="L9">
        <f t="shared" si="8"/>
        <v>0</v>
      </c>
    </row>
    <row r="10" spans="1:40">
      <c r="A10" t="str">
        <f>tblSections!A5</f>
        <v>OPER</v>
      </c>
      <c r="B10">
        <f t="shared" si="0"/>
        <v>10</v>
      </c>
      <c r="C10">
        <f t="shared" ca="1" si="1"/>
        <v>12</v>
      </c>
      <c r="D10">
        <f t="shared" ca="1" si="2"/>
        <v>1</v>
      </c>
      <c r="E10" t="str">
        <f>tblSections!B5</f>
        <v>Operational maturity</v>
      </c>
      <c r="F10">
        <f t="shared" si="3"/>
        <v>19.345238095238095</v>
      </c>
      <c r="G10" s="41">
        <f t="shared" ca="1" si="4"/>
        <v>12</v>
      </c>
      <c r="I10">
        <f t="shared" si="5"/>
        <v>13.301282051282049</v>
      </c>
      <c r="J10">
        <f t="shared" si="6"/>
        <v>5.6</v>
      </c>
      <c r="K10" s="41" t="str">
        <f t="shared" si="7"/>
        <v>+5.6</v>
      </c>
      <c r="L10">
        <f t="shared" si="8"/>
        <v>1</v>
      </c>
    </row>
    <row r="11" spans="1:40">
      <c r="A11" t="str">
        <f>tblSections!A6</f>
        <v>INVT</v>
      </c>
      <c r="B11">
        <f t="shared" si="0"/>
        <v>16</v>
      </c>
      <c r="C11">
        <f t="shared" ca="1" si="1"/>
        <v>10</v>
      </c>
      <c r="D11">
        <f t="shared" ca="1" si="2"/>
        <v>1</v>
      </c>
      <c r="E11" t="str">
        <f>tblSections!B6</f>
        <v>Investment climate</v>
      </c>
      <c r="F11">
        <f t="shared" si="3"/>
        <v>43.66246989269667</v>
      </c>
      <c r="G11" s="41">
        <f t="shared" ca="1" si="4"/>
        <v>10</v>
      </c>
      <c r="I11">
        <f t="shared" si="5"/>
        <v>76.215057045683224</v>
      </c>
      <c r="J11">
        <f t="shared" si="6"/>
        <v>1.5</v>
      </c>
      <c r="K11" s="41" t="str">
        <f t="shared" si="7"/>
        <v>+1.5</v>
      </c>
      <c r="L11">
        <f t="shared" si="8"/>
        <v>1</v>
      </c>
    </row>
    <row r="12" spans="1:40">
      <c r="A12" t="str">
        <f>tblSections!A7</f>
        <v>FINC</v>
      </c>
      <c r="B12">
        <f t="shared" si="0"/>
        <v>20</v>
      </c>
      <c r="C12">
        <f t="shared" ca="1" si="1"/>
        <v>11</v>
      </c>
      <c r="D12">
        <f t="shared" ca="1" si="2"/>
        <v>2</v>
      </c>
      <c r="E12" t="str">
        <f>tblSections!B7</f>
        <v>Financial facilities</v>
      </c>
      <c r="F12">
        <f t="shared" si="3"/>
        <v>30.555555555555557</v>
      </c>
      <c r="G12" s="41" t="str">
        <f t="shared" ca="1" si="4"/>
        <v>=11</v>
      </c>
      <c r="I12">
        <f t="shared" si="5"/>
        <v>24.999999999999993</v>
      </c>
      <c r="J12">
        <f t="shared" si="6"/>
        <v>5.6</v>
      </c>
      <c r="K12" s="41" t="str">
        <f t="shared" si="7"/>
        <v>+5.6</v>
      </c>
      <c r="L12">
        <f t="shared" si="8"/>
        <v>1</v>
      </c>
    </row>
    <row r="13" spans="1:40">
      <c r="A13" t="str">
        <f>tblSections!A8</f>
        <v>NEWSEC</v>
      </c>
      <c r="B13">
        <f>MATCH(A13,score2009_indi,0)</f>
        <v>25</v>
      </c>
      <c r="C13">
        <f ca="1">RANK(F13,OFFSET(scores_2009,$B13-1,0,1,20))</f>
        <v>7</v>
      </c>
      <c r="D13">
        <f ca="1">COUNTIF(OFFSET(scores_2009,$B13-1,0,1,20),F13)</f>
        <v>7</v>
      </c>
      <c r="E13" t="str">
        <f>tblSections!B8</f>
        <v>Subnational adjustment</v>
      </c>
      <c r="F13">
        <f t="shared" si="3"/>
        <v>25</v>
      </c>
      <c r="G13" s="41" t="str">
        <f ca="1">IF(D13&gt;1,CONCATENATE("=",C13),C13)</f>
        <v>=7</v>
      </c>
      <c r="I13" t="e">
        <f t="shared" si="5"/>
        <v>#REF!</v>
      </c>
      <c r="J13" t="e">
        <f t="shared" si="6"/>
        <v>#REF!</v>
      </c>
      <c r="K13" s="41" t="e">
        <f>IF(J13="-","",IF(J13&gt;0,CONCATENATE("+",TEXT(J13,"0.0")),IF(J13=0,"-",CONCATENATE("-",TEXT(ABS(J13),"0.0")))))</f>
        <v>#REF!</v>
      </c>
      <c r="L13" t="e">
        <f>IF(J13&lt;0,-1,IF(J13&gt;0,1,0))</f>
        <v>#REF!</v>
      </c>
    </row>
    <row r="14" spans="1:40">
      <c r="K14" t="s">
        <v>566</v>
      </c>
      <c r="L14">
        <v>176</v>
      </c>
    </row>
    <row r="15" spans="1:40">
      <c r="F15">
        <f>B1</f>
        <v>18</v>
      </c>
      <c r="G15" s="41">
        <f>B2</f>
        <v>0</v>
      </c>
      <c r="H15">
        <f>B3</f>
        <v>3</v>
      </c>
      <c r="I15">
        <f>B4</f>
        <v>15</v>
      </c>
      <c r="K15">
        <f>B1</f>
        <v>18</v>
      </c>
      <c r="N15" t="s">
        <v>883</v>
      </c>
      <c r="P15" t="s">
        <v>884</v>
      </c>
    </row>
    <row r="16" spans="1:40">
      <c r="F16" t="str">
        <f>C1</f>
        <v>Uruguay</v>
      </c>
      <c r="G16" s="41" t="str">
        <f>C2</f>
        <v/>
      </c>
      <c r="H16" t="str">
        <f>C3</f>
        <v xml:space="preserve">Chile </v>
      </c>
      <c r="I16" t="str">
        <f>C4</f>
        <v>Paraguay</v>
      </c>
    </row>
    <row r="17" spans="1:18">
      <c r="A17" t="str">
        <f>tblIndicators!A2</f>
        <v>TOTL</v>
      </c>
      <c r="B17">
        <f t="shared" ref="B17:B39" si="9">MATCH(A17,score2009_indi,0)</f>
        <v>1</v>
      </c>
      <c r="C17">
        <f>tblIndicators!C2</f>
        <v>0</v>
      </c>
      <c r="D17" t="str">
        <f>tblIndicators!I2</f>
        <v>0 - 100 where 100= best and 0=worst</v>
      </c>
      <c r="E17" t="str">
        <f>tblIndicators!Q2</f>
        <v>OVERALL SCORE</v>
      </c>
      <c r="F17">
        <f t="shared" ref="F17:I42" si="10">INDEX(scores_2009,$B17,F$15)</f>
        <v>31.794906198190212</v>
      </c>
      <c r="G17" t="str">
        <f t="shared" ref="G17:H42" si="11">IF(G$15=0,"",INDEX(scores_2009,$B17,G$15))</f>
        <v/>
      </c>
      <c r="H17">
        <f t="shared" si="11"/>
        <v>79.311183890980303</v>
      </c>
      <c r="I17">
        <f t="shared" si="10"/>
        <v>24.54870750163056</v>
      </c>
      <c r="K17" t="str">
        <f t="shared" ref="K17:K39" si="12">IF(C17&lt;2,"",INDEX(text_2009,$B17,K$15))</f>
        <v/>
      </c>
      <c r="L17" t="str">
        <f t="shared" ref="L17:L39" si="13">IF(LEN(K17)&gt;L$14,CONCATENATE(TRIM(LEFT(K17,L$14))," …"),K17)</f>
        <v/>
      </c>
      <c r="N17">
        <f t="shared" ref="N17:N39" si="14">INDEX(yoy,$B17,F$15)</f>
        <v>4.7</v>
      </c>
      <c r="O17" s="41" t="str">
        <f>IF(N17="-","-",IF(N17&gt;0,CONCATENATE("+",TEXT(N17,"0.0")),IF(N17=0,"-",CONCATENATE("-",TEXT(ABS(N17),"0.0")))))</f>
        <v>+4.7</v>
      </c>
      <c r="P17">
        <f t="shared" ref="P17:P39" si="15">IF(M17&lt;0,-1,IF(M17&gt;0,1,0))</f>
        <v>0</v>
      </c>
      <c r="R17" t="str">
        <f>IF(C17&lt;2,"",INDEX(text_2008,$B17,K$15))</f>
        <v/>
      </c>
    </row>
    <row r="18" spans="1:18">
      <c r="A18" t="str">
        <f>tblIndicators!A3</f>
        <v>LEGF</v>
      </c>
      <c r="B18">
        <f t="shared" si="9"/>
        <v>2</v>
      </c>
      <c r="C18">
        <f>tblIndicators!C3</f>
        <v>1</v>
      </c>
      <c r="D18" t="str">
        <f>tblIndicators!I3</f>
        <v>0 - 100 where 100= best and 0=worst</v>
      </c>
      <c r="E18" t="str">
        <f>tblIndicators!Q3</f>
        <v>REGULATORY FRAMEWORK</v>
      </c>
      <c r="F18">
        <f t="shared" si="10"/>
        <v>34.375</v>
      </c>
      <c r="G18" t="str">
        <f t="shared" si="11"/>
        <v/>
      </c>
      <c r="H18">
        <f t="shared" si="11"/>
        <v>84.375</v>
      </c>
      <c r="I18">
        <f t="shared" si="10"/>
        <v>25</v>
      </c>
      <c r="K18" t="str">
        <f t="shared" si="12"/>
        <v/>
      </c>
      <c r="L18" t="str">
        <f t="shared" si="13"/>
        <v/>
      </c>
      <c r="N18">
        <f t="shared" si="14"/>
        <v>9.4</v>
      </c>
      <c r="O18" s="41" t="str">
        <f t="shared" ref="O18:O39" si="16">IF(N18="-","-",IF(N18&gt;0,CONCATENATE("+",TEXT(N18,"0.0")),IF(N18=0,"-",CONCATENATE("-",TEXT(ABS(N18),"0.0")))))</f>
        <v>+9.4</v>
      </c>
      <c r="P18">
        <f t="shared" si="15"/>
        <v>0</v>
      </c>
      <c r="R18" t="str">
        <f>IF(C18&lt;2,"",INDEX(text_2008,$B18,K$15))</f>
        <v/>
      </c>
    </row>
    <row r="19" spans="1:18">
      <c r="A19" t="str">
        <f>tblIndicators!A4</f>
        <v>LEGF01</v>
      </c>
      <c r="B19">
        <f t="shared" si="9"/>
        <v>3</v>
      </c>
      <c r="C19">
        <f>tblIndicators!C4</f>
        <v>2</v>
      </c>
      <c r="D19" t="str">
        <f>tblIndicators!I4</f>
        <v>0-4, where 4=best and 0=worst</v>
      </c>
      <c r="E19" t="str">
        <f>tblIndicators!Q4</f>
        <v xml:space="preserve">   Consistency and quality of PPP regulations</v>
      </c>
      <c r="F19">
        <f t="shared" si="10"/>
        <v>25</v>
      </c>
      <c r="G19" t="str">
        <f t="shared" si="11"/>
        <v/>
      </c>
      <c r="H19">
        <f t="shared" si="11"/>
        <v>100</v>
      </c>
      <c r="I19">
        <f t="shared" si="10"/>
        <v>25</v>
      </c>
      <c r="K19" t="str">
        <f t="shared" si="12"/>
        <v xml:space="preserve">Uruguay established a legal framework for public works concessions in 1984 with Law No 15.637. This framework is of a general nature, leaving project details to be set with each contract. Further details were established in public purchase laws, which have been modified several times. The latest version regulates all public purchases and is in the Texto Ordenado de Contabilidad y Administración Financiera (Tocaf, the Public Purchase Law). These regulations require adherence to financial equilibrium and do not allow the use of arbitration mechanisms to resolve conflicts. Decree 442 regulates “private initiatives”, and the regulation of private initiatives is cumbersome as it generates an excessive incentive for private sector bidders and also establishes a right of first refusal that inhibits competitors. There are also laws that apply to electricity, water, seaport, railroad and airport projects. Many of these laws established state monopolies in the provision of certain services in these areas. 
 Nevertheless, Laws No. 15.637 and 17.555 do permit investment in the transport sector and the drinking water segment at various levels of government. When a 1992 referendum established that the majority of the population was against the privatisation of state enterprises, concessions became one of the few options for introducing private capital in infrastructure development. Using the 1984 law as a foundation, road concessions and a concession for a transport corridor in Rio de la Plata were developed in the 1990s. A later law from 1991 reorganised the port sector into regional firms and included the option of concessioning specific terminals within the jurisdiction of each firm. In the water sector, Law No. 17.555 allowed Obras Sanitarias del Estado (OSE, the state sanitation works firm), to award concessions in cities or specific regions. After the first concessions in Maldonado, however, a political movement forced a constitutional reform that made all hydrological resources subject to social considerations before economic ones and authorised the termination of any concession that threatened this principle. 
In 2001 the government developed a new road concessions system, called the Roads Mega Concession. In this scheme, the Ministry of Transport and Public Works created a National Road Company (Corporación Vial del Uruguay – CVU) as the operator of more than 1,000 km of roads, although its network will be expanded to include other roads once their concessions expire. This company can incorporate up to 40% private capital and is responsible for contracting private construction companies for the development and maintenance of the network, and must obtain financing from the market or from government subsidies. However, this scheme is in reality equivalent to public investment, since no additional risk is transferred to the private sector while borrowing is classified as off-public balance sheet, reducing public accountability. In reality, this creates a de-facto state monopoly without any formal regulator to manage the main road networks. This is a radical shift from the road concessions that were implemented in Uruguay at the beginning of the 1990s. 
More recently, the government has indicated interest in promoting a national PPP programme to facilitate more effective infrastructure investment, and has been preparing legal reforms to the existing PPP framework, which still need to be debated in Congress, to improve the PPP frameworks. 
Law No. 16.832 opened electricity generation to private investment and separated the regulatory and entrepreneurial roles of the state. Nevertheless, electricity regulations established that services in the segment can only be offered to consumers by Administración Nacional de Usinas y Transmisión Electric (UTE, the state electricity company). This company could contract out energy generation capacity with the private sector using its transmission and distribution capacity for selling to end users. A new policy to attract private investment in renewable energy was defined in 2007, where UTE is the only buyer of the energy generated. The government is promoting private investment of micro-hydraulic, biomass and wind energy generators, while restricting private participation in traditional generation methods. Although total private supply is growing, it represents less than 10% of the energy generated at present. </v>
      </c>
      <c r="L19" t="str">
        <f t="shared" si="13"/>
        <v>Uruguay established a legal framework for public works concessions in 1984 with Law No 15.637. This framework is of a general nature, leaving project details to be set with eac …</v>
      </c>
      <c r="N19">
        <f t="shared" si="14"/>
        <v>0</v>
      </c>
      <c r="O19" s="41" t="str">
        <f t="shared" si="16"/>
        <v>-</v>
      </c>
      <c r="P19">
        <f t="shared" si="15"/>
        <v>0</v>
      </c>
      <c r="R19" t="str">
        <f t="shared" ref="R19:R42" si="17">IF(C19&lt;2,"",INDEX(text_2009,$B19,K$15))</f>
        <v xml:space="preserve">Uruguay established a legal framework for public works concessions in 1984 with Law No 15.637. This framework is of a general nature, leaving project details to be set with each contract. Further details were established in public purchase laws, which have been modified several times. The latest version regulates all public purchases and is in the Texto Ordenado de Contabilidad y Administración Financiera (Tocaf, the Public Purchase Law). These regulations require adherence to financial equilibrium and do not allow the use of arbitration mechanisms to resolve conflicts. Decree 442 regulates “private initiatives”, and the regulation of private initiatives is cumbersome as it generates an excessive incentive for private sector bidders and also establishes a right of first refusal that inhibits competitors. There are also laws that apply to electricity, water, seaport, railroad and airport projects. Many of these laws established state monopolies in the provision of certain services in these areas. 
 Nevertheless, Laws No. 15.637 and 17.555 do permit investment in the transport sector and the drinking water segment at various levels of government. When a 1992 referendum established that the majority of the population was against the privatisation of state enterprises, concessions became one of the few options for introducing private capital in infrastructure development. Using the 1984 law as a foundation, road concessions and a concession for a transport corridor in Rio de la Plata were developed in the 1990s. A later law from 1991 reorganised the port sector into regional firms and included the option of concessioning specific terminals within the jurisdiction of each firm. In the water sector, Law No. 17.555 allowed Obras Sanitarias del Estado (OSE, the state sanitation works firm), to award concessions in cities or specific regions. After the first concessions in Maldonado, however, a political movement forced a constitutional reform that made all hydrological resources subject to social considerations before economic ones and authorised the termination of any concession that threatened this principle. 
In 2001 the government developed a new road concessions system, called the Roads Mega Concession. In this scheme, the Ministry of Transport and Public Works created a National Road Company (Corporación Vial del Uruguay – CVU) as the operator of more than 1,000 km of roads, although its network will be expanded to include other roads once their concessions expire. This company can incorporate up to 40% private capital and is responsible for contracting private construction companies for the development and maintenance of the network, and must obtain financing from the market or from government subsidies. However, this scheme is in reality equivalent to public investment, since no additional risk is transferred to the private sector while borrowing is classified as off-public balance sheet, reducing public accountability. In reality, this creates a de-facto state monopoly without any formal regulator to manage the main road networks. This is a radical shift from the road concessions that were implemented in Uruguay at the beginning of the 1990s. 
More recently, the government has indicated interest in promoting a national PPP programme to facilitate more effective infrastructure investment, and has been preparing legal reforms to the existing PPP framework, which still need to be debated in Congress, to improve the PPP frameworks. 
Law No. 16.832 opened electricity generation to private investment and separated the regulatory and entrepreneurial roles of the state. Nevertheless, electricity regulations established that services in the segment can only be offered to consumers by Administración Nacional de Usinas y Transmisión Electric (UTE, the state electricity company). This company could contract out energy generation capacity with the private sector using its transmission and distribution capacity for selling to end users. A new policy to attract private investment in renewable energy was defined in 2007, where UTE is the only buyer of the energy generated. The government is promoting private investment of micro-hydraulic, biomass and wind energy generators, while restricting private participation in traditional generation methods. Although total private supply is growing, it represents less than 10% of the energy generated at present. </v>
      </c>
    </row>
    <row r="20" spans="1:18">
      <c r="A20" t="str">
        <f>tblIndicators!A5</f>
        <v>LEGF02</v>
      </c>
      <c r="B20">
        <f t="shared" si="9"/>
        <v>4</v>
      </c>
      <c r="C20">
        <f>tblIndicators!C5</f>
        <v>2</v>
      </c>
      <c r="D20" t="str">
        <f>tblIndicators!I5</f>
        <v>0-4, where 4=best and 0=worst</v>
      </c>
      <c r="E20" t="str">
        <f>tblIndicators!Q5</f>
        <v xml:space="preserve">   Effective PPP selection and decision making</v>
      </c>
      <c r="F20">
        <f t="shared" si="10"/>
        <v>50</v>
      </c>
      <c r="G20" t="str">
        <f t="shared" si="11"/>
        <v/>
      </c>
      <c r="H20">
        <f t="shared" si="11"/>
        <v>75</v>
      </c>
      <c r="I20">
        <f t="shared" si="10"/>
        <v>25</v>
      </c>
      <c r="K20" t="str">
        <f t="shared" si="12"/>
        <v xml:space="preserve">The Ministry of Economy and Finance and the Planning and Budgeting Office have responsibility for supervising the public investment process. The process of planning, prioritising and evaluating public investment is in the early stages of development; only in the last five years has a public investment system, the Nacional Plan de Inversiones (NIP) been created at a national level, allowing for project and investment evaluation schemes to be standardised. Currently, concession projects do not undergo a rigorous evaluation process and are not subject to comparisons with public investment alternatives. Accounting for contingent liabilities and for deferred payments has not been harmonised with general public investment accounting practices. The structures of quasi-state entities, such as the National Road Corporation, have worsened fiscal accounting practices, since investments carried out with the support of the state are considered outside the government budget (as off-balance-sheet items). Water and electricity have remained as public investment. Renewable energy is an exception, as UTE is calling for bids that are generating significant competition. </v>
      </c>
      <c r="L20" t="str">
        <f t="shared" si="13"/>
        <v>The Ministry of Economy and Finance and the Planning and Budgeting Office have responsibility for supervising the public investment process. The process of planning, prioritisi …</v>
      </c>
      <c r="N20">
        <f t="shared" si="14"/>
        <v>25</v>
      </c>
      <c r="O20" s="41" t="str">
        <f t="shared" si="16"/>
        <v>+25.0</v>
      </c>
      <c r="P20">
        <f t="shared" si="15"/>
        <v>0</v>
      </c>
      <c r="R20" t="str">
        <f t="shared" si="17"/>
        <v xml:space="preserve">The Ministry of Economy and Finance and the Planning and Budgeting Office have responsibility for supervising the public investment process. The process of planning, prioritising and evaluating public investment is in the early stages of development; only in the last five years has a public investment system, the Nacional Plan de Inversiones (NIP) been created at a national level, allowing for project and investment evaluation schemes to be standardised. Currently, concession projects do not undergo a rigorous evaluation process and are not subject to comparisons with public investment alternatives. Accounting for contingent liabilities and for deferred payments has not been harmonised with general public investment accounting practices. The structures of quasi-state entities, such as the National Road Corporation, have worsened fiscal accounting practices, since investments carried out with the support of the state are considered outside the government budget (as off-balance-sheet items). Water and electricity have remained as public investment. Renewable energy is an exception, as UTE is calling for bids that are generating significant competition. </v>
      </c>
    </row>
    <row r="21" spans="1:18">
      <c r="A21" t="str">
        <f>tblIndicators!A6</f>
        <v>LEGF03</v>
      </c>
      <c r="B21">
        <f t="shared" si="9"/>
        <v>5</v>
      </c>
      <c r="C21">
        <f>tblIndicators!C6</f>
        <v>2</v>
      </c>
      <c r="D21" t="str">
        <f>tblIndicators!I6</f>
        <v>0-4, where 4=best and 0=worst</v>
      </c>
      <c r="E21" t="str">
        <f>tblIndicators!Q6</f>
        <v xml:space="preserve">   Fairness/openness of bids, contract changes</v>
      </c>
      <c r="F21">
        <f t="shared" si="10"/>
        <v>50</v>
      </c>
      <c r="G21" t="str">
        <f t="shared" si="11"/>
        <v/>
      </c>
      <c r="H21">
        <f t="shared" si="11"/>
        <v>75</v>
      </c>
      <c r="I21">
        <f t="shared" si="10"/>
        <v>25</v>
      </c>
      <c r="K21" t="str">
        <f t="shared" si="12"/>
        <v xml:space="preserve">Foreign and domestic investors are generally treated equally. But starting in January 2009, in light of the global financial crisis, domestic firms were granted advantages over foreign ones for bidding. Political interference often stymies the bidding process and obscures transparency. Multiple factors are considered in contract awards, reducing efficiency and increasing the risk of non-compliance after a contract is signed. Contract renegotiations are allowed, but they are not regulated. Government discretion and political interference is not restricted or addressed by any laws. The Tocaf also allows direct negotiation of concessions. 
One of the problems that severely affects public bidding processes is the opportunistic utilisation of mechanisms that paralyse bidding processes. In light of this, the government has decided to utilise state-owned companies and create new companies under private law and put their shares out for tender, since bidders that participate in the process cannot paralyse the allocation process. This scheme is generally not appropriate for awarding infrastructure concessions, however, and should be used only for more standardised projects. 
The government is opening removable energy generation to the private sector in a transparent and competitive manner, with UTE making international calls for the presentation of projects. </v>
      </c>
      <c r="L21" t="str">
        <f t="shared" si="13"/>
        <v>Foreign and domestic investors are generally treated equally. But starting in January 2009, in light of the global financial crisis, domestic firms were granted advantages over …</v>
      </c>
      <c r="N21">
        <f t="shared" si="14"/>
        <v>25</v>
      </c>
      <c r="O21" s="41" t="str">
        <f t="shared" si="16"/>
        <v>+25.0</v>
      </c>
      <c r="P21">
        <f t="shared" si="15"/>
        <v>0</v>
      </c>
      <c r="R21" t="str">
        <f t="shared" si="17"/>
        <v xml:space="preserve">Foreign and domestic investors are generally treated equally. But starting in January 2009, in light of the global financial crisis, domestic firms were granted advantages over foreign ones for bidding. Political interference often stymies the bidding process and obscures transparency. Multiple factors are considered in contract awards, reducing efficiency and increasing the risk of non-compliance after a contract is signed. Contract renegotiations are allowed, but they are not regulated. Government discretion and political interference is not restricted or addressed by any laws. The Tocaf also allows direct negotiation of concessions. 
One of the problems that severely affects public bidding processes is the opportunistic utilisation of mechanisms that paralyse bidding processes. In light of this, the government has decided to utilise state-owned companies and create new companies under private law and put their shares out for tender, since bidders that participate in the process cannot paralyse the allocation process. This scheme is generally not appropriate for awarding infrastructure concessions, however, and should be used only for more standardised projects. 
The government is opening removable energy generation to the private sector in a transparent and competitive manner, with UTE making international calls for the presentation of projects. </v>
      </c>
    </row>
    <row r="22" spans="1:18">
      <c r="A22" t="str">
        <f>tblIndicators!A7</f>
        <v>LEGF04</v>
      </c>
      <c r="B22">
        <f t="shared" si="9"/>
        <v>6</v>
      </c>
      <c r="C22">
        <f>tblIndicators!C7</f>
        <v>2</v>
      </c>
      <c r="D22" t="str">
        <f>tblIndicators!I7</f>
        <v>0-4, where 4=best and 0=worst</v>
      </c>
      <c r="E22" t="str">
        <f>tblIndicators!Q7</f>
        <v xml:space="preserve">   Dispute resolution mechanisms</v>
      </c>
      <c r="F22">
        <f t="shared" si="10"/>
        <v>25</v>
      </c>
      <c r="G22" t="str">
        <f t="shared" si="11"/>
        <v/>
      </c>
      <c r="H22">
        <f t="shared" si="11"/>
        <v>75</v>
      </c>
      <c r="I22">
        <f t="shared" si="10"/>
        <v>25</v>
      </c>
      <c r="K22" t="str">
        <f t="shared" si="12"/>
        <v>Uruguay's concessions law and Tocaf do not establish arbitration as a mechanism for resolving controversies. Justice tribunals must be used to resolve disputes with the state, and although these tribunals have reasonable levels of independence, processes are slow.</v>
      </c>
      <c r="L22" t="str">
        <f t="shared" si="13"/>
        <v>Uruguay's concessions law and Tocaf do not establish arbitration as a mechanism for resolving controversies. Justice tribunals must be used to resolve disputes with the state, …</v>
      </c>
      <c r="N22">
        <f t="shared" si="14"/>
        <v>0</v>
      </c>
      <c r="O22" s="41" t="str">
        <f t="shared" si="16"/>
        <v>-</v>
      </c>
      <c r="P22">
        <f t="shared" si="15"/>
        <v>0</v>
      </c>
      <c r="R22" t="str">
        <f t="shared" si="17"/>
        <v>Uruguay's concessions law and Tocaf do not establish arbitration as a mechanism for resolving controversies. Justice tribunals must be used to resolve disputes with the state, and although these tribunals have reasonable levels of independence, processes are slow.</v>
      </c>
    </row>
    <row r="23" spans="1:18">
      <c r="A23" t="str">
        <f>tblIndicators!A8</f>
        <v>INST</v>
      </c>
      <c r="B23">
        <f t="shared" si="9"/>
        <v>7</v>
      </c>
      <c r="C23">
        <f>tblIndicators!C8</f>
        <v>1</v>
      </c>
      <c r="D23" t="str">
        <f>tblIndicators!I8</f>
        <v>0 - 100 where 100= best and 0=worst</v>
      </c>
      <c r="E23" t="str">
        <f>tblIndicators!Q8</f>
        <v>INSTITUTIONAL FRAMEWORK</v>
      </c>
      <c r="F23">
        <f t="shared" si="10"/>
        <v>33.333333333333329</v>
      </c>
      <c r="G23" t="str">
        <f t="shared" si="11"/>
        <v/>
      </c>
      <c r="H23">
        <f t="shared" si="11"/>
        <v>75</v>
      </c>
      <c r="I23">
        <f t="shared" si="10"/>
        <v>24.999999999999996</v>
      </c>
      <c r="K23" t="str">
        <f t="shared" si="12"/>
        <v/>
      </c>
      <c r="L23" t="str">
        <f t="shared" si="13"/>
        <v/>
      </c>
      <c r="N23">
        <f t="shared" si="14"/>
        <v>0</v>
      </c>
      <c r="O23" s="41" t="str">
        <f t="shared" si="16"/>
        <v>-</v>
      </c>
      <c r="P23">
        <f t="shared" si="15"/>
        <v>0</v>
      </c>
      <c r="R23" t="str">
        <f t="shared" si="17"/>
        <v/>
      </c>
    </row>
    <row r="24" spans="1:18">
      <c r="A24" t="str">
        <f>tblIndicators!A9</f>
        <v>INST01</v>
      </c>
      <c r="B24">
        <f t="shared" si="9"/>
        <v>8</v>
      </c>
      <c r="C24">
        <f>tblIndicators!C9</f>
        <v>2</v>
      </c>
      <c r="D24" t="str">
        <f>tblIndicators!I9</f>
        <v>0-4, where 4=best and 0=worst</v>
      </c>
      <c r="E24" t="str">
        <f>tblIndicators!Q9</f>
        <v xml:space="preserve">   Quality of institutional design</v>
      </c>
      <c r="F24">
        <f t="shared" si="10"/>
        <v>25</v>
      </c>
      <c r="G24" t="str">
        <f t="shared" si="11"/>
        <v/>
      </c>
      <c r="H24">
        <f t="shared" si="11"/>
        <v>75</v>
      </c>
      <c r="I24">
        <f t="shared" si="10"/>
        <v>25</v>
      </c>
      <c r="K24" t="str">
        <f t="shared" si="12"/>
        <v xml:space="preserve">Uruguay has not created an institutional framework that can facilitate competitive or efficient private investment in infrastructure. The port industry is the most developed, albeit with an inconsistent institutional framework. Port authorities concession out specific terminals and encourage private competition for the right to provide services. However, the Port Authority of Montevideo has been transformed into a firm whose shares can be sold to the private sector (up to 40% of total value). This confuses the firm’s role as a regulator for the sector with its role as the main service provider with monopoly power. In the transport sector, the Corporación Vial del Uruguay, a public firm was created to control a significant share of the road network; like the Port Authority of Montevideo, it can incorporate private capital and is not subject to a regulatory counterweight. Once completed, the roadway concessions now taking place may be incorporated into the Mega Concession system. The Mega Concession company is controlled by the Corporación Nacional de Desarrollo, (CND, the National Development Corporation), a quasi-fiscal entity created by the government, which means that it can obtain funds and subsidies from government budgets but its debt is not counted as public debt. This form of off-balance-sheet financing reduces fiscal accountability and discipline. The restructuring of the CND will create an Infrastructure Agency that will eventually enhance private investment in infrastructure through public-private partnership (PPP) schemes. The recently elected government is considering reducing the role of the CND as a provider of infrastructure and turning it into a facilitator of private sector investment. 
The Ministry of Transport and Public Works consolidates various responsibilities under its authority, as it must set policies in the sector, execute public investment for projects and regulate transport services. In the drinking water industry, the private concessioning process has been discontinued, and OSE and the municipality of the capital, Montevideo, have the responsibility for all water services throughout the country. The powers of the Unidad Reguladora de los Servicios de Energía y Aguas de Uruguay (URSEA, the electricity industry regulator) have been extended to water in the hope that this body will exercise a supervisory role for service quality. In the electricity generation segment, the restructuring of 1997 (Law No. 16.832) allows private investment in generation and regulates the segment in a fashion similar to those of other Latin American countries. Nevertheless, as UTE has not divested its generation capacity, the segment remains vertically integrated. </v>
      </c>
      <c r="L24" t="str">
        <f t="shared" si="13"/>
        <v>Uruguay has not created an institutional framework that can facilitate competitive or efficient private investment in infrastructure. The port industry is the most developed, a …</v>
      </c>
      <c r="N24">
        <f t="shared" si="14"/>
        <v>0</v>
      </c>
      <c r="O24" s="41" t="str">
        <f t="shared" si="16"/>
        <v>-</v>
      </c>
      <c r="P24">
        <f t="shared" si="15"/>
        <v>0</v>
      </c>
      <c r="R24" t="str">
        <f t="shared" si="17"/>
        <v xml:space="preserve">Uruguay has not created an institutional framework that can facilitate competitive or efficient private investment in infrastructure. The port industry is the most developed, albeit with an inconsistent institutional framework. Port authorities concession out specific terminals and encourage private competition for the right to provide services. However, the Port Authority of Montevideo has been transformed into a firm whose shares can be sold to the private sector (up to 40% of total value). This confuses the firm’s role as a regulator for the sector with its role as the main service provider with monopoly power. In the transport sector, the Corporación Vial del Uruguay, a public firm was created to control a significant share of the road network; like the Port Authority of Montevideo, it can incorporate private capital and is not subject to a regulatory counterweight. Once completed, the roadway concessions now taking place may be incorporated into the Mega Concession system. The Mega Concession company is controlled by the Corporación Nacional de Desarrollo, (CND, the National Development Corporation), a quasi-fiscal entity created by the government, which means that it can obtain funds and subsidies from government budgets but its debt is not counted as public debt. This form of off-balance-sheet financing reduces fiscal accountability and discipline. The restructuring of the CND will create an Infrastructure Agency that will eventually enhance private investment in infrastructure through public-private partnership (PPP) schemes. The recently elected government is considering reducing the role of the CND as a provider of infrastructure and turning it into a facilitator of private sector investment. 
The Ministry of Transport and Public Works consolidates various responsibilities under its authority, as it must set policies in the sector, execute public investment for projects and regulate transport services. In the drinking water industry, the private concessioning process has been discontinued, and OSE and the municipality of the capital, Montevideo, have the responsibility for all water services throughout the country. The powers of the Unidad Reguladora de los Servicios de Energía y Aguas de Uruguay (URSEA, the electricity industry regulator) have been extended to water in the hope that this body will exercise a supervisory role for service quality. In the electricity generation segment, the restructuring of 1997 (Law No. 16.832) allows private investment in generation and regulates the segment in a fashion similar to those of other Latin American countries. Nevertheless, as UTE has not divested its generation capacity, the segment remains vertically integrated. </v>
      </c>
    </row>
    <row r="25" spans="1:18">
      <c r="A25" t="str">
        <f>tblIndicators!A10</f>
        <v>INST02</v>
      </c>
      <c r="B25">
        <f t="shared" si="9"/>
        <v>9</v>
      </c>
      <c r="C25">
        <f>tblIndicators!C10</f>
        <v>2</v>
      </c>
      <c r="D25" t="str">
        <f>tblIndicators!I10</f>
        <v>0-4, where 4=best and 0=worst</v>
      </c>
      <c r="E25" t="str">
        <f>tblIndicators!Q10</f>
        <v xml:space="preserve">   PPP contract, hold-up and expropriation risk</v>
      </c>
      <c r="F25">
        <f t="shared" si="10"/>
        <v>50</v>
      </c>
      <c r="G25" t="str">
        <f t="shared" si="11"/>
        <v/>
      </c>
      <c r="H25">
        <f t="shared" si="11"/>
        <v>75</v>
      </c>
      <c r="I25">
        <f t="shared" si="10"/>
        <v>25</v>
      </c>
      <c r="K25" t="str">
        <f t="shared" si="12"/>
        <v xml:space="preserve">Uruguay has a judicial system with a reasonable degree of independence from political influence. Processes are slow, however, and there is no capacity within the judiciary to handle technical PPP issues that arise during conflicts over concessions. The Concessions Law does not establish an arbitration mechanism, which means increased legal risk for these projects. Creditors' rights are not well protected in case of a failure on the part of the concessionaire. Nor are step-in rights established in legislation. Nevertheless, Law No. 17.703 established the mechanism of a financial trust that could be used to improve the position of creditors, separating specific assets for the repayment of determined debt obligations. In practice, the Uruguayan government has had a track record of respecting investors' rights. </v>
      </c>
      <c r="L25" t="str">
        <f t="shared" si="13"/>
        <v>Uruguay has a judicial system with a reasonable degree of independence from political influence. Processes are slow, however, and there is no capacity within the judiciary to h …</v>
      </c>
      <c r="N25">
        <f t="shared" si="14"/>
        <v>0</v>
      </c>
      <c r="O25" s="41" t="str">
        <f t="shared" si="16"/>
        <v>-</v>
      </c>
      <c r="P25">
        <f t="shared" si="15"/>
        <v>0</v>
      </c>
      <c r="R25" t="str">
        <f t="shared" si="17"/>
        <v xml:space="preserve">Uruguay has a judicial system with a reasonable degree of independence from political influence. Processes are slow, however, and there is no capacity within the judiciary to handle technical PPP issues that arise during conflicts over concessions. The Concessions Law does not establish an arbitration mechanism, which means increased legal risk for these projects. Creditors' rights are not well protected in case of a failure on the part of the concessionaire. Nor are step-in rights established in legislation. Nevertheless, Law No. 17.703 established the mechanism of a financial trust that could be used to improve the position of creditors, separating specific assets for the repayment of determined debt obligations. In practice, the Uruguayan government has had a track record of respecting investors' rights. </v>
      </c>
    </row>
    <row r="26" spans="1:18">
      <c r="A26" t="str">
        <f>tblIndicators!A11</f>
        <v>OPER</v>
      </c>
      <c r="B26">
        <f t="shared" si="9"/>
        <v>10</v>
      </c>
      <c r="C26">
        <f>tblIndicators!C11</f>
        <v>1</v>
      </c>
      <c r="D26" t="str">
        <f>tblIndicators!I11</f>
        <v>0 - 100 where 100= best and 0=worst</v>
      </c>
      <c r="E26" t="str">
        <f>tblIndicators!Q11</f>
        <v>OPERATIONAL MATURITY</v>
      </c>
      <c r="F26">
        <f t="shared" si="10"/>
        <v>19.345238095238095</v>
      </c>
      <c r="G26" t="str">
        <f t="shared" si="11"/>
        <v/>
      </c>
      <c r="H26">
        <f t="shared" si="11"/>
        <v>72.172619047619051</v>
      </c>
      <c r="I26">
        <f t="shared" si="10"/>
        <v>15.625</v>
      </c>
      <c r="K26" t="str">
        <f t="shared" si="12"/>
        <v/>
      </c>
      <c r="L26" t="str">
        <f t="shared" si="13"/>
        <v/>
      </c>
      <c r="N26">
        <f t="shared" si="14"/>
        <v>5.6</v>
      </c>
      <c r="O26" s="41" t="str">
        <f t="shared" si="16"/>
        <v>+5.6</v>
      </c>
      <c r="P26">
        <f t="shared" si="15"/>
        <v>0</v>
      </c>
      <c r="R26" t="str">
        <f t="shared" si="17"/>
        <v/>
      </c>
    </row>
    <row r="27" spans="1:18">
      <c r="A27" t="str">
        <f>tblIndicators!A12</f>
        <v>OPER01</v>
      </c>
      <c r="B27">
        <f t="shared" si="9"/>
        <v>11</v>
      </c>
      <c r="C27">
        <f>tblIndicators!C12</f>
        <v>2</v>
      </c>
      <c r="D27" t="str">
        <f>tblIndicators!I12</f>
        <v>0-4, where 4=best and 0=worst</v>
      </c>
      <c r="E27" t="str">
        <f>tblIndicators!Q12</f>
        <v xml:space="preserve">   Public capacity to plan and oversee PPPs</v>
      </c>
      <c r="F27">
        <f t="shared" si="10"/>
        <v>50</v>
      </c>
      <c r="G27" t="str">
        <f t="shared" si="11"/>
        <v/>
      </c>
      <c r="H27">
        <f t="shared" si="11"/>
        <v>75</v>
      </c>
      <c r="I27">
        <f t="shared" si="10"/>
        <v>25</v>
      </c>
      <c r="K27" t="str">
        <f t="shared" si="12"/>
        <v xml:space="preserve">The Ministry of Transport and Public Works has limited capacity to prepare and supervise projects, and little capacity has been developed for the transport and water sectors. This situation was exacerbated by the creation of the Mega Concession scheme, which initially incorporated the technical personnel of the Dirección Nacional de Vialidad (DNV, the National Roads Department). The Mega Concession scheme transferred more than 1,000 km worth of roads to the jurisdiction of a state firm, Corporación Vial del Uruguay (CVU). At the same time, the technical capacity for road concessions was also transferred to CVU, weakening the capacity of the Ministry and the DNV to develop projects and implicitly placing new projects in the hands of the CVU. The involvement of private concessionaires in toll road concessions as an alternative to the Mega Concession scheme is a remote possibility, unless the Mega Concession starts breaking its network into toll road concession projects to involve private operators directly. 
Currently, there are two important industries with privately operated concessions in Uruguay: ports and airports. Uruguay has granted a concession for the development of the international airport and the main container terminal. Both projects have increased the logistic capability of the country, showing some capacity for designing concessions. The new government has mentioned the intention to continue the policy of granting concessions to the private sector in airport and seaport infrastructure. Also, the possibility of a private concession in the railroad industry is under discussion and there has been some interest from the CND in promoting concessions for the private sector to manage road networks. Nevertheless, a significant effort will have to be made to strengthen public sector capacity for successful concessions planning, evaluation and project structuring. </v>
      </c>
      <c r="L27" t="str">
        <f t="shared" si="13"/>
        <v>The Ministry of Transport and Public Works has limited capacity to prepare and supervise projects, and little capacity has been developed for the transport and water sectors. T …</v>
      </c>
      <c r="N27">
        <f t="shared" si="14"/>
        <v>25</v>
      </c>
      <c r="O27" s="41" t="str">
        <f t="shared" si="16"/>
        <v>+25.0</v>
      </c>
      <c r="P27">
        <f t="shared" si="15"/>
        <v>0</v>
      </c>
      <c r="R27" t="str">
        <f t="shared" si="17"/>
        <v xml:space="preserve">The Ministry of Transport and Public Works has limited capacity to prepare and supervise projects, and little capacity has been developed for the transport and water sectors. This situation was exacerbated by the creation of the Mega Concession scheme, which initially incorporated the technical personnel of the Dirección Nacional de Vialidad (DNV, the National Roads Department). The Mega Concession scheme transferred more than 1,000 km worth of roads to the jurisdiction of a state firm, Corporación Vial del Uruguay (CVU). At the same time, the technical capacity for road concessions was also transferred to CVU, weakening the capacity of the Ministry and the DNV to develop projects and implicitly placing new projects in the hands of the CVU. The involvement of private concessionaires in toll road concessions as an alternative to the Mega Concession scheme is a remote possibility, unless the Mega Concession starts breaking its network into toll road concession projects to involve private operators directly. 
Currently, there are two important industries with privately operated concessions in Uruguay: ports and airports. Uruguay has granted a concession for the development of the international airport and the main container terminal. Both projects have increased the logistic capability of the country, showing some capacity for designing concessions. The new government has mentioned the intention to continue the policy of granting concessions to the private sector in airport and seaport infrastructure. Also, the possibility of a private concession in the railroad industry is under discussion and there has been some interest from the CND in promoting concessions for the private sector to manage road networks. Nevertheless, a significant effort will have to be made to strengthen public sector capacity for successful concessions planning, evaluation and project structuring. </v>
      </c>
    </row>
    <row r="28" spans="1:18">
      <c r="A28" t="str">
        <f>tblIndicators!A13</f>
        <v>OPER02</v>
      </c>
      <c r="B28">
        <f t="shared" si="9"/>
        <v>12</v>
      </c>
      <c r="C28">
        <f>tblIndicators!C13</f>
        <v>2</v>
      </c>
      <c r="D28" t="str">
        <f>tblIndicators!I13</f>
        <v>0-4, where 4=best and 0=worst</v>
      </c>
      <c r="E28" t="str">
        <f>tblIndicators!Q13</f>
        <v xml:space="preserve">   Methods and criteria for awarding projects </v>
      </c>
      <c r="F28">
        <f t="shared" si="10"/>
        <v>25</v>
      </c>
      <c r="G28" t="str">
        <f t="shared" si="11"/>
        <v/>
      </c>
      <c r="H28">
        <f t="shared" si="11"/>
        <v>100</v>
      </c>
      <c r="I28">
        <f t="shared" si="10"/>
        <v>25</v>
      </c>
      <c r="K28" t="str">
        <f t="shared" si="12"/>
        <v xml:space="preserve">The four roadways and port concessions were awarded by a competitive bidding process, although the criteria to award bids have not been consistent. In some cases, a multitude of criteria have been used, weighing both economic and technical considerations. In other cases, the net present value of revenue of the concession has been used as the sole criterion. The Mega Concession scheme constitutes a direct transfer of almost 2,000 km worth of roads to CVU's jurisdiction (rather than undergoing a bidding process). This state firm operates more like a private firm than a public one in terms of the process used to award projects and obtains financing, despite the fact that the firm itself is funded mostly through public budgets. Tocaf legislation allows the direct award by public entities of infrastructure concessions in exceptional situations. Nevertheless, it is not advisable to utilise PPP schemes for urgent infrastructure development, given the long-term nature of the contracts and the need to have well-thought-out projects. Also, CND could obtain concessions by direct negotiation and transferring them to the private sector without having to abide by public purchase transparency requirements. </v>
      </c>
      <c r="L28" t="str">
        <f t="shared" si="13"/>
        <v>The four roadways and port concessions were awarded by a competitive bidding process, although the criteria to award bids have not been consistent. In some cases, a multitude o …</v>
      </c>
      <c r="N28">
        <f t="shared" si="14"/>
        <v>0</v>
      </c>
      <c r="O28" s="41" t="str">
        <f t="shared" si="16"/>
        <v>-</v>
      </c>
      <c r="P28">
        <f t="shared" si="15"/>
        <v>0</v>
      </c>
      <c r="R28" t="str">
        <f t="shared" si="17"/>
        <v xml:space="preserve">The four roadways and port concessions were awarded by a competitive bidding process, although the criteria to award bids have not been consistent. In some cases, a multitude of criteria have been used, weighing both economic and technical considerations. In other cases, the net present value of revenue of the concession has been used as the sole criterion. The Mega Concession scheme constitutes a direct transfer of almost 2,000 km worth of roads to CVU's jurisdiction (rather than undergoing a bidding process). This state firm operates more like a private firm than a public one in terms of the process used to award projects and obtains financing, despite the fact that the firm itself is funded mostly through public budgets. Tocaf legislation allows the direct award by public entities of infrastructure concessions in exceptional situations. Nevertheless, it is not advisable to utilise PPP schemes for urgent infrastructure development, given the long-term nature of the contracts and the need to have well-thought-out projects. Also, CND could obtain concessions by direct negotiation and transferring them to the private sector without having to abide by public purchase transparency requirements. </v>
      </c>
    </row>
    <row r="29" spans="1:18">
      <c r="A29" t="str">
        <f>tblIndicators!A14</f>
        <v>OPER03</v>
      </c>
      <c r="B29">
        <f t="shared" si="9"/>
        <v>13</v>
      </c>
      <c r="C29">
        <f>tblIndicators!C14</f>
        <v>2</v>
      </c>
      <c r="D29" t="str">
        <f>tblIndicators!I14</f>
        <v>0-4, where 4=best and 0=worst</v>
      </c>
      <c r="E29" t="str">
        <f>tblIndicators!Q14</f>
        <v xml:space="preserve">   Regulators' risk allocation record</v>
      </c>
      <c r="F29">
        <f t="shared" si="10"/>
        <v>25</v>
      </c>
      <c r="G29" t="str">
        <f t="shared" si="11"/>
        <v/>
      </c>
      <c r="H29">
        <f t="shared" si="11"/>
        <v>75</v>
      </c>
      <c r="I29">
        <f t="shared" si="10"/>
        <v>0</v>
      </c>
      <c r="K29" t="str">
        <f t="shared" si="12"/>
        <v xml:space="preserve">The four roadway and port concessions have transferred commercial project risk back to the state. The financial crisis triggered by Argentina's default in the early 2000s severely affected Uruguay, and created an external shock of enough magnitude to endanger the viability of the original schemes that were negotiated. The financial crisis led to the strengthening of CVU (Corporación Vial del Uruguay ) and reverted to the earlier private concession process. In the case of road projects, a net prevent value criterion was used in two projects to assign concessions, permitting the incorporation of demand risk factors. As is the case with the majority of countries in the region, projects have not used completion risk instruments to diversify project risk. In the case of the port and airport concessions, there has been less difficulty, and private operators have undertaken the required investments without claiming recourse from the government. In the electricity industry, UTE is taking all commercial risk in contracts for renewable energy and the private sector assumes operational and completion risk. </v>
      </c>
      <c r="L29" t="str">
        <f t="shared" si="13"/>
        <v>The four roadway and port concessions have transferred commercial project risk back to the state. The financial crisis triggered by Argentina's default in the early 2000s sever …</v>
      </c>
      <c r="N29">
        <f t="shared" si="14"/>
        <v>0</v>
      </c>
      <c r="O29" s="41" t="str">
        <f t="shared" si="16"/>
        <v>-</v>
      </c>
      <c r="P29">
        <f t="shared" si="15"/>
        <v>0</v>
      </c>
      <c r="R29" t="str">
        <f t="shared" si="17"/>
        <v xml:space="preserve">The four roadway and port concessions have transferred commercial project risk back to the state. The financial crisis triggered by Argentina's default in the early 2000s severely affected Uruguay, and created an external shock of enough magnitude to endanger the viability of the original schemes that were negotiated. The financial crisis led to the strengthening of CVU (Corporación Vial del Uruguay ) and reverted to the earlier private concession process. In the case of road projects, a net prevent value criterion was used in two projects to assign concessions, permitting the incorporation of demand risk factors. As is the case with the majority of countries in the region, projects have not used completion risk instruments to diversify project risk. In the case of the port and airport concessions, there has been less difficulty, and private operators have undertaken the required investments without claiming recourse from the government. In the electricity industry, UTE is taking all commercial risk in contracts for renewable energy and the private sector assumes operational and completion risk. </v>
      </c>
    </row>
    <row r="30" spans="1:18">
      <c r="A30" t="str">
        <f>tblIndicators!A15</f>
        <v>OPER04</v>
      </c>
      <c r="B30">
        <f t="shared" si="9"/>
        <v>14</v>
      </c>
      <c r="C30">
        <f>tblIndicators!C15</f>
        <v>2</v>
      </c>
      <c r="D30" t="str">
        <f>tblIndicators!I15</f>
        <v>Number of transport and water concession and greenfield projects in the past ten years (1997-2007)</v>
      </c>
      <c r="E30" t="str">
        <f>tblIndicators!Q15</f>
        <v xml:space="preserve">   Experience in PPP projects (concessions)</v>
      </c>
      <c r="F30">
        <f t="shared" si="10"/>
        <v>2.3809523809523809</v>
      </c>
      <c r="G30" t="str">
        <f t="shared" si="11"/>
        <v/>
      </c>
      <c r="H30">
        <f t="shared" si="11"/>
        <v>26.190476190476193</v>
      </c>
      <c r="I30">
        <f t="shared" si="10"/>
        <v>0</v>
      </c>
      <c r="K30" t="str">
        <f t="shared" si="12"/>
        <v>According to data from the World Bank, in 1999-2008 Uruguay had a total of four projects in the electricity industry and the  water and transport sectors. Of these four projects, three were in the transport sector and one was in the water and sewerage sector. (Figures do not include management and lease contracts or divestitures. Please note that numbers do not necessarily match explanations for other indicators in this index, owing to different counting methods and timeframes).</v>
      </c>
      <c r="L30" t="str">
        <f t="shared" si="13"/>
        <v>According to data from the World Bank, in 1999-2008 Uruguay had a total of four projects in the electricity industry and the water and transport sectors. Of these four project …</v>
      </c>
      <c r="N30">
        <f t="shared" si="14"/>
        <v>-2.4</v>
      </c>
      <c r="O30" s="41" t="str">
        <f t="shared" si="16"/>
        <v>-2.4</v>
      </c>
      <c r="P30">
        <f t="shared" si="15"/>
        <v>0</v>
      </c>
      <c r="R30" t="str">
        <f t="shared" si="17"/>
        <v>According to data from the World Bank, in 1999-2008 Uruguay had a total of four projects in the electricity industry and the  water and transport sectors. Of these four projects, three were in the transport sector and one was in the water and sewerage sector. (Figures do not include management and lease contracts or divestitures. Please note that numbers do not necessarily match explanations for other indicators in this index, owing to different counting methods and timeframes).</v>
      </c>
    </row>
    <row r="31" spans="1:18">
      <c r="A31" t="str">
        <f>tblIndicators!A16</f>
        <v>OPER05</v>
      </c>
      <c r="B31">
        <f t="shared" si="9"/>
        <v>15</v>
      </c>
      <c r="C31">
        <f>tblIndicators!C16</f>
        <v>2</v>
      </c>
      <c r="D31" t="str">
        <f>tblIndicators!I16</f>
        <v>0-4, where 4 = best and 0 = worst</v>
      </c>
      <c r="E31" t="str">
        <f>tblIndicators!Q16</f>
        <v xml:space="preserve">   Quality of PPP projects (concessions)</v>
      </c>
      <c r="F31">
        <f t="shared" si="10"/>
        <v>0</v>
      </c>
      <c r="G31" t="str">
        <f t="shared" si="11"/>
        <v/>
      </c>
      <c r="H31">
        <f t="shared" si="11"/>
        <v>100</v>
      </c>
      <c r="I31">
        <f t="shared" si="10"/>
        <v>25</v>
      </c>
      <c r="K31" t="str">
        <f t="shared" si="12"/>
        <v>Out of four projects in the World Bank PPI database for the transport and water sectors and the electricity industry in 1999-2008, Uruguay had one cancelled or distressed project, for an overall distress rate of 25%.</v>
      </c>
      <c r="L31" t="str">
        <f t="shared" si="13"/>
        <v>Out of four projects in the World Bank PPI database for the transport and water sectors and the electricity industry in 1999-2008, Uruguay had one cancelled or distressed proje …</v>
      </c>
      <c r="N31">
        <f t="shared" si="14"/>
        <v>0</v>
      </c>
      <c r="O31" s="41" t="str">
        <f t="shared" si="16"/>
        <v>-</v>
      </c>
      <c r="P31">
        <f t="shared" si="15"/>
        <v>0</v>
      </c>
      <c r="R31" t="str">
        <f t="shared" si="17"/>
        <v>Out of four projects in the World Bank PPI database for the transport and water sectors and the electricity industry in 1999-2008, Uruguay had one cancelled or distressed project, for an overall distress rate of 25%.</v>
      </c>
    </row>
    <row r="32" spans="1:18">
      <c r="A32" t="str">
        <f>tblIndicators!A17</f>
        <v>INVT</v>
      </c>
      <c r="B32">
        <f t="shared" si="9"/>
        <v>16</v>
      </c>
      <c r="C32">
        <f>tblIndicators!C17</f>
        <v>1</v>
      </c>
      <c r="D32" t="str">
        <f>tblIndicators!I17</f>
        <v>0 - 100 where 100= best and 0=worst</v>
      </c>
      <c r="E32" t="str">
        <f>tblIndicators!Q17</f>
        <v>INVESTMENT CLIMATE</v>
      </c>
      <c r="F32">
        <f t="shared" si="10"/>
        <v>43.66246989269667</v>
      </c>
      <c r="G32" t="str">
        <f t="shared" si="11"/>
        <v/>
      </c>
      <c r="H32">
        <f t="shared" si="11"/>
        <v>85.388051336694048</v>
      </c>
      <c r="I32">
        <f t="shared" si="10"/>
        <v>31.366383344203733</v>
      </c>
      <c r="K32" t="str">
        <f t="shared" si="12"/>
        <v/>
      </c>
      <c r="L32" t="str">
        <f t="shared" si="13"/>
        <v/>
      </c>
      <c r="N32">
        <f t="shared" si="14"/>
        <v>1.5</v>
      </c>
      <c r="O32" s="41" t="str">
        <f t="shared" si="16"/>
        <v>+1.5</v>
      </c>
      <c r="P32">
        <f t="shared" si="15"/>
        <v>0</v>
      </c>
      <c r="R32" t="str">
        <f t="shared" si="17"/>
        <v/>
      </c>
    </row>
    <row r="33" spans="1:18">
      <c r="A33" t="str">
        <f>tblIndicators!A18</f>
        <v>INVT01</v>
      </c>
      <c r="B33">
        <f t="shared" si="9"/>
        <v>17</v>
      </c>
      <c r="C33">
        <f>tblIndicators!C18</f>
        <v>2</v>
      </c>
      <c r="D33" t="str">
        <f>tblIndicators!I18</f>
        <v>Rating, 0-100 where 100=best</v>
      </c>
      <c r="E33" t="str">
        <f>tblIndicators!Q18</f>
        <v xml:space="preserve">   Political distortion</v>
      </c>
      <c r="F33">
        <f t="shared" si="10"/>
        <v>55.755211307958795</v>
      </c>
      <c r="G33" t="str">
        <f t="shared" si="11"/>
        <v/>
      </c>
      <c r="H33">
        <f t="shared" si="11"/>
        <v>73.744616053998584</v>
      </c>
      <c r="I33">
        <f t="shared" si="10"/>
        <v>25.871628037437148</v>
      </c>
      <c r="K33" t="str">
        <f t="shared" si="12"/>
        <v>The president, José Mujica, will encourage political stability by steering a centrist course through his five-year mandate. The continuation of a largely orthodox economic policy, along with substantial social support, will place him in the centre of the political spectrum. Uruguay's institutions provide checks and balances to executive power, limiting radical changes in policy affecting business. Elections are free and fair, and apart from the period of military rule (1973-85), Uruguay has a good record of stable democracy. The armed forces are politically weak and the abuses committed during that period are being investigated, with a view to closing that chapter of Uruguayan history. In his first month in office, Mr Mujica, a former Tupamaro guerrilla who spent over a decade in military custody, made clear his conciliatory approach toward the armed forces.
The government will pursue open, pro-business policies in order to attract foreign investment in key sectors, such as agriculture and forestry. Maintaining and potentially expanding the existing benefits of Uruguay's investment regime will also be necessary to attract private capital –both foreign and domestic– for a variety of projects in infrastructure improvement at the top of the president's agenda. However, government effectiveness will be constrained by a bloated public sector, which avoided the privatisation wave that hit most of Latin America in the 1990s. Although there is widespread consensus among political parties and the general public, a reform to improve the quality of the largely inefficient bureaucracy and reduce red tape has been postponed for a number of years. Although corruption among public officials is limited in Uruguay, the appointment and career structure of civil servants is a generally opaque process. Strong public sector unions limit the scope of action of government reform. (Economist Intelligence Unit, Risk Briefing, April 2010.)</v>
      </c>
      <c r="L33" t="str">
        <f t="shared" si="13"/>
        <v>The president, José Mujica, will encourage political stability by steering a centrist course through his five-year mandate. The continuation of a largely orthodox economic poli …</v>
      </c>
      <c r="N33">
        <f t="shared" si="14"/>
        <v>1</v>
      </c>
      <c r="O33" s="41" t="str">
        <f t="shared" si="16"/>
        <v>+1.0</v>
      </c>
      <c r="P33">
        <f t="shared" si="15"/>
        <v>0</v>
      </c>
      <c r="R33" t="str">
        <f t="shared" si="17"/>
        <v>The president, José Mujica, will encourage political stability by steering a centrist course through his five-year mandate. The continuation of a largely orthodox economic policy, along with substantial social support, will place him in the centre of the political spectrum. Uruguay's institutions provide checks and balances to executive power, limiting radical changes in policy affecting business. Elections are free and fair, and apart from the period of military rule (1973-85), Uruguay has a good record of stable democracy. The armed forces are politically weak and the abuses committed during that period are being investigated, with a view to closing that chapter of Uruguayan history. In his first month in office, Mr Mujica, a former Tupamaro guerrilla who spent over a decade in military custody, made clear his conciliatory approach toward the armed forces.
The government will pursue open, pro-business policies in order to attract foreign investment in key sectors, such as agriculture and forestry. Maintaining and potentially expanding the existing benefits of Uruguay's investment regime will also be necessary to attract private capital –both foreign and domestic– for a variety of projects in infrastructure improvement at the top of the president's agenda. However, government effectiveness will be constrained by a bloated public sector, which avoided the privatisation wave that hit most of Latin America in the 1990s. Although there is widespread consensus among political parties and the general public, a reform to improve the quality of the largely inefficient bureaucracy and reduce red tape has been postponed for a number of years. Although corruption among public officials is limited in Uruguay, the appointment and career structure of civil servants is a generally opaque process. Strong public sector unions limit the scope of action of government reform. (Economist Intelligence Unit, Risk Briefing, April 2010.)</v>
      </c>
    </row>
    <row r="34" spans="1:18">
      <c r="A34" t="str">
        <f>tblIndicators!A19</f>
        <v>INVT02</v>
      </c>
      <c r="B34">
        <f t="shared" si="9"/>
        <v>18</v>
      </c>
      <c r="C34">
        <f>tblIndicators!C19</f>
        <v>2</v>
      </c>
      <c r="D34" t="str">
        <f>tblIndicators!I19</f>
        <v>Rating, 0-100 where 100=best</v>
      </c>
      <c r="E34" t="str">
        <f>tblIndicators!Q19</f>
        <v xml:space="preserve">   Business environment</v>
      </c>
      <c r="F34">
        <f t="shared" si="10"/>
        <v>52.228001596161221</v>
      </c>
      <c r="G34" t="str">
        <f t="shared" si="11"/>
        <v/>
      </c>
      <c r="H34">
        <f t="shared" si="11"/>
        <v>67.807589292777578</v>
      </c>
      <c r="I34">
        <f t="shared" si="10"/>
        <v>32.92723867271112</v>
      </c>
      <c r="K34" t="str">
        <f t="shared" si="12"/>
        <v>Growth fell sharply after the escalation of the international financial crisis in the third quarter of 2008, and with global trade flows disrupted, was barely positive in 2009. Growth is set to rise steadily to around 3.7% per year in 2010 and 3.1% in 2011. The depreciation that the peso underwent in the final quarter of 2008 has been reversed in 2009, and broad stability is forecast in the outlook period. Inflation will remain at the upper limit of the 3% to 7% target range set by the Banco Central de Uruguay (BCU, the Central Bank), in line with still-firm commodity prices and firm domestic demand. The public debt burden will continue to be a drain on fiscal resources, and is set to remain at a high level in 2010-11 as the fiscal deficit falls only slowly. Since prepaying its IMF debt in 2006 the government has not needed an agreement, but a return to an IMF lending facility has not been ruled out, given the poor revenue performance in 2009. (Economist Intelligence Unit, Risk Briefing, April 2010.)</v>
      </c>
      <c r="L34" t="str">
        <f t="shared" si="13"/>
        <v>Growth fell sharply after the escalation of the international financial crisis in the third quarter of 2008, and with global trade flows disrupted, was barely positive in 2009. …</v>
      </c>
      <c r="N34">
        <f t="shared" si="14"/>
        <v>2</v>
      </c>
      <c r="O34" s="41" t="str">
        <f t="shared" si="16"/>
        <v>+2.0</v>
      </c>
      <c r="P34">
        <f t="shared" si="15"/>
        <v>0</v>
      </c>
      <c r="R34" t="str">
        <f t="shared" si="17"/>
        <v>Growth fell sharply after the escalation of the international financial crisis in the third quarter of 2008, and with global trade flows disrupted, was barely positive in 2009. Growth is set to rise steadily to around 3.7% per year in 2010 and 3.1% in 2011. The depreciation that the peso underwent in the final quarter of 2008 has been reversed in 2009, and broad stability is forecast in the outlook period. Inflation will remain at the upper limit of the 3% to 7% target range set by the Banco Central de Uruguay (BCU, the Central Bank), in line with still-firm commodity prices and firm domestic demand. The public debt burden will continue to be a drain on fiscal resources, and is set to remain at a high level in 2010-11 as the fiscal deficit falls only slowly. Since prepaying its IMF debt in 2006 the government has not needed an agreement, but a return to an IMF lending facility has not been ruled out, given the poor revenue performance in 2009. (Economist Intelligence Unit, Risk Briefing, April 2010.)</v>
      </c>
    </row>
    <row r="35" spans="1:18">
      <c r="A35" t="str">
        <f>tblIndicators!A20</f>
        <v>INVT03</v>
      </c>
      <c r="B35">
        <f t="shared" si="9"/>
        <v>19</v>
      </c>
      <c r="C35">
        <f>tblIndicators!C20</f>
        <v>2</v>
      </c>
      <c r="D35" t="str">
        <f>tblIndicators!I20</f>
        <v>Rating, 0-3 where 3=best</v>
      </c>
      <c r="E35" t="str">
        <f>tblIndicators!Q20</f>
        <v xml:space="preserve">   Political will</v>
      </c>
      <c r="F35">
        <f t="shared" si="10"/>
        <v>33.333333333333329</v>
      </c>
      <c r="G35" t="str">
        <f t="shared" si="11"/>
        <v/>
      </c>
      <c r="H35">
        <f t="shared" si="11"/>
        <v>100</v>
      </c>
      <c r="I35">
        <f t="shared" si="10"/>
        <v>33.333333333333329</v>
      </c>
      <c r="K35" t="str">
        <f t="shared" si="12"/>
        <v>Although there is political will to engage in transport infrastructure concessions, shown both by the past and present governments of the ruling Frente Amplio coalition, there is no incentive to push for concessions in areas such as water and electricity. There is a general consensus among the public that utilities should be in the hands of the state and there are consequently very few opportunities for PPPs (they are outright forbidden in the water and sanitation sector). Electricity is also in the hands of a state-owned enterprise, which can choose to establish associations with private companies to install generating plants, although this is not particularly widespread. There is political will to push airport concessions and Mr Mujica has signalled that he will prioritise concessions in roads, railways and the second terminal of the Montevideo port. Significant delays can be expected.</v>
      </c>
      <c r="L35" t="str">
        <f t="shared" si="13"/>
        <v>Although there is political will to engage in transport infrastructure concessions, shown both by the past and present governments of the ruling Frente Amplio coalition, there …</v>
      </c>
      <c r="N35">
        <f t="shared" si="14"/>
        <v>-62.5</v>
      </c>
      <c r="O35" s="41" t="str">
        <f t="shared" si="16"/>
        <v>-62.5</v>
      </c>
      <c r="P35">
        <f t="shared" si="15"/>
        <v>0</v>
      </c>
      <c r="R35" t="str">
        <f t="shared" si="17"/>
        <v>Although there is political will to engage in transport infrastructure concessions, shown both by the past and present governments of the ruling Frente Amplio coalition, there is no incentive to push for concessions in areas such as water and electricity. There is a general consensus among the public that utilities should be in the hands of the state and there are consequently very few opportunities for PPPs (they are outright forbidden in the water and sanitation sector). Electricity is also in the hands of a state-owned enterprise, which can choose to establish associations with private companies to install generating plants, although this is not particularly widespread. There is political will to push airport concessions and Mr Mujica has signalled that he will prioritise concessions in roads, railways and the second terminal of the Montevideo port. Significant delays can be expected.</v>
      </c>
    </row>
    <row r="36" spans="1:18">
      <c r="A36" t="str">
        <f>tblIndicators!A21</f>
        <v>FINC</v>
      </c>
      <c r="B36">
        <f>MATCH(A36,score2009_indi,0)</f>
        <v>20</v>
      </c>
      <c r="C36">
        <f>tblIndicators!C21</f>
        <v>1</v>
      </c>
      <c r="D36" t="str">
        <f>tblIndicators!I21</f>
        <v>0 - 100 where 100= best and 0=worst</v>
      </c>
      <c r="E36" t="str">
        <f>tblIndicators!Q21</f>
        <v>FINANCIAL FACILITIES</v>
      </c>
      <c r="F36">
        <f t="shared" si="10"/>
        <v>30.555555555555557</v>
      </c>
      <c r="G36" t="str">
        <f t="shared" si="11"/>
        <v/>
      </c>
      <c r="H36">
        <f t="shared" si="11"/>
        <v>97.222222222222214</v>
      </c>
      <c r="I36">
        <f t="shared" si="10"/>
        <v>25</v>
      </c>
      <c r="K36" t="str">
        <f>IF(C36&lt;2,"",INDEX(text_2009,$B36,K$15))</f>
        <v/>
      </c>
      <c r="L36" t="str">
        <f>IF(LEN(K36)&gt;L$14,CONCATENATE(TRIM(LEFT(K36,L$14))," …"),K36)</f>
        <v/>
      </c>
      <c r="N36">
        <f>INDEX(yoy,$B36,F$15)</f>
        <v>5.6</v>
      </c>
      <c r="O36" s="41" t="str">
        <f>IF(N36="-","-",IF(N36&gt;0,CONCATENATE("+",TEXT(N36,"0.0")),IF(N36=0,"-",CONCATENATE("-",TEXT(ABS(N36),"0.0")))))</f>
        <v>+5.6</v>
      </c>
      <c r="P36">
        <f>IF(M36&lt;0,-1,IF(M36&gt;0,1,0))</f>
        <v>0</v>
      </c>
      <c r="R36" t="str">
        <f t="shared" si="17"/>
        <v/>
      </c>
    </row>
    <row r="37" spans="1:18">
      <c r="A37" t="str">
        <f>tblIndicators!A22</f>
        <v>FINC01</v>
      </c>
      <c r="B37">
        <f t="shared" si="9"/>
        <v>21</v>
      </c>
      <c r="C37">
        <f>tblIndicators!C22</f>
        <v>2</v>
      </c>
      <c r="D37" t="str">
        <f>tblIndicators!I22</f>
        <v>0-4, where 4=best and 0=worst</v>
      </c>
      <c r="E37" t="str">
        <f>tblIndicators!Q22</f>
        <v xml:space="preserve">   Government payment risk</v>
      </c>
      <c r="F37">
        <f t="shared" si="10"/>
        <v>50</v>
      </c>
      <c r="G37" t="str">
        <f t="shared" si="11"/>
        <v/>
      </c>
      <c r="H37">
        <f t="shared" si="11"/>
        <v>100</v>
      </c>
      <c r="I37">
        <f t="shared" si="10"/>
        <v>25</v>
      </c>
      <c r="K37" t="str">
        <f t="shared" si="12"/>
        <v xml:space="preserve">In the last five years, Uruguay's government has worked well with the private sector and has had a good track record of making payments on time, contrasting with the earlier part of the decade, when the effects of the Argentinean crisis hampered the ability of the authorities to meet concessionary agreements. The Tabaré Vázquez administration (2005-10) was been particularly intent on improving the country's roads and bridges, which has led to the government taking over certain concessionary projects after their contracted expiration date. The Uruguayan economy experienced a number of years of strong growth that peaked in 2008, and successfully avoided recession amid the international financial crisis in 2009. Uruguay has also received several Multilateral Investment Guarantee Agency (MIGA) guarantees since 2005, although these have mostly been in sectors outside electricity, water and transport (the one project in solid waste management guaranteed by MIGA is currently not active). The country's sovereign debt risk rating from the Economist Intelligence Unit was BB in April 2010. </v>
      </c>
      <c r="L37" t="str">
        <f t="shared" si="13"/>
        <v>In the last five years, Uruguay's government has worked well with the private sector and has had a good track record of making payments on time, contrasting with the earlier pa …</v>
      </c>
      <c r="N37">
        <f t="shared" si="14"/>
        <v>25</v>
      </c>
      <c r="O37" s="41" t="str">
        <f t="shared" si="16"/>
        <v>+25.0</v>
      </c>
      <c r="P37">
        <f t="shared" si="15"/>
        <v>0</v>
      </c>
      <c r="R37" t="str">
        <f t="shared" si="17"/>
        <v xml:space="preserve">In the last five years, Uruguay's government has worked well with the private sector and has had a good track record of making payments on time, contrasting with the earlier part of the decade, when the effects of the Argentinean crisis hampered the ability of the authorities to meet concessionary agreements. The Tabaré Vázquez administration (2005-10) was been particularly intent on improving the country's roads and bridges, which has led to the government taking over certain concessionary projects after their contracted expiration date. The Uruguayan economy experienced a number of years of strong growth that peaked in 2008, and successfully avoided recession amid the international financial crisis in 2009. Uruguay has also received several Multilateral Investment Guarantee Agency (MIGA) guarantees since 2005, although these have mostly been in sectors outside electricity, water and transport (the one project in solid waste management guaranteed by MIGA is currently not active). The country's sovereign debt risk rating from the Economist Intelligence Unit was BB in April 2010. </v>
      </c>
    </row>
    <row r="38" spans="1:18">
      <c r="A38" t="str">
        <f>tblIndicators!A23</f>
        <v>FINC02</v>
      </c>
      <c r="B38">
        <f t="shared" si="9"/>
        <v>22</v>
      </c>
      <c r="C38">
        <f>tblIndicators!C23</f>
        <v>2</v>
      </c>
      <c r="D38" t="str">
        <f>tblIndicators!I23</f>
        <v>0-4, where 4=best and 0=worst</v>
      </c>
      <c r="E38" t="str">
        <f>tblIndicators!Q23</f>
        <v xml:space="preserve">   Capital market: private infrastructure finance</v>
      </c>
      <c r="F38">
        <f t="shared" si="10"/>
        <v>25</v>
      </c>
      <c r="G38" t="str">
        <f t="shared" si="11"/>
        <v/>
      </c>
      <c r="H38">
        <f t="shared" si="11"/>
        <v>100</v>
      </c>
      <c r="I38">
        <f t="shared" si="10"/>
        <v>25</v>
      </c>
      <c r="K38" t="str">
        <f t="shared" si="12"/>
        <v xml:space="preserve">Uruguay's capital markets are undeveloped, making it difficult to finance long-term infrastructure projects. The banking system is characterised by relatively high concentration and high operating costs, which increase the cost of credit. Overall, debt financing is clearly preferred to equity financing. Loans from the World Bank and other multilateral organisations, such as the Inter-American Development Bank (IDB) are regularly used to finance infrastructure projects. The OSE has modernised its potable water system over the last several years through loans from the World Bank's International Bank for Reconstruction and Finance (IBRF), which provides flexible financing and built-in hedging instruments. Mr Mujica, however, has announced in the press that, once in power, he will no longer seek international loans, but will work to finance priority public works projects like dredging the Rio Uruguay, creating new rail lines and constructing deep-water ports with Central Bank reserves. </v>
      </c>
      <c r="L38" t="str">
        <f t="shared" si="13"/>
        <v>Uruguay's capital markets are undeveloped, making it difficult to finance long-term infrastructure projects. The banking system is characterised by relatively high concentratio …</v>
      </c>
      <c r="N38">
        <f t="shared" si="14"/>
        <v>0</v>
      </c>
      <c r="O38" s="41" t="str">
        <f t="shared" si="16"/>
        <v>-</v>
      </c>
      <c r="P38">
        <f t="shared" si="15"/>
        <v>0</v>
      </c>
      <c r="R38" t="str">
        <f t="shared" si="17"/>
        <v xml:space="preserve">Uruguay's capital markets are undeveloped, making it difficult to finance long-term infrastructure projects. The banking system is characterised by relatively high concentration and high operating costs, which increase the cost of credit. Overall, debt financing is clearly preferred to equity financing. Loans from the World Bank and other multilateral organisations, such as the Inter-American Development Bank (IDB) are regularly used to finance infrastructure projects. The OSE has modernised its potable water system over the last several years through loans from the World Bank's International Bank for Reconstruction and Finance (IBRF), which provides flexible financing and built-in hedging instruments. Mr Mujica, however, has announced in the press that, once in power, he will no longer seek international loans, but will work to finance priority public works projects like dredging the Rio Uruguay, creating new rail lines and constructing deep-water ports with Central Bank reserves. </v>
      </c>
    </row>
    <row r="39" spans="1:18">
      <c r="A39" t="str">
        <f>tblIndicators!A24</f>
        <v>FINC03</v>
      </c>
      <c r="B39">
        <f t="shared" si="9"/>
        <v>23</v>
      </c>
      <c r="C39">
        <f>tblIndicators!C24</f>
        <v>2</v>
      </c>
      <c r="D39" t="str">
        <f>tblIndicators!I24</f>
        <v>0-4, where 4=best and 0=worst</v>
      </c>
      <c r="E39" t="str">
        <f>tblIndicators!Q24</f>
        <v xml:space="preserve">   Marketable debt</v>
      </c>
      <c r="F39">
        <f t="shared" si="10"/>
        <v>25</v>
      </c>
      <c r="G39" t="str">
        <f t="shared" si="11"/>
        <v/>
      </c>
      <c r="H39">
        <f t="shared" si="11"/>
        <v>100</v>
      </c>
      <c r="I39">
        <f t="shared" si="10"/>
        <v>25</v>
      </c>
      <c r="K39" t="str">
        <f t="shared" si="12"/>
        <v>There is only a freely-traded market for short-term, government bonds in local-currency denominations. (Economist Intelligence Unit Risk Briefing, May 2010)</v>
      </c>
      <c r="L39" t="str">
        <f t="shared" si="13"/>
        <v>There is only a freely-traded market for short-term, government bonds in local-currency denominations. (Economist Intelligence Unit Risk Briefing, May 2010)</v>
      </c>
      <c r="N39">
        <f t="shared" si="14"/>
        <v>0</v>
      </c>
      <c r="O39" s="41" t="str">
        <f t="shared" si="16"/>
        <v>-</v>
      </c>
      <c r="P39">
        <f t="shared" si="15"/>
        <v>0</v>
      </c>
      <c r="R39" t="str">
        <f t="shared" si="17"/>
        <v>There is only a freely-traded market for short-term, government bonds in local-currency denominations. (Economist Intelligence Unit Risk Briefing, May 2010)</v>
      </c>
    </row>
    <row r="40" spans="1:18">
      <c r="A40" t="str">
        <f>tblIndicators!A25</f>
        <v>FINC04</v>
      </c>
      <c r="B40">
        <f>MATCH(A40,score2009_indi,0)</f>
        <v>24</v>
      </c>
      <c r="C40">
        <f>tblIndicators!C25</f>
        <v>2</v>
      </c>
      <c r="D40" t="str">
        <f>tblIndicators!I25</f>
        <v>0-4, where 4=best and 0=worst</v>
      </c>
      <c r="E40" t="str">
        <f>tblIndicators!Q25</f>
        <v xml:space="preserve">   Government support and affordability for low income users</v>
      </c>
      <c r="F40">
        <f t="shared" si="10"/>
        <v>25</v>
      </c>
      <c r="G40" t="str">
        <f t="shared" si="11"/>
        <v/>
      </c>
      <c r="H40">
        <f t="shared" si="11"/>
        <v>75</v>
      </c>
      <c r="I40">
        <f t="shared" si="10"/>
        <v>25</v>
      </c>
      <c r="K40" t="str">
        <f>IF(C40&lt;2,"",INDEX(text_2009,$B40,K$15))</f>
        <v xml:space="preserve">Although Uruguay has eliminated most price controls, the executive branch continues to fix prices on certain basics, including milk, meat, fuels, transport (including bus fares, which are set by municipalities), electricity, and water supply and telephone services. The prices of water services charged by OSE do not permit the financing of investment necessary to reach population coverage levels intended by the government. The political context surrounding water provision since the constitutional modification has made it increasingly difficult to establish effective pricing regimes for cost recovery. Subsidies are generalised without focusing on low income groups, and, as a result, OSE has been forced to reduce its investment in system infrastructure in the past decade. Multiple cross-subsidies have made it difficult to judge the effectiveness of current operations. In the road sector, tolls are heavily subsidised; according to the CND, information total toll collection for the road network in the hands of CNV amounts to less than 50% of the investment and maintenance expenditure needed for the same network. Tolls are also set at the same level independently of the length and capacity of the road. This makes new investment financing very difficult. From February 2010 households with consumption lower than 100 kwh per month have automatically received a reduction of 50% in their monthly electricity bill. This is a broad subsidy that will leak significant resources to medium-income households. </v>
      </c>
      <c r="L40" t="str">
        <f>IF(LEN(K40)&gt;L$14,CONCATENATE(TRIM(LEFT(K40,L$14))," …"),K40)</f>
        <v>Although Uruguay has eliminated most price controls, the executive branch continues to fix prices on certain basics, including milk, meat, fuels, transport (including bus fares …</v>
      </c>
      <c r="N40">
        <f>INDEX(yoy,$B40,F$15)</f>
        <v>0</v>
      </c>
      <c r="O40" s="41" t="str">
        <f>IF(N40="-","-",IF(N40&gt;0,CONCATENATE("+",TEXT(N40,"0.0")),IF(N40=0,"-",CONCATENATE("-",TEXT(ABS(N40),"0.0")))))</f>
        <v>-</v>
      </c>
      <c r="P40">
        <f>IF(M40&lt;0,-1,IF(M40&gt;0,1,0))</f>
        <v>0</v>
      </c>
      <c r="R40" t="str">
        <f t="shared" si="17"/>
        <v xml:space="preserve">Although Uruguay has eliminated most price controls, the executive branch continues to fix prices on certain basics, including milk, meat, fuels, transport (including bus fares, which are set by municipalities), electricity, and water supply and telephone services. The prices of water services charged by OSE do not permit the financing of investment necessary to reach population coverage levels intended by the government. The political context surrounding water provision since the constitutional modification has made it increasingly difficult to establish effective pricing regimes for cost recovery. Subsidies are generalised without focusing on low income groups, and, as a result, OSE has been forced to reduce its investment in system infrastructure in the past decade. Multiple cross-subsidies have made it difficult to judge the effectiveness of current operations. In the road sector, tolls are heavily subsidised; according to the CND, information total toll collection for the road network in the hands of CNV amounts to less than 50% of the investment and maintenance expenditure needed for the same network. Tolls are also set at the same level independently of the length and capacity of the road. This makes new investment financing very difficult. From February 2010 households with consumption lower than 100 kwh per month have automatically received a reduction of 50% in their monthly electricity bill. This is a broad subsidy that will leak significant resources to medium-income households. </v>
      </c>
    </row>
    <row r="41" spans="1:18">
      <c r="A41" t="str">
        <f>tblIndicators!A26</f>
        <v>NEWSEC</v>
      </c>
      <c r="B41">
        <f>MATCH(A41,score2009_indi,0)</f>
        <v>25</v>
      </c>
      <c r="C41">
        <f>tblIndicators!C26</f>
        <v>1</v>
      </c>
      <c r="D41" t="str">
        <f>tblIndicators!I26</f>
        <v>0 - 100 where 100= best and 0=worst</v>
      </c>
      <c r="E41" t="str">
        <f>tblIndicators!Q26</f>
        <v>SUBNATIONAL ADJUSTMENT</v>
      </c>
      <c r="F41">
        <f t="shared" si="10"/>
        <v>25</v>
      </c>
      <c r="G41" t="str">
        <f t="shared" si="11"/>
        <v/>
      </c>
      <c r="H41">
        <f t="shared" si="11"/>
        <v>50</v>
      </c>
      <c r="I41">
        <f t="shared" si="10"/>
        <v>25</v>
      </c>
      <c r="K41" t="str">
        <f>IF(C41&lt;2,"",INDEX(text_2009,$B41,K$15))</f>
        <v/>
      </c>
      <c r="L41" t="str">
        <f>IF(LEN(K41)&gt;L$14,CONCATENATE(TRIM(LEFT(K41,L$14))," …"),K41)</f>
        <v/>
      </c>
      <c r="O41" s="41"/>
      <c r="P41">
        <f>IF(M41&lt;0,-1,IF(M41&gt;0,1,0))</f>
        <v>0</v>
      </c>
      <c r="R41" t="str">
        <f t="shared" si="17"/>
        <v/>
      </c>
    </row>
    <row r="42" spans="1:18">
      <c r="A42" t="str">
        <f>tblIndicators!A27</f>
        <v>NEWSEC01</v>
      </c>
      <c r="B42">
        <f>MATCH(A42,score2009_indi,0)</f>
        <v>26</v>
      </c>
      <c r="C42">
        <f>tblIndicators!C27</f>
        <v>2</v>
      </c>
      <c r="D42" t="str">
        <f>tblIndicators!I27</f>
        <v>0-4, where 4=best and 0=worst</v>
      </c>
      <c r="E42" t="str">
        <f>tblIndicators!Q27</f>
        <v xml:space="preserve">   Subnational adjustment factor</v>
      </c>
      <c r="F42">
        <f t="shared" si="10"/>
        <v>25</v>
      </c>
      <c r="G42" t="str">
        <f t="shared" si="11"/>
        <v/>
      </c>
      <c r="H42">
        <f t="shared" si="11"/>
        <v>50</v>
      </c>
      <c r="I42">
        <f t="shared" si="10"/>
        <v>25</v>
      </c>
      <c r="K42" t="str">
        <f>IF(C42&lt;2,"",INDEX(text_2009,$B42,K$15))</f>
        <v>Uruguay established a legal framework for public works concessions with Law No 15.637 in 1984. This complemented the Tocaf. This regulation also authorises municipalities to grant concessions in the transport infrastructure sector. Unsolicited initiatives can also be presented by private investors. The municipality of Montevideo is considering the first concession of an urban toll road in Italia Avenue</v>
      </c>
      <c r="L42" t="str">
        <f>IF(LEN(K42)&gt;L$14,CONCATENATE(TRIM(LEFT(K42,L$14))," …"),K42)</f>
        <v>Uruguay established a legal framework for public works concessions with Law No 15.637 in 1984. This complemented the Tocaf. This regulation also authorises municipalities to gr …</v>
      </c>
      <c r="O42" s="41"/>
      <c r="P42">
        <f>IF(M42&lt;0,-1,IF(M42&gt;0,1,0))</f>
        <v>0</v>
      </c>
      <c r="R42" t="str">
        <f t="shared" si="17"/>
        <v>Uruguay established a legal framework for public works concessions with Law No 15.637 in 1984. This complemented the Tocaf. This regulation also authorises municipalities to grant concessions in the transport infrastructure sector. Unsolicited initiatives can also be presented by private investors. The municipality of Montevideo is considering the first concession of an urban toll road in Italia Avenue</v>
      </c>
    </row>
    <row r="44" spans="1:18">
      <c r="F44">
        <v>2009</v>
      </c>
      <c r="K44">
        <v>2008</v>
      </c>
      <c r="L44" t="s">
        <v>844</v>
      </c>
    </row>
    <row r="46" spans="1:18">
      <c r="A46" t="str">
        <f>tblIndicators!A2</f>
        <v>TOTL</v>
      </c>
      <c r="B46">
        <f t="shared" ref="B46:B64" si="18">MATCH(A46,score2009_indi,0)</f>
        <v>1</v>
      </c>
      <c r="C46">
        <f>tblIndicators!C2</f>
        <v>0</v>
      </c>
      <c r="D46" t="str">
        <f>tblIndicators!I2</f>
        <v>0 - 100 where 100= best and 0=worst</v>
      </c>
      <c r="E46" t="str">
        <f>tblIndicators!H2</f>
        <v>OVERALL SCORE</v>
      </c>
      <c r="F46">
        <f t="shared" ref="F46:F71" si="19">IF($C46&lt;2,INDEX(scores_2009,$B46,F$15),INDEX(data_2009,$B46,F$15))</f>
        <v>31.794906198190212</v>
      </c>
      <c r="G46" t="str">
        <f t="shared" ref="G46:I69" si="20">IF(G$15=0,"",IF($C46&lt;2,INDEX(scores_2009,$B46,G$15),INDEX(data_2009,$B46,G$15)))</f>
        <v/>
      </c>
      <c r="H46">
        <f t="shared" si="20"/>
        <v>79.311183890980303</v>
      </c>
      <c r="I46">
        <f t="shared" si="20"/>
        <v>24.54870750163056</v>
      </c>
      <c r="K46">
        <f t="shared" ref="K46:K64" si="21">IF($C46&lt;2,INDEX(scores_2008,$B46,F$15),INDEX(data_2008,$B46,F$15))</f>
        <v>27.334281223057314</v>
      </c>
      <c r="L46">
        <f>F46-K46</f>
        <v>4.4606249751328981</v>
      </c>
    </row>
    <row r="47" spans="1:18">
      <c r="A47" t="str">
        <f>tblIndicators!A3</f>
        <v>LEGF</v>
      </c>
      <c r="B47">
        <f t="shared" si="18"/>
        <v>2</v>
      </c>
      <c r="C47">
        <f>tblIndicators!C3</f>
        <v>1</v>
      </c>
      <c r="D47" t="str">
        <f>tblIndicators!I3</f>
        <v>0 - 100 where 100= best and 0=worst</v>
      </c>
      <c r="E47" t="str">
        <f>tblIndicators!H3</f>
        <v>Regulatory framework</v>
      </c>
      <c r="F47">
        <f t="shared" si="19"/>
        <v>34.375</v>
      </c>
      <c r="G47" t="str">
        <f t="shared" si="20"/>
        <v/>
      </c>
      <c r="H47">
        <f t="shared" si="20"/>
        <v>84.375</v>
      </c>
      <c r="I47">
        <f t="shared" si="20"/>
        <v>25</v>
      </c>
      <c r="K47">
        <f t="shared" si="21"/>
        <v>25</v>
      </c>
      <c r="L47">
        <f t="shared" ref="L47:L64" si="22">F47-K47</f>
        <v>9.375</v>
      </c>
    </row>
    <row r="48" spans="1:18">
      <c r="A48" t="str">
        <f>tblIndicators!A4</f>
        <v>LEGF01</v>
      </c>
      <c r="B48">
        <f t="shared" si="18"/>
        <v>3</v>
      </c>
      <c r="C48">
        <f>tblIndicators!C4</f>
        <v>2</v>
      </c>
      <c r="D48" t="str">
        <f>tblIndicators!I4</f>
        <v>0-4, where 4=best and 0=worst</v>
      </c>
      <c r="E48" t="str">
        <f>tblIndicators!H4</f>
        <v>Consistency and quality of PPP regulations</v>
      </c>
      <c r="F48">
        <f t="shared" si="19"/>
        <v>1</v>
      </c>
      <c r="G48" t="str">
        <f t="shared" si="20"/>
        <v/>
      </c>
      <c r="H48">
        <f t="shared" si="20"/>
        <v>4</v>
      </c>
      <c r="I48">
        <f t="shared" si="20"/>
        <v>1</v>
      </c>
      <c r="K48">
        <f t="shared" si="21"/>
        <v>1</v>
      </c>
      <c r="L48">
        <f t="shared" si="22"/>
        <v>0</v>
      </c>
    </row>
    <row r="49" spans="1:12">
      <c r="A49" t="str">
        <f>tblIndicators!A5</f>
        <v>LEGF02</v>
      </c>
      <c r="B49">
        <f t="shared" si="18"/>
        <v>4</v>
      </c>
      <c r="C49">
        <f>tblIndicators!C5</f>
        <v>2</v>
      </c>
      <c r="D49" t="str">
        <f>tblIndicators!I5</f>
        <v>0-4, where 4=best and 0=worst</v>
      </c>
      <c r="E49" t="str">
        <f>tblIndicators!H5</f>
        <v>Effective PPP selection and decision making</v>
      </c>
      <c r="F49">
        <f t="shared" si="19"/>
        <v>2</v>
      </c>
      <c r="G49" t="str">
        <f t="shared" si="20"/>
        <v/>
      </c>
      <c r="H49">
        <f t="shared" si="20"/>
        <v>3</v>
      </c>
      <c r="I49">
        <f t="shared" si="20"/>
        <v>1</v>
      </c>
      <c r="K49">
        <f t="shared" si="21"/>
        <v>1</v>
      </c>
      <c r="L49">
        <f t="shared" si="22"/>
        <v>1</v>
      </c>
    </row>
    <row r="50" spans="1:12">
      <c r="A50" t="str">
        <f>tblIndicators!A6</f>
        <v>LEGF03</v>
      </c>
      <c r="B50">
        <f t="shared" si="18"/>
        <v>5</v>
      </c>
      <c r="C50">
        <f>tblIndicators!C6</f>
        <v>2</v>
      </c>
      <c r="D50" t="str">
        <f>tblIndicators!I6</f>
        <v>0-4, where 4=best and 0=worst</v>
      </c>
      <c r="E50" t="str">
        <f>tblIndicators!H6</f>
        <v>Fairness/openness of bids, contract changes</v>
      </c>
      <c r="F50">
        <f t="shared" si="19"/>
        <v>2</v>
      </c>
      <c r="G50" t="str">
        <f t="shared" si="20"/>
        <v/>
      </c>
      <c r="H50">
        <f t="shared" si="20"/>
        <v>3</v>
      </c>
      <c r="I50">
        <f t="shared" si="20"/>
        <v>1</v>
      </c>
      <c r="K50">
        <f t="shared" si="21"/>
        <v>1</v>
      </c>
      <c r="L50">
        <f t="shared" si="22"/>
        <v>1</v>
      </c>
    </row>
    <row r="51" spans="1:12">
      <c r="A51" t="str">
        <f>tblIndicators!A7</f>
        <v>LEGF04</v>
      </c>
      <c r="B51">
        <f t="shared" si="18"/>
        <v>6</v>
      </c>
      <c r="C51">
        <f>tblIndicators!C7</f>
        <v>2</v>
      </c>
      <c r="D51" t="str">
        <f>tblIndicators!I7</f>
        <v>0-4, where 4=best and 0=worst</v>
      </c>
      <c r="E51" t="str">
        <f>tblIndicators!H7</f>
        <v>Dispute resolution mechanisms</v>
      </c>
      <c r="F51">
        <f t="shared" si="19"/>
        <v>1</v>
      </c>
      <c r="G51" t="str">
        <f t="shared" si="20"/>
        <v/>
      </c>
      <c r="H51">
        <f t="shared" si="20"/>
        <v>3</v>
      </c>
      <c r="I51">
        <f t="shared" si="20"/>
        <v>1</v>
      </c>
      <c r="K51">
        <f t="shared" si="21"/>
        <v>1</v>
      </c>
      <c r="L51">
        <f t="shared" si="22"/>
        <v>0</v>
      </c>
    </row>
    <row r="52" spans="1:12">
      <c r="A52" t="str">
        <f>tblIndicators!A8</f>
        <v>INST</v>
      </c>
      <c r="B52">
        <f t="shared" si="18"/>
        <v>7</v>
      </c>
      <c r="C52">
        <f>tblIndicators!C8</f>
        <v>1</v>
      </c>
      <c r="D52" t="str">
        <f>tblIndicators!I8</f>
        <v>0 - 100 where 100= best and 0=worst</v>
      </c>
      <c r="E52" t="str">
        <f>tblIndicators!H8</f>
        <v>Institutional framework</v>
      </c>
      <c r="F52">
        <f t="shared" si="19"/>
        <v>33.333333333333329</v>
      </c>
      <c r="G52" t="str">
        <f t="shared" si="20"/>
        <v/>
      </c>
      <c r="H52">
        <f t="shared" si="20"/>
        <v>75</v>
      </c>
      <c r="I52">
        <f t="shared" si="20"/>
        <v>24.999999999999996</v>
      </c>
      <c r="K52">
        <f t="shared" si="21"/>
        <v>37.5</v>
      </c>
      <c r="L52">
        <f t="shared" si="22"/>
        <v>-4.1666666666666714</v>
      </c>
    </row>
    <row r="53" spans="1:12">
      <c r="A53" t="str">
        <f>tblIndicators!A9</f>
        <v>INST01</v>
      </c>
      <c r="B53">
        <f t="shared" si="18"/>
        <v>8</v>
      </c>
      <c r="C53">
        <f>tblIndicators!C9</f>
        <v>2</v>
      </c>
      <c r="D53" t="str">
        <f>tblIndicators!I9</f>
        <v>0-4, where 4=best and 0=worst</v>
      </c>
      <c r="E53" t="str">
        <f>tblIndicators!H9</f>
        <v>Quality of institutional design</v>
      </c>
      <c r="F53">
        <f t="shared" si="19"/>
        <v>1</v>
      </c>
      <c r="G53" t="str">
        <f t="shared" si="20"/>
        <v/>
      </c>
      <c r="H53">
        <f t="shared" si="20"/>
        <v>3</v>
      </c>
      <c r="I53">
        <f t="shared" si="20"/>
        <v>1</v>
      </c>
      <c r="K53">
        <f t="shared" si="21"/>
        <v>1</v>
      </c>
      <c r="L53">
        <f t="shared" si="22"/>
        <v>0</v>
      </c>
    </row>
    <row r="54" spans="1:12">
      <c r="A54" t="str">
        <f>tblIndicators!A10</f>
        <v>INST02</v>
      </c>
      <c r="B54">
        <f t="shared" si="18"/>
        <v>9</v>
      </c>
      <c r="C54">
        <f>tblIndicators!C10</f>
        <v>2</v>
      </c>
      <c r="D54" t="str">
        <f>tblIndicators!I10</f>
        <v>0-4, where 4=best and 0=worst</v>
      </c>
      <c r="E54" t="str">
        <f>tblIndicators!H10</f>
        <v>PPP contract, hold-up and expropriation risk</v>
      </c>
      <c r="F54">
        <f t="shared" si="19"/>
        <v>2</v>
      </c>
      <c r="G54" t="str">
        <f t="shared" si="20"/>
        <v/>
      </c>
      <c r="H54">
        <f t="shared" si="20"/>
        <v>3</v>
      </c>
      <c r="I54">
        <f t="shared" si="20"/>
        <v>1</v>
      </c>
      <c r="K54">
        <f t="shared" si="21"/>
        <v>2</v>
      </c>
      <c r="L54">
        <f t="shared" si="22"/>
        <v>0</v>
      </c>
    </row>
    <row r="55" spans="1:12">
      <c r="A55" t="str">
        <f>tblIndicators!A11</f>
        <v>OPER</v>
      </c>
      <c r="B55">
        <f t="shared" si="18"/>
        <v>10</v>
      </c>
      <c r="C55">
        <f>tblIndicators!C11</f>
        <v>1</v>
      </c>
      <c r="D55" t="str">
        <f>tblIndicators!I11</f>
        <v>0 - 100 where 100= best and 0=worst</v>
      </c>
      <c r="E55" t="str">
        <f>tblIndicators!H11</f>
        <v>Operational maturity</v>
      </c>
      <c r="F55">
        <f t="shared" si="19"/>
        <v>19.345238095238095</v>
      </c>
      <c r="G55" t="str">
        <f t="shared" si="20"/>
        <v/>
      </c>
      <c r="H55">
        <f t="shared" si="20"/>
        <v>72.172619047619051</v>
      </c>
      <c r="I55">
        <f t="shared" si="20"/>
        <v>15.625</v>
      </c>
      <c r="K55">
        <f t="shared" si="21"/>
        <v>13.301282051282049</v>
      </c>
      <c r="L55">
        <f t="shared" si="22"/>
        <v>6.0439560439560456</v>
      </c>
    </row>
    <row r="56" spans="1:12">
      <c r="A56" t="str">
        <f>tblIndicators!A12</f>
        <v>OPER01</v>
      </c>
      <c r="B56">
        <f t="shared" si="18"/>
        <v>11</v>
      </c>
      <c r="C56">
        <f>tblIndicators!C12</f>
        <v>2</v>
      </c>
      <c r="D56" t="str">
        <f>tblIndicators!I12</f>
        <v>0-4, where 4=best and 0=worst</v>
      </c>
      <c r="E56" t="str">
        <f>tblIndicators!H12</f>
        <v>Public capacity to plan and oversee PPPs</v>
      </c>
      <c r="F56">
        <f t="shared" si="19"/>
        <v>2</v>
      </c>
      <c r="G56" t="str">
        <f t="shared" si="20"/>
        <v/>
      </c>
      <c r="H56">
        <f t="shared" si="20"/>
        <v>3</v>
      </c>
      <c r="I56">
        <f t="shared" si="20"/>
        <v>1</v>
      </c>
      <c r="K56">
        <f t="shared" si="21"/>
        <v>1</v>
      </c>
      <c r="L56">
        <f t="shared" si="22"/>
        <v>1</v>
      </c>
    </row>
    <row r="57" spans="1:12">
      <c r="A57" t="str">
        <f>tblIndicators!A13</f>
        <v>OPER02</v>
      </c>
      <c r="B57">
        <f t="shared" si="18"/>
        <v>12</v>
      </c>
      <c r="C57">
        <f>tblIndicators!C13</f>
        <v>2</v>
      </c>
      <c r="D57" t="str">
        <f>tblIndicators!I13</f>
        <v>0-4, where 4=best and 0=worst</v>
      </c>
      <c r="E57" t="str">
        <f>tblIndicators!H13</f>
        <v xml:space="preserve">Methods and criteria for awarding projects </v>
      </c>
      <c r="F57">
        <f t="shared" si="19"/>
        <v>1</v>
      </c>
      <c r="G57" t="str">
        <f t="shared" si="20"/>
        <v/>
      </c>
      <c r="H57">
        <f t="shared" si="20"/>
        <v>4</v>
      </c>
      <c r="I57">
        <f t="shared" si="20"/>
        <v>1</v>
      </c>
      <c r="K57">
        <f t="shared" si="21"/>
        <v>1</v>
      </c>
      <c r="L57">
        <f t="shared" si="22"/>
        <v>0</v>
      </c>
    </row>
    <row r="58" spans="1:12">
      <c r="A58" t="str">
        <f>tblIndicators!A14</f>
        <v>OPER03</v>
      </c>
      <c r="B58">
        <f t="shared" si="18"/>
        <v>13</v>
      </c>
      <c r="C58">
        <f>tblIndicators!C14</f>
        <v>2</v>
      </c>
      <c r="D58" t="str">
        <f>tblIndicators!I14</f>
        <v>0-4, where 4=best and 0=worst</v>
      </c>
      <c r="E58" t="str">
        <f>tblIndicators!H14</f>
        <v>Regulators' risk allocation record</v>
      </c>
      <c r="F58">
        <f t="shared" si="19"/>
        <v>1</v>
      </c>
      <c r="G58" t="str">
        <f t="shared" si="20"/>
        <v/>
      </c>
      <c r="H58">
        <f t="shared" si="20"/>
        <v>3</v>
      </c>
      <c r="I58">
        <f t="shared" si="20"/>
        <v>0</v>
      </c>
      <c r="K58">
        <f t="shared" si="21"/>
        <v>1</v>
      </c>
      <c r="L58">
        <f t="shared" si="22"/>
        <v>0</v>
      </c>
    </row>
    <row r="59" spans="1:12">
      <c r="A59" t="str">
        <f>tblIndicators!A15</f>
        <v>OPER04</v>
      </c>
      <c r="B59">
        <f t="shared" si="18"/>
        <v>14</v>
      </c>
      <c r="C59">
        <f>tblIndicators!C15</f>
        <v>2</v>
      </c>
      <c r="D59" t="str">
        <f>tblIndicators!I15</f>
        <v>Number of transport and water concession and greenfield projects in the past ten years (1997-2007)</v>
      </c>
      <c r="E59" t="str">
        <f>tblIndicators!H15</f>
        <v>Experience in PPP projects (concessions)</v>
      </c>
      <c r="F59">
        <f t="shared" si="19"/>
        <v>4</v>
      </c>
      <c r="G59" t="str">
        <f t="shared" si="20"/>
        <v/>
      </c>
      <c r="H59">
        <f t="shared" si="20"/>
        <v>44</v>
      </c>
      <c r="I59">
        <f t="shared" si="20"/>
        <v>0</v>
      </c>
      <c r="K59">
        <f t="shared" si="21"/>
        <v>5</v>
      </c>
      <c r="L59">
        <f t="shared" si="22"/>
        <v>-1</v>
      </c>
    </row>
    <row r="60" spans="1:12">
      <c r="A60" t="str">
        <f>tblIndicators!A16</f>
        <v>OPER05</v>
      </c>
      <c r="B60">
        <f t="shared" si="18"/>
        <v>15</v>
      </c>
      <c r="C60">
        <f>tblIndicators!C16</f>
        <v>2</v>
      </c>
      <c r="D60" t="str">
        <f>tblIndicators!I16</f>
        <v>0-4, where 4 = best and 0 = worst</v>
      </c>
      <c r="E60" t="str">
        <f>tblIndicators!H16</f>
        <v>Quality of PPP projects (concessions)</v>
      </c>
      <c r="F60">
        <f t="shared" si="19"/>
        <v>0</v>
      </c>
      <c r="G60" t="str">
        <f t="shared" si="20"/>
        <v/>
      </c>
      <c r="H60">
        <f t="shared" si="20"/>
        <v>4</v>
      </c>
      <c r="I60">
        <f t="shared" si="20"/>
        <v>1</v>
      </c>
      <c r="K60">
        <f t="shared" si="21"/>
        <v>0</v>
      </c>
      <c r="L60">
        <f t="shared" si="22"/>
        <v>0</v>
      </c>
    </row>
    <row r="61" spans="1:12">
      <c r="A61" t="str">
        <f>tblIndicators!A17</f>
        <v>INVT</v>
      </c>
      <c r="B61">
        <f t="shared" si="18"/>
        <v>16</v>
      </c>
      <c r="C61">
        <f>tblIndicators!C17</f>
        <v>1</v>
      </c>
      <c r="D61" t="str">
        <f>tblIndicators!I17</f>
        <v>0 - 100 where 100= best and 0=worst</v>
      </c>
      <c r="E61" t="str">
        <f>tblIndicators!H17</f>
        <v>Investment climate</v>
      </c>
      <c r="F61">
        <f t="shared" si="19"/>
        <v>43.66246989269667</v>
      </c>
      <c r="G61" t="str">
        <f t="shared" si="20"/>
        <v/>
      </c>
      <c r="H61">
        <f t="shared" si="20"/>
        <v>85.388051336694048</v>
      </c>
      <c r="I61">
        <f t="shared" si="20"/>
        <v>31.366383344203733</v>
      </c>
      <c r="K61">
        <f t="shared" si="21"/>
        <v>76.215057045683224</v>
      </c>
      <c r="L61">
        <f t="shared" si="22"/>
        <v>-32.552587152986554</v>
      </c>
    </row>
    <row r="62" spans="1:12">
      <c r="A62" t="str">
        <f>tblIndicators!A18</f>
        <v>INVT01</v>
      </c>
      <c r="B62">
        <f t="shared" si="18"/>
        <v>17</v>
      </c>
      <c r="C62">
        <f>tblIndicators!C18</f>
        <v>2</v>
      </c>
      <c r="D62" t="str">
        <f>tblIndicators!I18</f>
        <v>Rating, 0-100 where 100=best</v>
      </c>
      <c r="E62" t="str">
        <f>tblIndicators!H18</f>
        <v>Political distortion</v>
      </c>
      <c r="F62">
        <f t="shared" si="19"/>
        <v>55.755211307958795</v>
      </c>
      <c r="G62" t="str">
        <f t="shared" si="20"/>
        <v/>
      </c>
      <c r="H62">
        <f t="shared" si="20"/>
        <v>73.744616053998584</v>
      </c>
      <c r="I62">
        <f t="shared" si="20"/>
        <v>25.871628037437148</v>
      </c>
      <c r="K62">
        <f t="shared" si="21"/>
        <v>54.755211307958795</v>
      </c>
      <c r="L62">
        <f t="shared" si="22"/>
        <v>1</v>
      </c>
    </row>
    <row r="63" spans="1:12">
      <c r="A63" t="str">
        <f>tblIndicators!A19</f>
        <v>INVT02</v>
      </c>
      <c r="B63">
        <f t="shared" si="18"/>
        <v>18</v>
      </c>
      <c r="C63">
        <f>tblIndicators!C19</f>
        <v>2</v>
      </c>
      <c r="D63" t="str">
        <f>tblIndicators!I19</f>
        <v>Rating, 0-100 where 100=best</v>
      </c>
      <c r="E63" t="str">
        <f>tblIndicators!H19</f>
        <v>Business environment</v>
      </c>
      <c r="F63">
        <f t="shared" si="19"/>
        <v>52.228001596161221</v>
      </c>
      <c r="G63" t="str">
        <f t="shared" si="20"/>
        <v/>
      </c>
      <c r="H63">
        <f t="shared" si="20"/>
        <v>67.807589292777578</v>
      </c>
      <c r="I63">
        <f t="shared" si="20"/>
        <v>32.92723867271112</v>
      </c>
      <c r="K63">
        <f t="shared" si="21"/>
        <v>50.263715881875513</v>
      </c>
      <c r="L63">
        <f t="shared" si="22"/>
        <v>1.9642857142857082</v>
      </c>
    </row>
    <row r="64" spans="1:12">
      <c r="A64" t="str">
        <f>tblIndicators!A20</f>
        <v>INVT03</v>
      </c>
      <c r="B64">
        <f t="shared" si="18"/>
        <v>19</v>
      </c>
      <c r="C64">
        <f>tblIndicators!C20</f>
        <v>2</v>
      </c>
      <c r="D64" t="str">
        <f>tblIndicators!I20</f>
        <v>Rating, 0-3 where 3=best</v>
      </c>
      <c r="E64" t="str">
        <f>tblIndicators!H20</f>
        <v>Political will</v>
      </c>
      <c r="F64">
        <f t="shared" si="19"/>
        <v>1</v>
      </c>
      <c r="G64" t="str">
        <f t="shared" si="20"/>
        <v/>
      </c>
      <c r="H64">
        <f t="shared" si="20"/>
        <v>3</v>
      </c>
      <c r="I64">
        <f t="shared" si="20"/>
        <v>1</v>
      </c>
      <c r="K64">
        <f t="shared" si="21"/>
        <v>0.20222222222222222</v>
      </c>
      <c r="L64">
        <f t="shared" si="22"/>
        <v>0.79777777777777781</v>
      </c>
    </row>
    <row r="65" spans="1:12">
      <c r="A65" t="str">
        <f>tblIndicators!A21</f>
        <v>FINC</v>
      </c>
      <c r="B65">
        <f t="shared" ref="B65:B71" si="23">MATCH(A65,score2009_indi,0)</f>
        <v>20</v>
      </c>
      <c r="C65">
        <f>tblIndicators!C21</f>
        <v>1</v>
      </c>
      <c r="D65" t="str">
        <f>tblIndicators!I21</f>
        <v>0 - 100 where 100= best and 0=worst</v>
      </c>
      <c r="E65" t="str">
        <f>tblIndicators!H21</f>
        <v>Financial facilities</v>
      </c>
      <c r="F65">
        <f t="shared" si="19"/>
        <v>30.555555555555557</v>
      </c>
      <c r="G65" t="str">
        <f t="shared" si="20"/>
        <v/>
      </c>
      <c r="H65">
        <f t="shared" si="20"/>
        <v>97.222222222222214</v>
      </c>
      <c r="I65">
        <f t="shared" si="20"/>
        <v>25</v>
      </c>
      <c r="K65">
        <f t="shared" ref="K65:K71" si="24">IF($C65&lt;2,INDEX(scores_2008,$B65,F$15),INDEX(data_2008,$B65,F$15))</f>
        <v>24.999999999999993</v>
      </c>
      <c r="L65">
        <f t="shared" ref="L65:L71" si="25">F65-K65</f>
        <v>5.5555555555555642</v>
      </c>
    </row>
    <row r="66" spans="1:12">
      <c r="A66" t="str">
        <f>tblIndicators!A22</f>
        <v>FINC01</v>
      </c>
      <c r="B66">
        <f t="shared" si="23"/>
        <v>21</v>
      </c>
      <c r="C66">
        <f>tblIndicators!C22</f>
        <v>2</v>
      </c>
      <c r="D66" t="str">
        <f>tblIndicators!I22</f>
        <v>0-4, where 4=best and 0=worst</v>
      </c>
      <c r="E66" t="str">
        <f>tblIndicators!H22</f>
        <v>Government payment risk</v>
      </c>
      <c r="F66">
        <f t="shared" si="19"/>
        <v>2</v>
      </c>
      <c r="G66" t="str">
        <f t="shared" si="20"/>
        <v/>
      </c>
      <c r="H66">
        <f t="shared" si="20"/>
        <v>4</v>
      </c>
      <c r="I66">
        <f t="shared" si="20"/>
        <v>1</v>
      </c>
      <c r="K66">
        <f t="shared" si="24"/>
        <v>1</v>
      </c>
      <c r="L66">
        <f t="shared" si="25"/>
        <v>1</v>
      </c>
    </row>
    <row r="67" spans="1:12">
      <c r="A67" t="str">
        <f>tblIndicators!A23</f>
        <v>FINC02</v>
      </c>
      <c r="B67">
        <f t="shared" si="23"/>
        <v>22</v>
      </c>
      <c r="C67">
        <f>tblIndicators!C23</f>
        <v>2</v>
      </c>
      <c r="D67" t="str">
        <f>tblIndicators!I23</f>
        <v>0-4, where 4=best and 0=worst</v>
      </c>
      <c r="E67" t="str">
        <f>tblIndicators!H23</f>
        <v>Capital market: private infrastructure finance</v>
      </c>
      <c r="F67">
        <f t="shared" si="19"/>
        <v>1</v>
      </c>
      <c r="G67" t="str">
        <f t="shared" si="20"/>
        <v/>
      </c>
      <c r="H67">
        <f t="shared" si="20"/>
        <v>4</v>
      </c>
      <c r="I67">
        <f t="shared" si="20"/>
        <v>1</v>
      </c>
      <c r="K67">
        <f t="shared" si="24"/>
        <v>1</v>
      </c>
      <c r="L67">
        <f t="shared" si="25"/>
        <v>0</v>
      </c>
    </row>
    <row r="68" spans="1:12">
      <c r="A68" t="str">
        <f>tblIndicators!A24</f>
        <v>FINC03</v>
      </c>
      <c r="B68">
        <f t="shared" si="23"/>
        <v>23</v>
      </c>
      <c r="C68">
        <f>tblIndicators!C24</f>
        <v>2</v>
      </c>
      <c r="D68" t="str">
        <f>tblIndicators!I24</f>
        <v>0-4, where 4=best and 0=worst</v>
      </c>
      <c r="E68" t="str">
        <f>tblIndicators!H24</f>
        <v>Marketable debt</v>
      </c>
      <c r="F68">
        <f t="shared" si="19"/>
        <v>1</v>
      </c>
      <c r="G68" t="str">
        <f t="shared" si="20"/>
        <v/>
      </c>
      <c r="H68">
        <f t="shared" si="20"/>
        <v>4</v>
      </c>
      <c r="I68">
        <f t="shared" si="20"/>
        <v>1</v>
      </c>
      <c r="K68">
        <f t="shared" si="24"/>
        <v>1</v>
      </c>
      <c r="L68">
        <f t="shared" si="25"/>
        <v>0</v>
      </c>
    </row>
    <row r="69" spans="1:12">
      <c r="A69" t="str">
        <f>tblIndicators!A25</f>
        <v>FINC04</v>
      </c>
      <c r="B69">
        <f t="shared" si="23"/>
        <v>24</v>
      </c>
      <c r="C69">
        <f>tblIndicators!C25</f>
        <v>2</v>
      </c>
      <c r="D69" t="str">
        <f>tblIndicators!I25</f>
        <v>0-4, where 4=best and 0=worst</v>
      </c>
      <c r="E69" t="str">
        <f>tblIndicators!H25</f>
        <v>Government support and affordability for low income users</v>
      </c>
      <c r="F69">
        <f t="shared" si="19"/>
        <v>1</v>
      </c>
      <c r="G69" t="str">
        <f t="shared" si="20"/>
        <v/>
      </c>
      <c r="H69">
        <f t="shared" si="20"/>
        <v>3</v>
      </c>
      <c r="I69">
        <f t="shared" si="20"/>
        <v>1</v>
      </c>
      <c r="K69">
        <f t="shared" si="24"/>
        <v>1</v>
      </c>
      <c r="L69">
        <f t="shared" si="25"/>
        <v>0</v>
      </c>
    </row>
    <row r="70" spans="1:12">
      <c r="A70" t="str">
        <f>tblIndicators!A26</f>
        <v>NEWSEC</v>
      </c>
      <c r="B70">
        <f t="shared" si="23"/>
        <v>25</v>
      </c>
      <c r="C70">
        <f>tblIndicators!C26</f>
        <v>1</v>
      </c>
      <c r="D70" t="str">
        <f>tblIndicators!I26</f>
        <v>0 - 100 where 100= best and 0=worst</v>
      </c>
      <c r="E70" t="str">
        <f>tblIndicators!H26</f>
        <v>Subnational adjustment</v>
      </c>
      <c r="F70">
        <f t="shared" si="19"/>
        <v>25</v>
      </c>
      <c r="G70" t="str">
        <f t="shared" ref="G70:I71" si="26">IF(G$15=0,"",IF($C70&lt;2,INDEX(scores_2009,$B70,G$15),INDEX(data_2009,$B70,G$15)))</f>
        <v/>
      </c>
      <c r="H70">
        <f t="shared" si="26"/>
        <v>50</v>
      </c>
      <c r="I70">
        <f t="shared" si="26"/>
        <v>25</v>
      </c>
      <c r="K70" t="e">
        <f t="shared" si="24"/>
        <v>#REF!</v>
      </c>
      <c r="L70" t="e">
        <f t="shared" si="25"/>
        <v>#REF!</v>
      </c>
    </row>
    <row r="71" spans="1:12">
      <c r="A71" t="str">
        <f>tblIndicators!A27</f>
        <v>NEWSEC01</v>
      </c>
      <c r="B71">
        <f t="shared" si="23"/>
        <v>26</v>
      </c>
      <c r="C71">
        <f>tblIndicators!C27</f>
        <v>2</v>
      </c>
      <c r="D71" t="str">
        <f>tblIndicators!I27</f>
        <v>0-4, where 4=best and 0=worst</v>
      </c>
      <c r="E71" t="str">
        <f>tblIndicators!H27</f>
        <v>Subnational adjustment factor</v>
      </c>
      <c r="F71">
        <f t="shared" si="19"/>
        <v>1</v>
      </c>
      <c r="G71" t="str">
        <f t="shared" si="26"/>
        <v/>
      </c>
      <c r="H71">
        <f t="shared" si="26"/>
        <v>2</v>
      </c>
      <c r="I71">
        <f t="shared" si="26"/>
        <v>1</v>
      </c>
      <c r="K71" t="e">
        <f t="shared" si="24"/>
        <v>#REF!</v>
      </c>
      <c r="L71" t="e">
        <f t="shared" si="25"/>
        <v>#REF!</v>
      </c>
    </row>
  </sheetData>
  <phoneticPr fontId="0"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sheetPr codeName="Sheet22"/>
  <dimension ref="A1:U40"/>
  <sheetViews>
    <sheetView showGridLines="0" showRowColHeaders="0" zoomScale="75" zoomScaleNormal="100" workbookViewId="0">
      <pane ySplit="13" topLeftCell="A14" activePane="bottomLeft" state="frozen"/>
      <selection activeCell="H4" sqref="H4"/>
      <selection pane="bottomLeft" activeCell="F5" sqref="F5"/>
    </sheetView>
  </sheetViews>
  <sheetFormatPr defaultRowHeight="15"/>
  <cols>
    <col min="1" max="1" width="1.28515625" customWidth="1"/>
    <col min="2" max="2" width="4.85546875" customWidth="1"/>
    <col min="3" max="3" width="1.7109375" hidden="1" customWidth="1"/>
    <col min="4" max="4" width="39" bestFit="1" customWidth="1"/>
    <col min="5" max="5" width="6.140625" customWidth="1"/>
    <col min="6" max="6" width="8.85546875" customWidth="1"/>
    <col min="9" max="9" width="67.7109375" customWidth="1"/>
    <col min="11" max="11" width="87.140625" hidden="1" customWidth="1"/>
    <col min="12" max="14" width="9.140625" hidden="1" customWidth="1"/>
    <col min="15" max="15" width="86.42578125" hidden="1" customWidth="1"/>
    <col min="16" max="16" width="9.140625" hidden="1" customWidth="1"/>
  </cols>
  <sheetData>
    <row r="1" spans="1:15" ht="23.25" customHeight="1">
      <c r="A1" s="72" t="s">
        <v>578</v>
      </c>
      <c r="B1" s="72"/>
      <c r="C1" s="72"/>
      <c r="D1" s="72"/>
      <c r="E1" s="72"/>
      <c r="F1" s="72"/>
      <c r="G1" s="72"/>
      <c r="H1" s="72" t="s">
        <v>823</v>
      </c>
      <c r="I1" s="85"/>
    </row>
    <row r="2" spans="1:15" ht="10.5" customHeight="1"/>
    <row r="3" spans="1:15" ht="18.75">
      <c r="D3" s="55" t="str">
        <f>UPPER(iCP!C1)</f>
        <v>URUGUAY</v>
      </c>
    </row>
    <row r="4" spans="1:15" ht="34.5" customHeight="1">
      <c r="E4" s="63" t="s">
        <v>568</v>
      </c>
      <c r="F4" s="210" t="s">
        <v>6</v>
      </c>
      <c r="G4" s="63" t="s">
        <v>2</v>
      </c>
    </row>
    <row r="5" spans="1:15">
      <c r="A5" s="162"/>
      <c r="B5" s="162">
        <f>iCP!L7</f>
        <v>1</v>
      </c>
      <c r="D5" s="54" t="str">
        <f>iCP!E7</f>
        <v>OVERALL SCORE</v>
      </c>
      <c r="E5" s="53">
        <f>iCP!F7</f>
        <v>31.794906198190212</v>
      </c>
      <c r="F5" s="92" t="str">
        <f>iCP!K7</f>
        <v>+4.7</v>
      </c>
      <c r="G5" s="79">
        <f ca="1">iCP!G7</f>
        <v>9</v>
      </c>
    </row>
    <row r="6" spans="1:15">
      <c r="A6" s="162"/>
      <c r="B6" s="162">
        <f>iCP!L8</f>
        <v>1</v>
      </c>
      <c r="D6" s="54" t="str">
        <f>iCP!E8</f>
        <v>Legal and regulatory framework</v>
      </c>
      <c r="E6" s="53">
        <f>iCP!F8</f>
        <v>34.375</v>
      </c>
      <c r="F6" s="92" t="str">
        <f>iCP!K8</f>
        <v>+9.4</v>
      </c>
      <c r="G6" s="79" t="str">
        <f ca="1">iCP!G8</f>
        <v>=8</v>
      </c>
    </row>
    <row r="7" spans="1:15">
      <c r="A7" s="162"/>
      <c r="B7" s="162">
        <f>iCP!L9</f>
        <v>0</v>
      </c>
      <c r="D7" s="54" t="str">
        <f>iCP!E9</f>
        <v>Institutional framework</v>
      </c>
      <c r="E7" s="53">
        <f>iCP!F9</f>
        <v>33.333333333333329</v>
      </c>
      <c r="F7" s="92" t="str">
        <f>iCP!K9</f>
        <v>-</v>
      </c>
      <c r="G7" s="79" t="str">
        <f ca="1">iCP!G9</f>
        <v>=7</v>
      </c>
    </row>
    <row r="8" spans="1:15">
      <c r="A8" s="162"/>
      <c r="B8" s="162">
        <f>iCP!L10</f>
        <v>1</v>
      </c>
      <c r="D8" s="54" t="str">
        <f>iCP!E10</f>
        <v>Operational maturity</v>
      </c>
      <c r="E8" s="53">
        <f>iCP!F10</f>
        <v>19.345238095238095</v>
      </c>
      <c r="F8" s="92" t="str">
        <f>iCP!K10</f>
        <v>+5.6</v>
      </c>
      <c r="G8" s="79">
        <f ca="1">iCP!G10</f>
        <v>12</v>
      </c>
    </row>
    <row r="9" spans="1:15">
      <c r="A9" s="162"/>
      <c r="B9" s="162">
        <f>iCP!L11</f>
        <v>1</v>
      </c>
      <c r="D9" s="54" t="str">
        <f>iCP!E11</f>
        <v>Investment climate</v>
      </c>
      <c r="E9" s="53">
        <f>iCP!F11</f>
        <v>43.66246989269667</v>
      </c>
      <c r="F9" s="92" t="str">
        <f>iCP!K11</f>
        <v>+1.5</v>
      </c>
      <c r="G9" s="79">
        <f ca="1">iCP!G11</f>
        <v>10</v>
      </c>
    </row>
    <row r="10" spans="1:15">
      <c r="A10" s="162"/>
      <c r="B10" s="162">
        <f>iCP!L12</f>
        <v>1</v>
      </c>
      <c r="D10" s="54" t="str">
        <f>iCP!E12</f>
        <v>Financial facilities</v>
      </c>
      <c r="E10" s="53">
        <f>iCP!F12</f>
        <v>30.555555555555557</v>
      </c>
      <c r="F10" s="92" t="str">
        <f>iCP!K12</f>
        <v>+5.6</v>
      </c>
      <c r="G10" s="79" t="str">
        <f ca="1">iCP!G12</f>
        <v>=11</v>
      </c>
    </row>
    <row r="11" spans="1:15">
      <c r="A11" s="162"/>
      <c r="B11" s="162" t="e">
        <f>iCP!L13</f>
        <v>#REF!</v>
      </c>
      <c r="D11" s="54" t="str">
        <f>iCP!E13</f>
        <v>Subnational adjustment</v>
      </c>
      <c r="E11" s="53">
        <f>iCP!F13</f>
        <v>25</v>
      </c>
      <c r="F11" s="92"/>
      <c r="G11" s="79" t="str">
        <f ca="1">iCP!G13</f>
        <v>=7</v>
      </c>
    </row>
    <row r="12" spans="1:15">
      <c r="A12" s="162"/>
      <c r="B12" s="162"/>
      <c r="E12" s="47"/>
      <c r="F12" s="47"/>
      <c r="G12" s="41"/>
    </row>
    <row r="13" spans="1:15">
      <c r="A13" s="162"/>
      <c r="B13" s="162"/>
      <c r="C13" s="80"/>
      <c r="D13" s="80"/>
      <c r="E13" s="82" t="s">
        <v>568</v>
      </c>
      <c r="F13" s="82" t="s">
        <v>545</v>
      </c>
      <c r="G13" s="83"/>
      <c r="H13" s="81"/>
      <c r="I13" s="84" t="s">
        <v>569</v>
      </c>
      <c r="K13" t="s">
        <v>895</v>
      </c>
    </row>
    <row r="14" spans="1:15" ht="4.5" customHeight="1">
      <c r="A14" s="162"/>
      <c r="B14" s="162"/>
      <c r="E14" s="38"/>
      <c r="F14" s="38"/>
    </row>
    <row r="15" spans="1:15" ht="15.75">
      <c r="A15" s="162"/>
      <c r="B15" s="162"/>
      <c r="C15" s="62" t="str">
        <f>iCP!E18</f>
        <v>REGULATORY FRAMEWORK</v>
      </c>
      <c r="E15" s="57"/>
      <c r="F15" s="57"/>
      <c r="G15" s="58" t="str">
        <f>iCP!L18</f>
        <v/>
      </c>
      <c r="H15" s="56"/>
      <c r="I15" s="56"/>
    </row>
    <row r="16" spans="1:15" ht="157.5">
      <c r="A16" s="162"/>
      <c r="B16" s="162">
        <f>iCP!P19</f>
        <v>0</v>
      </c>
      <c r="C16" s="59"/>
      <c r="D16" s="156" t="str">
        <f>iCP!E19</f>
        <v xml:space="preserve">   Consistency and quality of PPP regulations</v>
      </c>
      <c r="E16" s="157">
        <f>iCP!F19</f>
        <v>25</v>
      </c>
      <c r="F16" s="158" t="str">
        <f>iCP!O19</f>
        <v>-</v>
      </c>
      <c r="G16" s="235" t="str">
        <f>iCP!K19</f>
        <v xml:space="preserve">Uruguay established a legal framework for public works concessions in 1984 with Law No 15.637. This framework is of a general nature, leaving project details to be set with each contract. Further details were established in public purchase laws, which have been modified several times. The latest version regulates all public purchases and is in the Texto Ordenado de Contabilidad y Administración Financiera (Tocaf, the Public Purchase Law). These regulations require adherence to financial equilibrium and do not allow the use of arbitration mechanisms to resolve conflicts. Decree 442 regulates “private initiatives”, and the regulation of private initiatives is cumbersome as it generates an excessive incentive for private sector bidders and also establishes a right of first refusal that inhibits competitors. There are also laws that apply to electricity, water, seaport, railroad and airport projects. Many of these laws established state monopolies in the provision of certain services in these areas. 
 Nevertheless, Laws No. 15.637 and 17.555 do permit investment in the transport sector and the drinking water segment at various levels of government. When a 1992 referendum established that the majority of the population was against the privatisation of state enterprises, concessions became one of the few options for introducing private capital in infrastructure development. Using the 1984 law as a foundation, road concessions and a concession for a transport corridor in Rio de la Plata were developed in the 1990s. A later law from 1991 reorganised the port sector into regional firms and included the option of concessioning specific terminals within the jurisdiction of each firm. In the water sector, Law No. 17.555 allowed Obras Sanitarias del Estado (OSE, the state sanitation works firm), to award concessions in cities or specific regions. After the first concessions in Maldonado, however, a political movement forced a constitutional reform that made all hydrological resources subject to social considerations before economic ones and authorised the termination of any concession that threatened this principle. 
In 2001 the government developed a new road concessions system, called the Roads Mega Concession. In this scheme, the Ministry of Transport and Public Works created a National Road Company (Corporación Vial del Uruguay – CVU) as the operator of more than 1,000 km of roads, although its network will be expanded to include other roads once their concessions expire. This company can incorporate up to 40% private capital and is responsible for contracting private construction companies for the development and maintenance of the network, and must obtain financing from the market or from government subsidies. However, this scheme is in reality equivalent to public investment, since no additional risk is transferred to the private sector while borrowing is classified as off-public balance sheet, reducing public accountability. In reality, this creates a de-facto state monopoly without any formal regulator to manage the main road networks. This is a radical shift from the road concessions that were implemented in Uruguay at the beginning of the 1990s. 
More recently, the government has indicated interest in promoting a national PPP programme to facilitate more effective infrastructure investment, and has been preparing legal reforms to the existing PPP framework, which still need to be debated in Congress, to improve the PPP frameworks. 
Law No. 16.832 opened electricity generation to private investment and separated the regulatory and entrepreneurial roles of the state. Nevertheless, electricity regulations established that services in the segment can only be offered to consumers by Administración Nacional de Usinas y Transmisión Electric (UTE, the state electricity company). This company could contract out energy generation capacity with the private sector using its transmission and distribution capacity for selling to end users. A new policy to attract private investment in renewable energy was defined in 2007, where UTE is the only buyer of the energy generated. The government is promoting private investment of micro-hydraulic, biomass and wind energy generators, while restricting private participation in traditional generation methods. Although total private supply is growing, it represents less than 10% of the energy generated at present. </v>
      </c>
      <c r="H16" s="235"/>
      <c r="I16" s="235"/>
      <c r="K16" s="165" t="str">
        <f>iCP!R19</f>
        <v xml:space="preserve">Uruguay established a legal framework for public works concessions in 1984 with Law No 15.637. This framework is of a general nature, leaving project details to be set with each contract. Further details were established in public purchase laws, which have been modified several times. The latest version regulates all public purchases and is in the Texto Ordenado de Contabilidad y Administración Financiera (Tocaf, the Public Purchase Law). These regulations require adherence to financial equilibrium and do not allow the use of arbitration mechanisms to resolve conflicts. Decree 442 regulates “private initiatives”, and the regulation of private initiatives is cumbersome as it generates an excessive incentive for private sector bidders and also establishes a right of first refusal that inhibits competitors. There are also laws that apply to electricity, water, seaport, railroad and airport projects. Many of these laws established state monopolies in the provision of certain services in these areas. 
 Nevertheless, Laws No. 15.637 and 17.555 do permit investment in the transport sector and the drinking water segment at various levels of government. When a 1992 referendum established that the majority of the population was against the privatisation of state enterprises, concessions became one of the few options for introducing private capital in infrastructure development. Using the 1984 law as a foundation, road concessions and a concession for a transport corridor in Rio de la Plata were developed in the 1990s. A later law from 1991 reorganised the port sector into regional firms and included the option of concessioning specific terminals within the jurisdiction of each firm. In the water sector, Law No. 17.555 allowed Obras Sanitarias del Estado (OSE, the state sanitation works firm), to award concessions in cities or specific regions. After the first concessions in Maldonado, however, a political movement forced a constitutional reform that made all hydrological resources subject to social considerations before economic ones and authorised the termination of any concession that threatened this principle. 
In 2001 the government developed a new road concessions system, called the Roads Mega Concession. In this scheme, the Ministry of Transport and Public Works created a National Road Company (Corporación Vial del Uruguay – CVU) as the operator of more than 1,000 km of roads, although its network will be expanded to include other roads once their concessions expire. This company can incorporate up to 40% private capital and is responsible for contracting private construction companies for the development and maintenance of the network, and must obtain financing from the market or from government subsidies. However, this scheme is in reality equivalent to public investment, since no additional risk is transferred to the private sector while borrowing is classified as off-public balance sheet, reducing public accountability. In reality, this creates a de-facto state monopoly without any formal regulator to manage the main road networks. This is a radical shift from the road concessions that were implemented in Uruguay at the beginning of the 1990s. 
More recently, the government has indicated interest in promoting a national PPP programme to facilitate more effective infrastructure investment, and has been preparing legal reforms to the existing PPP framework, which still need to be debated in Congress, to improve the PPP frameworks. 
Law No. 16.832 opened electricity generation to private investment and separated the regulatory and entrepreneurial roles of the state. Nevertheless, electricity regulations established that services in the segment can only be offered to consumers by Administración Nacional de Usinas y Transmisión Electric (UTE, the state electricity company). This company could contract out energy generation capacity with the private sector using its transmission and distribution capacity for selling to end users. A new policy to attract private investment in renewable energy was defined in 2007, where UTE is the only buyer of the energy generated. The government is promoting private investment of micro-hydraulic, biomass and wind energy generators, while restricting private participation in traditional generation methods. Although total private supply is growing, it represents less than 10% of the energy generated at present. </v>
      </c>
      <c r="O16" s="155" t="str">
        <f>G16</f>
        <v xml:space="preserve">Uruguay established a legal framework for public works concessions in 1984 with Law No 15.637. This framework is of a general nature, leaving project details to be set with each contract. Further details were established in public purchase laws, which have been modified several times. The latest version regulates all public purchases and is in the Texto Ordenado de Contabilidad y Administración Financiera (Tocaf, the Public Purchase Law). These regulations require adherence to financial equilibrium and do not allow the use of arbitration mechanisms to resolve conflicts. Decree 442 regulates “private initiatives”, and the regulation of private initiatives is cumbersome as it generates an excessive incentive for private sector bidders and also establishes a right of first refusal that inhibits competitors. There are also laws that apply to electricity, water, seaport, railroad and airport projects. Many of these laws established state monopolies in the provision of certain services in these areas. 
 Nevertheless, Laws No. 15.637 and 17.555 do permit investment in the transport sector and the drinking water segment at various levels of government. When a 1992 referendum established that the majority of the population was against the privatisation of state enterprises, concessions became one of the few options for introducing private capital in infrastructure development. Using the 1984 law as a foundation, road concessions and a concession for a transport corridor in Rio de la Plata were developed in the 1990s. A later law from 1991 reorganised the port sector into regional firms and included the option of concessioning specific terminals within the jurisdiction of each firm. In the water sector, Law No. 17.555 allowed Obras Sanitarias del Estado (OSE, the state sanitation works firm), to award concessions in cities or specific regions. After the first concessions in Maldonado, however, a political movement forced a constitutional reform that made all hydrological resources subject to social considerations before economic ones and authorised the termination of any concession that threatened this principle. 
In 2001 the government developed a new road concessions system, called the Roads Mega Concession. In this scheme, the Ministry of Transport and Public Works created a National Road Company (Corporación Vial del Uruguay – CVU) as the operator of more than 1,000 km of roads, although its network will be expanded to include other roads once their concessions expire. This company can incorporate up to 40% private capital and is responsible for contracting private construction companies for the development and maintenance of the network, and must obtain financing from the market or from government subsidies. However, this scheme is in reality equivalent to public investment, since no additional risk is transferred to the private sector while borrowing is classified as off-public balance sheet, reducing public accountability. In reality, this creates a de-facto state monopoly without any formal regulator to manage the main road networks. This is a radical shift from the road concessions that were implemented in Uruguay at the beginning of the 1990s. 
More recently, the government has indicated interest in promoting a national PPP programme to facilitate more effective infrastructure investment, and has been preparing legal reforms to the existing PPP framework, which still need to be debated in Congress, to improve the PPP frameworks. 
Law No. 16.832 opened electricity generation to private investment and separated the regulatory and entrepreneurial roles of the state. Nevertheless, electricity regulations established that services in the segment can only be offered to consumers by Administración Nacional de Usinas y Transmisión Electric (UTE, the state electricity company). This company could contract out energy generation capacity with the private sector using its transmission and distribution capacity for selling to end users. A new policy to attract private investment in renewable energy was defined in 2007, where UTE is the only buyer of the energy generated. The government is promoting private investment of micro-hydraulic, biomass and wind energy generators, while restricting private participation in traditional generation methods. Although total private supply is growing, it represents less than 10% of the energy generated at present. </v>
      </c>
    </row>
    <row r="17" spans="1:21" ht="112.5">
      <c r="A17" s="162"/>
      <c r="B17" s="162">
        <f>iCP!P20</f>
        <v>0</v>
      </c>
      <c r="C17" s="59"/>
      <c r="D17" s="60" t="str">
        <f>iCP!E20</f>
        <v xml:space="preserve">   Effective PPP selection and decision making</v>
      </c>
      <c r="E17" s="61">
        <f>iCP!F20</f>
        <v>50</v>
      </c>
      <c r="F17" s="143" t="str">
        <f>iCP!O20</f>
        <v>+25.0</v>
      </c>
      <c r="G17" s="236" t="str">
        <f>iCP!K20</f>
        <v xml:space="preserve">The Ministry of Economy and Finance and the Planning and Budgeting Office have responsibility for supervising the public investment process. The process of planning, prioritising and evaluating public investment is in the early stages of development; only in the last five years has a public investment system, the Nacional Plan de Inversiones (NIP) been created at a national level, allowing for project and investment evaluation schemes to be standardised. Currently, concession projects do not undergo a rigorous evaluation process and are not subject to comparisons with public investment alternatives. Accounting for contingent liabilities and for deferred payments has not been harmonised with general public investment accounting practices. The structures of quasi-state entities, such as the National Road Corporation, have worsened fiscal accounting practices, since investments carried out with the support of the state are considered outside the government budget (as off-balance-sheet items). Water and electricity have remained as public investment. Renewable energy is an exception, as UTE is calling for bids that are generating significant competition. </v>
      </c>
      <c r="H17" s="236"/>
      <c r="I17" s="236"/>
      <c r="K17" s="166" t="str">
        <f>iCP!R20</f>
        <v xml:space="preserve">The Ministry of Economy and Finance and the Planning and Budgeting Office have responsibility for supervising the public investment process. The process of planning, prioritising and evaluating public investment is in the early stages of development; only in the last five years has a public investment system, the Nacional Plan de Inversiones (NIP) been created at a national level, allowing for project and investment evaluation schemes to be standardised. Currently, concession projects do not undergo a rigorous evaluation process and are not subject to comparisons with public investment alternatives. Accounting for contingent liabilities and for deferred payments has not been harmonised with general public investment accounting practices. The structures of quasi-state entities, such as the National Road Corporation, have worsened fiscal accounting practices, since investments carried out with the support of the state are considered outside the government budget (as off-balance-sheet items). Water and electricity have remained as public investment. Renewable energy is an exception, as UTE is calling for bids that are generating significant competition. </v>
      </c>
      <c r="O17" s="155" t="str">
        <f t="shared" ref="O17:O36" si="0">G17</f>
        <v xml:space="preserve">The Ministry of Economy and Finance and the Planning and Budgeting Office have responsibility for supervising the public investment process. The process of planning, prioritising and evaluating public investment is in the early stages of development; only in the last five years has a public investment system, the Nacional Plan de Inversiones (NIP) been created at a national level, allowing for project and investment evaluation schemes to be standardised. Currently, concession projects do not undergo a rigorous evaluation process and are not subject to comparisons with public investment alternatives. Accounting for contingent liabilities and for deferred payments has not been harmonised with general public investment accounting practices. The structures of quasi-state entities, such as the National Road Corporation, have worsened fiscal accounting practices, since investments carried out with the support of the state are considered outside the government budget (as off-balance-sheet items). Water and electricity have remained as public investment. Renewable energy is an exception, as UTE is calling for bids that are generating significant competition. </v>
      </c>
      <c r="U17" t="s">
        <v>888</v>
      </c>
    </row>
    <row r="18" spans="1:21" ht="135">
      <c r="A18" s="162"/>
      <c r="B18" s="162">
        <f>iCP!P21</f>
        <v>0</v>
      </c>
      <c r="C18" s="59"/>
      <c r="D18" s="156" t="str">
        <f>iCP!E21</f>
        <v xml:space="preserve">   Fairness/openness of bids, contract changes</v>
      </c>
      <c r="E18" s="157">
        <f>iCP!F21</f>
        <v>50</v>
      </c>
      <c r="F18" s="158" t="str">
        <f>iCP!O21</f>
        <v>+25.0</v>
      </c>
      <c r="G18" s="235" t="str">
        <f>iCP!K21</f>
        <v xml:space="preserve">Foreign and domestic investors are generally treated equally. But starting in January 2009, in light of the global financial crisis, domestic firms were granted advantages over foreign ones for bidding. Political interference often stymies the bidding process and obscures transparency. Multiple factors are considered in contract awards, reducing efficiency and increasing the risk of non-compliance after a contract is signed. Contract renegotiations are allowed, but they are not regulated. Government discretion and political interference is not restricted or addressed by any laws. The Tocaf also allows direct negotiation of concessions. 
One of the problems that severely affects public bidding processes is the opportunistic utilisation of mechanisms that paralyse bidding processes. In light of this, the government has decided to utilise state-owned companies and create new companies under private law and put their shares out for tender, since bidders that participate in the process cannot paralyse the allocation process. This scheme is generally not appropriate for awarding infrastructure concessions, however, and should be used only for more standardised projects. 
The government is opening removable energy generation to the private sector in a transparent and competitive manner, with UTE making international calls for the presentation of projects. </v>
      </c>
      <c r="H18" s="235"/>
      <c r="I18" s="235"/>
      <c r="K18" s="165" t="str">
        <f>iCP!R21</f>
        <v xml:space="preserve">Foreign and domestic investors are generally treated equally. But starting in January 2009, in light of the global financial crisis, domestic firms were granted advantages over foreign ones for bidding. Political interference often stymies the bidding process and obscures transparency. Multiple factors are considered in contract awards, reducing efficiency and increasing the risk of non-compliance after a contract is signed. Contract renegotiations are allowed, but they are not regulated. Government discretion and political interference is not restricted or addressed by any laws. The Tocaf also allows direct negotiation of concessions. 
One of the problems that severely affects public bidding processes is the opportunistic utilisation of mechanisms that paralyse bidding processes. In light of this, the government has decided to utilise state-owned companies and create new companies under private law and put their shares out for tender, since bidders that participate in the process cannot paralyse the allocation process. This scheme is generally not appropriate for awarding infrastructure concessions, however, and should be used only for more standardised projects. 
The government is opening removable energy generation to the private sector in a transparent and competitive manner, with UTE making international calls for the presentation of projects. </v>
      </c>
      <c r="O18" s="155" t="str">
        <f t="shared" si="0"/>
        <v xml:space="preserve">Foreign and domestic investors are generally treated equally. But starting in January 2009, in light of the global financial crisis, domestic firms were granted advantages over foreign ones for bidding. Political interference often stymies the bidding process and obscures transparency. Multiple factors are considered in contract awards, reducing efficiency and increasing the risk of non-compliance after a contract is signed. Contract renegotiations are allowed, but they are not regulated. Government discretion and political interference is not restricted or addressed by any laws. The Tocaf also allows direct negotiation of concessions. 
One of the problems that severely affects public bidding processes is the opportunistic utilisation of mechanisms that paralyse bidding processes. In light of this, the government has decided to utilise state-owned companies and create new companies under private law and put their shares out for tender, since bidders that participate in the process cannot paralyse the allocation process. This scheme is generally not appropriate for awarding infrastructure concessions, however, and should be used only for more standardised projects. 
The government is opening removable energy generation to the private sector in a transparent and competitive manner, with UTE making international calls for the presentation of projects. </v>
      </c>
    </row>
    <row r="19" spans="1:21" ht="33.75">
      <c r="A19" s="162"/>
      <c r="B19" s="162">
        <f>iCP!P22</f>
        <v>0</v>
      </c>
      <c r="C19" s="59"/>
      <c r="D19" s="60" t="str">
        <f>iCP!E22</f>
        <v xml:space="preserve">   Dispute resolution mechanisms</v>
      </c>
      <c r="E19" s="61">
        <f>iCP!F22</f>
        <v>25</v>
      </c>
      <c r="F19" s="143" t="str">
        <f>iCP!O22</f>
        <v>-</v>
      </c>
      <c r="G19" s="236" t="str">
        <f>iCP!K22</f>
        <v>Uruguay's concessions law and Tocaf do not establish arbitration as a mechanism for resolving controversies. Justice tribunals must be used to resolve disputes with the state, and although these tribunals have reasonable levels of independence, processes are slow.</v>
      </c>
      <c r="H19" s="236"/>
      <c r="I19" s="236"/>
      <c r="K19" s="166" t="str">
        <f>iCP!R22</f>
        <v>Uruguay's concessions law and Tocaf do not establish arbitration as a mechanism for resolving controversies. Justice tribunals must be used to resolve disputes with the state, and although these tribunals have reasonable levels of independence, processes are slow.</v>
      </c>
      <c r="O19" s="155" t="str">
        <f t="shared" si="0"/>
        <v>Uruguay's concessions law and Tocaf do not establish arbitration as a mechanism for resolving controversies. Justice tribunals must be used to resolve disputes with the state, and although these tribunals have reasonable levels of independence, processes are slow.</v>
      </c>
    </row>
    <row r="20" spans="1:21" ht="15.75">
      <c r="A20" s="162"/>
      <c r="B20" s="162">
        <f>iCP!P23</f>
        <v>0</v>
      </c>
      <c r="C20" s="62" t="str">
        <f>iCP!E23</f>
        <v>INSTITUTIONAL FRAMEWORK</v>
      </c>
      <c r="E20" s="57"/>
      <c r="F20" s="57"/>
      <c r="G20" s="58"/>
      <c r="H20" s="56"/>
      <c r="I20" s="56"/>
      <c r="K20" s="58" t="str">
        <f>iCP!R23</f>
        <v/>
      </c>
      <c r="O20" s="155">
        <f t="shared" si="0"/>
        <v>0</v>
      </c>
    </row>
    <row r="21" spans="1:21" ht="123.75">
      <c r="A21" s="162"/>
      <c r="B21" s="162">
        <f>iCP!P24</f>
        <v>0</v>
      </c>
      <c r="C21" s="59"/>
      <c r="D21" s="156" t="str">
        <f>iCP!E24</f>
        <v xml:space="preserve">   Quality of institutional design</v>
      </c>
      <c r="E21" s="157">
        <f>iCP!F24</f>
        <v>25</v>
      </c>
      <c r="F21" s="158" t="str">
        <f>iCP!O24</f>
        <v>-</v>
      </c>
      <c r="G21" s="235" t="str">
        <f>iCP!K24</f>
        <v xml:space="preserve">Uruguay has not created an institutional framework that can facilitate competitive or efficient private investment in infrastructure. The port industry is the most developed, albeit with an inconsistent institutional framework. Port authorities concession out specific terminals and encourage private competition for the right to provide services. However, the Port Authority of Montevideo has been transformed into a firm whose shares can be sold to the private sector (up to 40% of total value). This confuses the firm’s role as a regulator for the sector with its role as the main service provider with monopoly power. In the transport sector, the Corporación Vial del Uruguay, a public firm was created to control a significant share of the road network; like the Port Authority of Montevideo, it can incorporate private capital and is not subject to a regulatory counterweight. Once completed, the roadway concessions now taking place may be incorporated into the Mega Concession system. The Mega Concession company is controlled by the Corporación Nacional de Desarrollo, (CND, the National Development Corporation), a quasi-fiscal entity created by the government, which means that it can obtain funds and subsidies from government budgets but its debt is not counted as public debt. This form of off-balance-sheet financing reduces fiscal accountability and discipline. The restructuring of the CND will create an Infrastructure Agency that will eventually enhance private investment in infrastructure through public-private partnership (PPP) schemes. The recently elected government is considering reducing the role of the CND as a provider of infrastructure and turning it into a facilitator of private sector investment. 
The Ministry of Transport and Public Works consolidates various responsibilities under its authority, as it must set policies in the sector, execute public investment for projects and regulate transport services. In the drinking water industry, the private concessioning process has been discontinued, and OSE and the municipality of the capital, Montevideo, have the responsibility for all water services throughout the country. The powers of the Unidad Reguladora de los Servicios de Energía y Aguas de Uruguay (URSEA, the electricity industry regulator) have been extended to water in the hope that this body will exercise a supervisory role for service quality. In the electricity generation segment, the restructuring of 1997 (Law No. 16.832) allows private investment in generation and regulates the segment in a fashion similar to those of other Latin American countries. Nevertheless, as UTE has not divested its generation capacity, the segment remains vertically integrated. </v>
      </c>
      <c r="H21" s="235"/>
      <c r="I21" s="235"/>
      <c r="K21" s="165" t="str">
        <f>iCP!R24</f>
        <v xml:space="preserve">Uruguay has not created an institutional framework that can facilitate competitive or efficient private investment in infrastructure. The port industry is the most developed, albeit with an inconsistent institutional framework. Port authorities concession out specific terminals and encourage private competition for the right to provide services. However, the Port Authority of Montevideo has been transformed into a firm whose shares can be sold to the private sector (up to 40% of total value). This confuses the firm’s role as a regulator for the sector with its role as the main service provider with monopoly power. In the transport sector, the Corporación Vial del Uruguay, a public firm was created to control a significant share of the road network; like the Port Authority of Montevideo, it can incorporate private capital and is not subject to a regulatory counterweight. Once completed, the roadway concessions now taking place may be incorporated into the Mega Concession system. The Mega Concession company is controlled by the Corporación Nacional de Desarrollo, (CND, the National Development Corporation), a quasi-fiscal entity created by the government, which means that it can obtain funds and subsidies from government budgets but its debt is not counted as public debt. This form of off-balance-sheet financing reduces fiscal accountability and discipline. The restructuring of the CND will create an Infrastructure Agency that will eventually enhance private investment in infrastructure through public-private partnership (PPP) schemes. The recently elected government is considering reducing the role of the CND as a provider of infrastructure and turning it into a facilitator of private sector investment. 
The Ministry of Transport and Public Works consolidates various responsibilities under its authority, as it must set policies in the sector, execute public investment for projects and regulate transport services. In the drinking water industry, the private concessioning process has been discontinued, and OSE and the municipality of the capital, Montevideo, have the responsibility for all water services throughout the country. The powers of the Unidad Reguladora de los Servicios de Energía y Aguas de Uruguay (URSEA, the electricity industry regulator) have been extended to water in the hope that this body will exercise a supervisory role for service quality. In the electricity generation segment, the restructuring of 1997 (Law No. 16.832) allows private investment in generation and regulates the segment in a fashion similar to those of other Latin American countries. Nevertheless, as UTE has not divested its generation capacity, the segment remains vertically integrated. </v>
      </c>
      <c r="O21" s="155" t="str">
        <f t="shared" si="0"/>
        <v xml:space="preserve">Uruguay has not created an institutional framework that can facilitate competitive or efficient private investment in infrastructure. The port industry is the most developed, albeit with an inconsistent institutional framework. Port authorities concession out specific terminals and encourage private competition for the right to provide services. However, the Port Authority of Montevideo has been transformed into a firm whose shares can be sold to the private sector (up to 40% of total value). This confuses the firm’s role as a regulator for the sector with its role as the main service provider with monopoly power. In the transport sector, the Corporación Vial del Uruguay, a public firm was created to control a significant share of the road network; like the Port Authority of Montevideo, it can incorporate private capital and is not subject to a regulatory counterweight. Once completed, the roadway concessions now taking place may be incorporated into the Mega Concession system. The Mega Concession company is controlled by the Corporación Nacional de Desarrollo, (CND, the National Development Corporation), a quasi-fiscal entity created by the government, which means that it can obtain funds and subsidies from government budgets but its debt is not counted as public debt. This form of off-balance-sheet financing reduces fiscal accountability and discipline. The restructuring of the CND will create an Infrastructure Agency that will eventually enhance private investment in infrastructure through public-private partnership (PPP) schemes. The recently elected government is considering reducing the role of the CND as a provider of infrastructure and turning it into a facilitator of private sector investment. 
The Ministry of Transport and Public Works consolidates various responsibilities under its authority, as it must set policies in the sector, execute public investment for projects and regulate transport services. In the drinking water industry, the private concessioning process has been discontinued, and OSE and the municipality of the capital, Montevideo, have the responsibility for all water services throughout the country. The powers of the Unidad Reguladora de los Servicios de Energía y Aguas de Uruguay (URSEA, the electricity industry regulator) have been extended to water in the hope that this body will exercise a supervisory role for service quality. In the electricity generation segment, the restructuring of 1997 (Law No. 16.832) allows private investment in generation and regulates the segment in a fashion similar to those of other Latin American countries. Nevertheless, as UTE has not divested its generation capacity, the segment remains vertically integrated. </v>
      </c>
    </row>
    <row r="22" spans="1:21" ht="78.75">
      <c r="A22" s="162"/>
      <c r="B22" s="162">
        <f>iCP!P25</f>
        <v>0</v>
      </c>
      <c r="C22" s="59"/>
      <c r="D22" s="60" t="str">
        <f>iCP!E25</f>
        <v xml:space="preserve">   PPP contract, hold-up and expropriation risk</v>
      </c>
      <c r="E22" s="61">
        <f>iCP!F25</f>
        <v>50</v>
      </c>
      <c r="F22" s="143" t="str">
        <f>iCP!O25</f>
        <v>-</v>
      </c>
      <c r="G22" s="236" t="str">
        <f>iCP!K25</f>
        <v xml:space="preserve">Uruguay has a judicial system with a reasonable degree of independence from political influence. Processes are slow, however, and there is no capacity within the judiciary to handle technical PPP issues that arise during conflicts over concessions. The Concessions Law does not establish an arbitration mechanism, which means increased legal risk for these projects. Creditors' rights are not well protected in case of a failure on the part of the concessionaire. Nor are step-in rights established in legislation. Nevertheless, Law No. 17.703 established the mechanism of a financial trust that could be used to improve the position of creditors, separating specific assets for the repayment of determined debt obligations. In practice, the Uruguayan government has had a track record of respecting investors' rights. </v>
      </c>
      <c r="H22" s="236"/>
      <c r="I22" s="236"/>
      <c r="K22" s="166" t="str">
        <f>iCP!R25</f>
        <v xml:space="preserve">Uruguay has a judicial system with a reasonable degree of independence from political influence. Processes are slow, however, and there is no capacity within the judiciary to handle technical PPP issues that arise during conflicts over concessions. The Concessions Law does not establish an arbitration mechanism, which means increased legal risk for these projects. Creditors' rights are not well protected in case of a failure on the part of the concessionaire. Nor are step-in rights established in legislation. Nevertheless, Law No. 17.703 established the mechanism of a financial trust that could be used to improve the position of creditors, separating specific assets for the repayment of determined debt obligations. In practice, the Uruguayan government has had a track record of respecting investors' rights. </v>
      </c>
      <c r="O22" s="155" t="str">
        <f t="shared" si="0"/>
        <v xml:space="preserve">Uruguay has a judicial system with a reasonable degree of independence from political influence. Processes are slow, however, and there is no capacity within the judiciary to handle technical PPP issues that arise during conflicts over concessions. The Concessions Law does not establish an arbitration mechanism, which means increased legal risk for these projects. Creditors' rights are not well protected in case of a failure on the part of the concessionaire. Nor are step-in rights established in legislation. Nevertheless, Law No. 17.703 established the mechanism of a financial trust that could be used to improve the position of creditors, separating specific assets for the repayment of determined debt obligations. In practice, the Uruguayan government has had a track record of respecting investors' rights. </v>
      </c>
    </row>
    <row r="23" spans="1:21" ht="15.75">
      <c r="A23" s="162"/>
      <c r="B23" s="162">
        <f>iCP!P26</f>
        <v>0</v>
      </c>
      <c r="C23" s="62" t="str">
        <f>iCP!E26</f>
        <v>OPERATIONAL MATURITY</v>
      </c>
      <c r="E23" s="57"/>
      <c r="F23" s="57"/>
      <c r="G23" s="58"/>
      <c r="H23" s="56"/>
      <c r="I23" s="56"/>
      <c r="K23" s="58" t="str">
        <f>iCP!R26</f>
        <v/>
      </c>
      <c r="O23" s="155">
        <f t="shared" si="0"/>
        <v>0</v>
      </c>
    </row>
    <row r="24" spans="1:21" ht="123.75">
      <c r="A24" s="162"/>
      <c r="B24" s="162">
        <f>iCP!P27</f>
        <v>0</v>
      </c>
      <c r="C24" s="64"/>
      <c r="D24" s="156" t="str">
        <f>iCP!E27</f>
        <v xml:space="preserve">   Public capacity to plan and oversee PPPs</v>
      </c>
      <c r="E24" s="157">
        <f>iCP!F27</f>
        <v>50</v>
      </c>
      <c r="F24" s="158" t="str">
        <f>iCP!O27</f>
        <v>+25.0</v>
      </c>
      <c r="G24" s="235" t="str">
        <f>iCP!K27</f>
        <v xml:space="preserve">The Ministry of Transport and Public Works has limited capacity to prepare and supervise projects, and little capacity has been developed for the transport and water sectors. This situation was exacerbated by the creation of the Mega Concession scheme, which initially incorporated the technical personnel of the Dirección Nacional de Vialidad (DNV, the National Roads Department). The Mega Concession scheme transferred more than 1,000 km worth of roads to the jurisdiction of a state firm, Corporación Vial del Uruguay (CVU). At the same time, the technical capacity for road concessions was also transferred to CVU, weakening the capacity of the Ministry and the DNV to develop projects and implicitly placing new projects in the hands of the CVU. The involvement of private concessionaires in toll road concessions as an alternative to the Mega Concession scheme is a remote possibility, unless the Mega Concession starts breaking its network into toll road concession projects to involve private operators directly. 
Currently, there are two important industries with privately operated concessions in Uruguay: ports and airports. Uruguay has granted a concession for the development of the international airport and the main container terminal. Both projects have increased the logistic capability of the country, showing some capacity for designing concessions. The new government has mentioned the intention to continue the policy of granting concessions to the private sector in airport and seaport infrastructure. Also, the possibility of a private concession in the railroad industry is under discussion and there has been some interest from the CND in promoting concessions for the private sector to manage road networks. Nevertheless, a significant effort will have to be made to strengthen public sector capacity for successful concessions planning, evaluation and project structuring. </v>
      </c>
      <c r="H24" s="235"/>
      <c r="I24" s="235"/>
      <c r="K24" s="165" t="str">
        <f>iCP!R27</f>
        <v xml:space="preserve">The Ministry of Transport and Public Works has limited capacity to prepare and supervise projects, and little capacity has been developed for the transport and water sectors. This situation was exacerbated by the creation of the Mega Concession scheme, which initially incorporated the technical personnel of the Dirección Nacional de Vialidad (DNV, the National Roads Department). The Mega Concession scheme transferred more than 1,000 km worth of roads to the jurisdiction of a state firm, Corporación Vial del Uruguay (CVU). At the same time, the technical capacity for road concessions was also transferred to CVU, weakening the capacity of the Ministry and the DNV to develop projects and implicitly placing new projects in the hands of the CVU. The involvement of private concessionaires in toll road concessions as an alternative to the Mega Concession scheme is a remote possibility, unless the Mega Concession starts breaking its network into toll road concession projects to involve private operators directly. 
Currently, there are two important industries with privately operated concessions in Uruguay: ports and airports. Uruguay has granted a concession for the development of the international airport and the main container terminal. Both projects have increased the logistic capability of the country, showing some capacity for designing concessions. The new government has mentioned the intention to continue the policy of granting concessions to the private sector in airport and seaport infrastructure. Also, the possibility of a private concession in the railroad industry is under discussion and there has been some interest from the CND in promoting concessions for the private sector to manage road networks. Nevertheless, a significant effort will have to be made to strengthen public sector capacity for successful concessions planning, evaluation and project structuring. </v>
      </c>
      <c r="O24" s="155" t="str">
        <f t="shared" si="0"/>
        <v xml:space="preserve">The Ministry of Transport and Public Works has limited capacity to prepare and supervise projects, and little capacity has been developed for the transport and water sectors. This situation was exacerbated by the creation of the Mega Concession scheme, which initially incorporated the technical personnel of the Dirección Nacional de Vialidad (DNV, the National Roads Department). The Mega Concession scheme transferred more than 1,000 km worth of roads to the jurisdiction of a state firm, Corporación Vial del Uruguay (CVU). At the same time, the technical capacity for road concessions was also transferred to CVU, weakening the capacity of the Ministry and the DNV to develop projects and implicitly placing new projects in the hands of the CVU. The involvement of private concessionaires in toll road concessions as an alternative to the Mega Concession scheme is a remote possibility, unless the Mega Concession starts breaking its network into toll road concession projects to involve private operators directly. 
Currently, there are two important industries with privately operated concessions in Uruguay: ports and airports. Uruguay has granted a concession for the development of the international airport and the main container terminal. Both projects have increased the logistic capability of the country, showing some capacity for designing concessions. The new government has mentioned the intention to continue the policy of granting concessions to the private sector in airport and seaport infrastructure. Also, the possibility of a private concession in the railroad industry is under discussion and there has been some interest from the CND in promoting concessions for the private sector to manage road networks. Nevertheless, a significant effort will have to be made to strengthen public sector capacity for successful concessions planning, evaluation and project structuring. </v>
      </c>
    </row>
    <row r="25" spans="1:21" ht="112.5">
      <c r="A25" s="162"/>
      <c r="B25" s="162">
        <f>iCP!P28</f>
        <v>0</v>
      </c>
      <c r="C25" s="64"/>
      <c r="D25" s="60" t="str">
        <f>iCP!E28</f>
        <v xml:space="preserve">   Methods and criteria for awarding projects </v>
      </c>
      <c r="E25" s="61">
        <f>iCP!F28</f>
        <v>25</v>
      </c>
      <c r="F25" s="143" t="str">
        <f>iCP!O28</f>
        <v>-</v>
      </c>
      <c r="G25" s="236" t="str">
        <f>iCP!K28</f>
        <v xml:space="preserve">The four roadways and port concessions were awarded by a competitive bidding process, although the criteria to award bids have not been consistent. In some cases, a multitude of criteria have been used, weighing both economic and technical considerations. In other cases, the net present value of revenue of the concession has been used as the sole criterion. The Mega Concession scheme constitutes a direct transfer of almost 2,000 km worth of roads to CVU's jurisdiction (rather than undergoing a bidding process). This state firm operates more like a private firm than a public one in terms of the process used to award projects and obtains financing, despite the fact that the firm itself is funded mostly through public budgets. Tocaf legislation allows the direct award by public entities of infrastructure concessions in exceptional situations. Nevertheless, it is not advisable to utilise PPP schemes for urgent infrastructure development, given the long-term nature of the contracts and the need to have well-thought-out projects. Also, CND could obtain concessions by direct negotiation and transferring them to the private sector without having to abide by public purchase transparency requirements. </v>
      </c>
      <c r="H25" s="236"/>
      <c r="I25" s="236"/>
      <c r="K25" s="166" t="str">
        <f>iCP!R28</f>
        <v xml:space="preserve">The four roadways and port concessions were awarded by a competitive bidding process, although the criteria to award bids have not been consistent. In some cases, a multitude of criteria have been used, weighing both economic and technical considerations. In other cases, the net present value of revenue of the concession has been used as the sole criterion. The Mega Concession scheme constitutes a direct transfer of almost 2,000 km worth of roads to CVU's jurisdiction (rather than undergoing a bidding process). This state firm operates more like a private firm than a public one in terms of the process used to award projects and obtains financing, despite the fact that the firm itself is funded mostly through public budgets. Tocaf legislation allows the direct award by public entities of infrastructure concessions in exceptional situations. Nevertheless, it is not advisable to utilise PPP schemes for urgent infrastructure development, given the long-term nature of the contracts and the need to have well-thought-out projects. Also, CND could obtain concessions by direct negotiation and transferring them to the private sector without having to abide by public purchase transparency requirements. </v>
      </c>
      <c r="O25" s="155" t="str">
        <f t="shared" si="0"/>
        <v xml:space="preserve">The four roadways and port concessions were awarded by a competitive bidding process, although the criteria to award bids have not been consistent. In some cases, a multitude of criteria have been used, weighing both economic and technical considerations. In other cases, the net present value of revenue of the concession has been used as the sole criterion. The Mega Concession scheme constitutes a direct transfer of almost 2,000 km worth of roads to CVU's jurisdiction (rather than undergoing a bidding process). This state firm operates more like a private firm than a public one in terms of the process used to award projects and obtains financing, despite the fact that the firm itself is funded mostly through public budgets. Tocaf legislation allows the direct award by public entities of infrastructure concessions in exceptional situations. Nevertheless, it is not advisable to utilise PPP schemes for urgent infrastructure development, given the long-term nature of the contracts and the need to have well-thought-out projects. Also, CND could obtain concessions by direct negotiation and transferring them to the private sector without having to abide by public purchase transparency requirements. </v>
      </c>
    </row>
    <row r="26" spans="1:21" ht="112.5">
      <c r="A26" s="162"/>
      <c r="B26" s="162">
        <f>iCP!P29</f>
        <v>0</v>
      </c>
      <c r="C26" s="64"/>
      <c r="D26" s="156" t="str">
        <f>iCP!E29</f>
        <v xml:space="preserve">   Regulators' risk allocation record</v>
      </c>
      <c r="E26" s="157">
        <f>iCP!F29</f>
        <v>25</v>
      </c>
      <c r="F26" s="158" t="str">
        <f>iCP!O29</f>
        <v>-</v>
      </c>
      <c r="G26" s="237" t="str">
        <f>iCP!K29</f>
        <v xml:space="preserve">The four roadway and port concessions have transferred commercial project risk back to the state. The financial crisis triggered by Argentina's default in the early 2000s severely affected Uruguay, and created an external shock of enough magnitude to endanger the viability of the original schemes that were negotiated. The financial crisis led to the strengthening of CVU (Corporación Vial del Uruguay ) and reverted to the earlier private concession process. In the case of road projects, a net prevent value criterion was used in two projects to assign concessions, permitting the incorporation of demand risk factors. As is the case with the majority of countries in the region, projects have not used completion risk instruments to diversify project risk. In the case of the port and airport concessions, there has been less difficulty, and private operators have undertaken the required investments without claiming recourse from the government. In the electricity industry, UTE is taking all commercial risk in contracts for renewable energy and the private sector assumes operational and completion risk. </v>
      </c>
      <c r="H26" s="237"/>
      <c r="I26" s="237"/>
      <c r="K26" s="167" t="str">
        <f>iCP!R29</f>
        <v xml:space="preserve">The four roadway and port concessions have transferred commercial project risk back to the state. The financial crisis triggered by Argentina's default in the early 2000s severely affected Uruguay, and created an external shock of enough magnitude to endanger the viability of the original schemes that were negotiated. The financial crisis led to the strengthening of CVU (Corporación Vial del Uruguay ) and reverted to the earlier private concession process. In the case of road projects, a net prevent value criterion was used in two projects to assign concessions, permitting the incorporation of demand risk factors. As is the case with the majority of countries in the region, projects have not used completion risk instruments to diversify project risk. In the case of the port and airport concessions, there has been less difficulty, and private operators have undertaken the required investments without claiming recourse from the government. In the electricity industry, UTE is taking all commercial risk in contracts for renewable energy and the private sector assumes operational and completion risk. </v>
      </c>
      <c r="O26" s="155" t="str">
        <f t="shared" si="0"/>
        <v xml:space="preserve">The four roadway and port concessions have transferred commercial project risk back to the state. The financial crisis triggered by Argentina's default in the early 2000s severely affected Uruguay, and created an external shock of enough magnitude to endanger the viability of the original schemes that were negotiated. The financial crisis led to the strengthening of CVU (Corporación Vial del Uruguay ) and reverted to the earlier private concession process. In the case of road projects, a net prevent value criterion was used in two projects to assign concessions, permitting the incorporation of demand risk factors. As is the case with the majority of countries in the region, projects have not used completion risk instruments to diversify project risk. In the case of the port and airport concessions, there has been less difficulty, and private operators have undertaken the required investments without claiming recourse from the government. In the electricity industry, UTE is taking all commercial risk in contracts for renewable energy and the private sector assumes operational and completion risk. </v>
      </c>
    </row>
    <row r="27" spans="1:21" ht="45">
      <c r="A27" s="162"/>
      <c r="B27" s="162">
        <f>iCP!P30</f>
        <v>0</v>
      </c>
      <c r="C27" s="64"/>
      <c r="D27" s="60" t="str">
        <f>iCP!E30</f>
        <v xml:space="preserve">   Experience in PPP projects (concessions)</v>
      </c>
      <c r="E27" s="61">
        <f>iCP!F30</f>
        <v>2.3809523809523809</v>
      </c>
      <c r="F27" s="143" t="str">
        <f>iCP!O30</f>
        <v>-2.4</v>
      </c>
      <c r="G27" s="236" t="str">
        <f>iCP!K30</f>
        <v>According to data from the World Bank, in 1999-2008 Uruguay had a total of four projects in the electricity industry and the  water and transport sectors. Of these four projects, three were in the transport sector and one was in the water and sewerage sector. (Figures do not include management and lease contracts or divestitures. Please note that numbers do not necessarily match explanations for other indicators in this index, owing to different counting methods and timeframes).</v>
      </c>
      <c r="H27" s="236"/>
      <c r="I27" s="236"/>
      <c r="K27" s="166" t="str">
        <f>iCP!R30</f>
        <v>According to data from the World Bank, in 1999-2008 Uruguay had a total of four projects in the electricity industry and the  water and transport sectors. Of these four projects, three were in the transport sector and one was in the water and sewerage sector. (Figures do not include management and lease contracts or divestitures. Please note that numbers do not necessarily match explanations for other indicators in this index, owing to different counting methods and timeframes).</v>
      </c>
      <c r="O27" s="155" t="str">
        <f t="shared" si="0"/>
        <v>According to data from the World Bank, in 1999-2008 Uruguay had a total of four projects in the electricity industry and the  water and transport sectors. Of these four projects, three were in the transport sector and one was in the water and sewerage sector. (Figures do not include management and lease contracts or divestitures. Please note that numbers do not necessarily match explanations for other indicators in this index, owing to different counting methods and timeframes).</v>
      </c>
    </row>
    <row r="28" spans="1:21" ht="22.5">
      <c r="A28" s="162"/>
      <c r="B28" s="162">
        <f>iCP!P31</f>
        <v>0</v>
      </c>
      <c r="C28" s="64"/>
      <c r="D28" s="156" t="str">
        <f>iCP!E31</f>
        <v xml:space="preserve">   Quality of PPP projects (concessions)</v>
      </c>
      <c r="E28" s="157">
        <f>iCP!F31</f>
        <v>0</v>
      </c>
      <c r="F28" s="158" t="str">
        <f>iCP!O31</f>
        <v>-</v>
      </c>
      <c r="G28" s="235" t="str">
        <f>iCP!K31</f>
        <v>Out of four projects in the World Bank PPI database for the transport and water sectors and the electricity industry in 1999-2008, Uruguay had one cancelled or distressed project, for an overall distress rate of 25%.</v>
      </c>
      <c r="H28" s="235"/>
      <c r="I28" s="235"/>
      <c r="K28" s="165" t="str">
        <f>iCP!R31</f>
        <v>Out of four projects in the World Bank PPI database for the transport and water sectors and the electricity industry in 1999-2008, Uruguay had one cancelled or distressed project, for an overall distress rate of 25%.</v>
      </c>
      <c r="O28" s="155" t="str">
        <f t="shared" si="0"/>
        <v>Out of four projects in the World Bank PPI database for the transport and water sectors and the electricity industry in 1999-2008, Uruguay had one cancelled or distressed project, for an overall distress rate of 25%.</v>
      </c>
    </row>
    <row r="29" spans="1:21" ht="15.75">
      <c r="A29" s="162"/>
      <c r="B29" s="162">
        <f>iCP!P32</f>
        <v>0</v>
      </c>
      <c r="C29" s="62" t="str">
        <f>iCP!E32</f>
        <v>INVESTMENT CLIMATE</v>
      </c>
      <c r="E29" s="57"/>
      <c r="F29" s="57"/>
      <c r="G29" s="58"/>
      <c r="H29" s="56"/>
      <c r="I29" s="56"/>
      <c r="K29" s="58" t="str">
        <f>iCP!R32</f>
        <v/>
      </c>
      <c r="O29" s="155">
        <f t="shared" si="0"/>
        <v>0</v>
      </c>
    </row>
    <row r="30" spans="1:21" ht="123.75">
      <c r="A30" s="162"/>
      <c r="B30" s="162">
        <f>iCP!P33</f>
        <v>0</v>
      </c>
      <c r="C30" s="59"/>
      <c r="D30" s="60" t="str">
        <f>iCP!E33</f>
        <v xml:space="preserve">   Political distortion</v>
      </c>
      <c r="E30" s="61">
        <f>iCP!F33</f>
        <v>55.755211307958795</v>
      </c>
      <c r="F30" s="143" t="str">
        <f>iCP!O33</f>
        <v>+1.0</v>
      </c>
      <c r="G30" s="236" t="str">
        <f>iCP!K33</f>
        <v>The president, José Mujica, will encourage political stability by steering a centrist course through his five-year mandate. The continuation of a largely orthodox economic policy, along with substantial social support, will place him in the centre of the political spectrum. Uruguay's institutions provide checks and balances to executive power, limiting radical changes in policy affecting business. Elections are free and fair, and apart from the period of military rule (1973-85), Uruguay has a good record of stable democracy. The armed forces are politically weak and the abuses committed during that period are being investigated, with a view to closing that chapter of Uruguayan history. In his first month in office, Mr Mujica, a former Tupamaro guerrilla who spent over a decade in military custody, made clear his conciliatory approach toward the armed forces.
The government will pursue open, pro-business policies in order to attract foreign investment in key sectors, such as agriculture and forestry. Maintaining and potentially expanding the existing benefits of Uruguay's investment regime will also be necessary to attract private capital –both foreign and domestic– for a variety of projects in infrastructure improvement at the top of the president's agenda. However, government effectiveness will be constrained by a bloated public sector, which avoided the privatisation wave that hit most of Latin America in the 1990s. Although there is widespread consensus among political parties and the general public, a reform to improve the quality of the largely inefficient bureaucracy and reduce red tape has been postponed for a number of years. Although corruption among public officials is limited in Uruguay, the appointment and career structure of civil servants is a generally opaque process. Strong public sector unions limit the scope of action of government reform. (Economist Intelligence Unit, Risk Briefing, April 2010.)</v>
      </c>
      <c r="H30" s="236"/>
      <c r="I30" s="236"/>
      <c r="K30" s="166" t="str">
        <f>iCP!R33</f>
        <v>The president, José Mujica, will encourage political stability by steering a centrist course through his five-year mandate. The continuation of a largely orthodox economic policy, along with substantial social support, will place him in the centre of the political spectrum. Uruguay's institutions provide checks and balances to executive power, limiting radical changes in policy affecting business. Elections are free and fair, and apart from the period of military rule (1973-85), Uruguay has a good record of stable democracy. The armed forces are politically weak and the abuses committed during that period are being investigated, with a view to closing that chapter of Uruguayan history. In his first month in office, Mr Mujica, a former Tupamaro guerrilla who spent over a decade in military custody, made clear his conciliatory approach toward the armed forces.
The government will pursue open, pro-business policies in order to attract foreign investment in key sectors, such as agriculture and forestry. Maintaining and potentially expanding the existing benefits of Uruguay's investment regime will also be necessary to attract private capital –both foreign and domestic– for a variety of projects in infrastructure improvement at the top of the president's agenda. However, government effectiveness will be constrained by a bloated public sector, which avoided the privatisation wave that hit most of Latin America in the 1990s. Although there is widespread consensus among political parties and the general public, a reform to improve the quality of the largely inefficient bureaucracy and reduce red tape has been postponed for a number of years. Although corruption among public officials is limited in Uruguay, the appointment and career structure of civil servants is a generally opaque process. Strong public sector unions limit the scope of action of government reform. (Economist Intelligence Unit, Risk Briefing, April 2010.)</v>
      </c>
      <c r="O30" s="155" t="str">
        <f t="shared" si="0"/>
        <v>The president, José Mujica, will encourage political stability by steering a centrist course through his five-year mandate. The continuation of a largely orthodox economic policy, along with substantial social support, will place him in the centre of the political spectrum. Uruguay's institutions provide checks and balances to executive power, limiting radical changes in policy affecting business. Elections are free and fair, and apart from the period of military rule (1973-85), Uruguay has a good record of stable democracy. The armed forces are politically weak and the abuses committed during that period are being investigated, with a view to closing that chapter of Uruguayan history. In his first month in office, Mr Mujica, a former Tupamaro guerrilla who spent over a decade in military custody, made clear his conciliatory approach toward the armed forces.
The government will pursue open, pro-business policies in order to attract foreign investment in key sectors, such as agriculture and forestry. Maintaining and potentially expanding the existing benefits of Uruguay's investment regime will also be necessary to attract private capital –both foreign and domestic– for a variety of projects in infrastructure improvement at the top of the president's agenda. However, government effectiveness will be constrained by a bloated public sector, which avoided the privatisation wave that hit most of Latin America in the 1990s. Although there is widespread consensus among political parties and the general public, a reform to improve the quality of the largely inefficient bureaucracy and reduce red tape has been postponed for a number of years. Although corruption among public officials is limited in Uruguay, the appointment and career structure of civil servants is a generally opaque process. Strong public sector unions limit the scope of action of government reform. (Economist Intelligence Unit, Risk Briefing, April 2010.)</v>
      </c>
    </row>
    <row r="31" spans="1:21" ht="101.25">
      <c r="A31" s="162"/>
      <c r="B31" s="162">
        <f>iCP!P34</f>
        <v>0</v>
      </c>
      <c r="C31" s="59"/>
      <c r="D31" s="156" t="str">
        <f>iCP!E34</f>
        <v xml:space="preserve">   Business environment</v>
      </c>
      <c r="E31" s="157">
        <f>iCP!F34</f>
        <v>52.228001596161221</v>
      </c>
      <c r="F31" s="158" t="str">
        <f>iCP!O34</f>
        <v>+2.0</v>
      </c>
      <c r="G31" s="235" t="str">
        <f>iCP!K34</f>
        <v>Growth fell sharply after the escalation of the international financial crisis in the third quarter of 2008, and with global trade flows disrupted, was barely positive in 2009. Growth is set to rise steadily to around 3.7% per year in 2010 and 3.1% in 2011. The depreciation that the peso underwent in the final quarter of 2008 has been reversed in 2009, and broad stability is forecast in the outlook period. Inflation will remain at the upper limit of the 3% to 7% target range set by the Banco Central de Uruguay (BCU, the Central Bank), in line with still-firm commodity prices and firm domestic demand. The public debt burden will continue to be a drain on fiscal resources, and is set to remain at a high level in 2010-11 as the fiscal deficit falls only slowly. Since prepaying its IMF debt in 2006 the government has not needed an agreement, but a return to an IMF lending facility has not been ruled out, given the poor revenue performance in 2009. (Economist Intelligence Unit, Risk Briefing, April 2010.)</v>
      </c>
      <c r="H31" s="235"/>
      <c r="I31" s="235"/>
      <c r="K31" s="165" t="str">
        <f>iCP!R34</f>
        <v>Growth fell sharply after the escalation of the international financial crisis in the third quarter of 2008, and with global trade flows disrupted, was barely positive in 2009. Growth is set to rise steadily to around 3.7% per year in 2010 and 3.1% in 2011. The depreciation that the peso underwent in the final quarter of 2008 has been reversed in 2009, and broad stability is forecast in the outlook period. Inflation will remain at the upper limit of the 3% to 7% target range set by the Banco Central de Uruguay (BCU, the Central Bank), in line with still-firm commodity prices and firm domestic demand. The public debt burden will continue to be a drain on fiscal resources, and is set to remain at a high level in 2010-11 as the fiscal deficit falls only slowly. Since prepaying its IMF debt in 2006 the government has not needed an agreement, but a return to an IMF lending facility has not been ruled out, given the poor revenue performance in 2009. (Economist Intelligence Unit, Risk Briefing, April 2010.)</v>
      </c>
      <c r="O31" s="155" t="str">
        <f t="shared" si="0"/>
        <v>Growth fell sharply after the escalation of the international financial crisis in the third quarter of 2008, and with global trade flows disrupted, was barely positive in 2009. Growth is set to rise steadily to around 3.7% per year in 2010 and 3.1% in 2011. The depreciation that the peso underwent in the final quarter of 2008 has been reversed in 2009, and broad stability is forecast in the outlook period. Inflation will remain at the upper limit of the 3% to 7% target range set by the Banco Central de Uruguay (BCU, the Central Bank), in line with still-firm commodity prices and firm domestic demand. The public debt burden will continue to be a drain on fiscal resources, and is set to remain at a high level in 2010-11 as the fiscal deficit falls only slowly. Since prepaying its IMF debt in 2006 the government has not needed an agreement, but a return to an IMF lending facility has not been ruled out, given the poor revenue performance in 2009. (Economist Intelligence Unit, Risk Briefing, April 2010.)</v>
      </c>
    </row>
    <row r="32" spans="1:21" ht="90">
      <c r="A32" s="162"/>
      <c r="B32" s="162">
        <f>iCP!P35</f>
        <v>0</v>
      </c>
      <c r="C32" s="59"/>
      <c r="D32" s="60" t="str">
        <f>iCP!E35</f>
        <v xml:space="preserve">   Political will</v>
      </c>
      <c r="E32" s="61">
        <f>iCP!F35</f>
        <v>33.333333333333329</v>
      </c>
      <c r="F32" s="143" t="s">
        <v>1063</v>
      </c>
      <c r="G32" s="236" t="str">
        <f>iCP!K35</f>
        <v>Although there is political will to engage in transport infrastructure concessions, shown both by the past and present governments of the ruling Frente Amplio coalition, there is no incentive to push for concessions in areas such as water and electricity. There is a general consensus among the public that utilities should be in the hands of the state and there are consequently very few opportunities for PPPs (they are outright forbidden in the water and sanitation sector). Electricity is also in the hands of a state-owned enterprise, which can choose to establish associations with private companies to install generating plants, although this is not particularly widespread. There is political will to push airport concessions and Mr Mujica has signalled that he will prioritise concessions in roads, railways and the second terminal of the Montevideo port. Significant delays can be expected.</v>
      </c>
      <c r="H32" s="236"/>
      <c r="I32" s="236"/>
      <c r="K32" s="166" t="str">
        <f>iCP!R35</f>
        <v>Although there is political will to engage in transport infrastructure concessions, shown both by the past and present governments of the ruling Frente Amplio coalition, there is no incentive to push for concessions in areas such as water and electricity. There is a general consensus among the public that utilities should be in the hands of the state and there are consequently very few opportunities for PPPs (they are outright forbidden in the water and sanitation sector). Electricity is also in the hands of a state-owned enterprise, which can choose to establish associations with private companies to install generating plants, although this is not particularly widespread. There is political will to push airport concessions and Mr Mujica has signalled that he will prioritise concessions in roads, railways and the second terminal of the Montevideo port. Significant delays can be expected.</v>
      </c>
      <c r="O32" s="155" t="str">
        <f t="shared" si="0"/>
        <v>Although there is political will to engage in transport infrastructure concessions, shown both by the past and present governments of the ruling Frente Amplio coalition, there is no incentive to push for concessions in areas such as water and electricity. There is a general consensus among the public that utilities should be in the hands of the state and there are consequently very few opportunities for PPPs (they are outright forbidden in the water and sanitation sector). Electricity is also in the hands of a state-owned enterprise, which can choose to establish associations with private companies to install generating plants, although this is not particularly widespread. There is political will to push airport concessions and Mr Mujica has signalled that he will prioritise concessions in roads, railways and the second terminal of the Montevideo port. Significant delays can be expected.</v>
      </c>
    </row>
    <row r="33" spans="1:15" ht="15.75">
      <c r="A33" s="162"/>
      <c r="B33" s="162">
        <f>iCP!P36</f>
        <v>0</v>
      </c>
      <c r="C33" s="62" t="str">
        <f>iCP!E36</f>
        <v>FINANCIAL FACILITIES</v>
      </c>
      <c r="E33" s="57"/>
      <c r="F33" s="57"/>
      <c r="G33" s="58"/>
      <c r="H33" s="56"/>
      <c r="I33" s="56"/>
      <c r="K33" s="58" t="str">
        <f>iCP!R36</f>
        <v/>
      </c>
      <c r="O33" s="155">
        <f t="shared" si="0"/>
        <v>0</v>
      </c>
    </row>
    <row r="34" spans="1:15" ht="112.5">
      <c r="A34" s="162"/>
      <c r="B34" s="162">
        <f>iCP!P37</f>
        <v>0</v>
      </c>
      <c r="C34" s="59"/>
      <c r="D34" s="156" t="str">
        <f>iCP!E37</f>
        <v xml:space="preserve">   Government payment risk</v>
      </c>
      <c r="E34" s="157">
        <f>iCP!F37</f>
        <v>50</v>
      </c>
      <c r="F34" s="158" t="str">
        <f>iCP!O37</f>
        <v>+25.0</v>
      </c>
      <c r="G34" s="235" t="str">
        <f>iCP!K37</f>
        <v xml:space="preserve">In the last five years, Uruguay's government has worked well with the private sector and has had a good track record of making payments on time, contrasting with the earlier part of the decade, when the effects of the Argentinean crisis hampered the ability of the authorities to meet concessionary agreements. The Tabaré Vázquez administration (2005-10) was been particularly intent on improving the country's roads and bridges, which has led to the government taking over certain concessionary projects after their contracted expiration date. The Uruguayan economy experienced a number of years of strong growth that peaked in 2008, and successfully avoided recession amid the international financial crisis in 2009. Uruguay has also received several Multilateral Investment Guarantee Agency (MIGA) guarantees since 2005, although these have mostly been in sectors outside electricity, water and transport (the one project in solid waste management guaranteed by MIGA is currently not active). The country's sovereign debt risk rating from the Economist Intelligence Unit was BB in April 2010. </v>
      </c>
      <c r="H34" s="235"/>
      <c r="I34" s="235"/>
      <c r="K34" s="165" t="str">
        <f>iCP!R37</f>
        <v xml:space="preserve">In the last five years, Uruguay's government has worked well with the private sector and has had a good track record of making payments on time, contrasting with the earlier part of the decade, when the effects of the Argentinean crisis hampered the ability of the authorities to meet concessionary agreements. The Tabaré Vázquez administration (2005-10) was been particularly intent on improving the country's roads and bridges, which has led to the government taking over certain concessionary projects after their contracted expiration date. The Uruguayan economy experienced a number of years of strong growth that peaked in 2008, and successfully avoided recession amid the international financial crisis in 2009. Uruguay has also received several Multilateral Investment Guarantee Agency (MIGA) guarantees since 2005, although these have mostly been in sectors outside electricity, water and transport (the one project in solid waste management guaranteed by MIGA is currently not active). The country's sovereign debt risk rating from the Economist Intelligence Unit was BB in April 2010. </v>
      </c>
      <c r="O34" s="155" t="str">
        <f t="shared" si="0"/>
        <v xml:space="preserve">In the last five years, Uruguay's government has worked well with the private sector and has had a good track record of making payments on time, contrasting with the earlier part of the decade, when the effects of the Argentinean crisis hampered the ability of the authorities to meet concessionary agreements. The Tabaré Vázquez administration (2005-10) was been particularly intent on improving the country's roads and bridges, which has led to the government taking over certain concessionary projects after their contracted expiration date. The Uruguayan economy experienced a number of years of strong growth that peaked in 2008, and successfully avoided recession amid the international financial crisis in 2009. Uruguay has also received several Multilateral Investment Guarantee Agency (MIGA) guarantees since 2005, although these have mostly been in sectors outside electricity, water and transport (the one project in solid waste management guaranteed by MIGA is currently not active). The country's sovereign debt risk rating from the Economist Intelligence Unit was BB in April 2010. </v>
      </c>
    </row>
    <row r="35" spans="1:15" ht="101.25">
      <c r="A35" s="162"/>
      <c r="B35" s="162">
        <f>iCP!P38</f>
        <v>0</v>
      </c>
      <c r="C35" s="59"/>
      <c r="D35" s="60" t="str">
        <f>iCP!E38</f>
        <v xml:space="preserve">   Capital market: private infrastructure finance</v>
      </c>
      <c r="E35" s="61">
        <f>iCP!F38</f>
        <v>25</v>
      </c>
      <c r="F35" s="143" t="str">
        <f>iCP!O38</f>
        <v>-</v>
      </c>
      <c r="G35" s="236" t="str">
        <f>iCP!K38</f>
        <v xml:space="preserve">Uruguay's capital markets are undeveloped, making it difficult to finance long-term infrastructure projects. The banking system is characterised by relatively high concentration and high operating costs, which increase the cost of credit. Overall, debt financing is clearly preferred to equity financing. Loans from the World Bank and other multilateral organisations, such as the Inter-American Development Bank (IDB) are regularly used to finance infrastructure projects. The OSE has modernised its potable water system over the last several years through loans from the World Bank's International Bank for Reconstruction and Finance (IBRF), which provides flexible financing and built-in hedging instruments. Mr Mujica, however, has announced in the press that, once in power, he will no longer seek international loans, but will work to finance priority public works projects like dredging the Rio Uruguay, creating new rail lines and constructing deep-water ports with Central Bank reserves. </v>
      </c>
      <c r="H35" s="236"/>
      <c r="I35" s="236"/>
      <c r="K35" s="166" t="str">
        <f>iCP!R38</f>
        <v xml:space="preserve">Uruguay's capital markets are undeveloped, making it difficult to finance long-term infrastructure projects. The banking system is characterised by relatively high concentration and high operating costs, which increase the cost of credit. Overall, debt financing is clearly preferred to equity financing. Loans from the World Bank and other multilateral organisations, such as the Inter-American Development Bank (IDB) are regularly used to finance infrastructure projects. The OSE has modernised its potable water system over the last several years through loans from the World Bank's International Bank for Reconstruction and Finance (IBRF), which provides flexible financing and built-in hedging instruments. Mr Mujica, however, has announced in the press that, once in power, he will no longer seek international loans, but will work to finance priority public works projects like dredging the Rio Uruguay, creating new rail lines and constructing deep-water ports with Central Bank reserves. </v>
      </c>
      <c r="O35" s="155" t="str">
        <f t="shared" si="0"/>
        <v xml:space="preserve">Uruguay's capital markets are undeveloped, making it difficult to finance long-term infrastructure projects. The banking system is characterised by relatively high concentration and high operating costs, which increase the cost of credit. Overall, debt financing is clearly preferred to equity financing. Loans from the World Bank and other multilateral organisations, such as the Inter-American Development Bank (IDB) are regularly used to finance infrastructure projects. The OSE has modernised its potable water system over the last several years through loans from the World Bank's International Bank for Reconstruction and Finance (IBRF), which provides flexible financing and built-in hedging instruments. Mr Mujica, however, has announced in the press that, once in power, he will no longer seek international loans, but will work to finance priority public works projects like dredging the Rio Uruguay, creating new rail lines and constructing deep-water ports with Central Bank reserves. </v>
      </c>
    </row>
    <row r="36" spans="1:15" ht="22.5">
      <c r="A36" s="162"/>
      <c r="B36" s="162">
        <f>iCP!P39</f>
        <v>0</v>
      </c>
      <c r="C36" s="59"/>
      <c r="D36" s="156" t="str">
        <f>iCP!E39</f>
        <v xml:space="preserve">   Marketable debt</v>
      </c>
      <c r="E36" s="157">
        <f>iCP!F39</f>
        <v>25</v>
      </c>
      <c r="F36" s="158" t="str">
        <f>iCP!O39</f>
        <v>-</v>
      </c>
      <c r="G36" s="235" t="str">
        <f>iCP!K39</f>
        <v>There is only a freely-traded market for short-term, government bonds in local-currency denominations. (Economist Intelligence Unit Risk Briefing, May 2010)</v>
      </c>
      <c r="H36" s="235"/>
      <c r="I36" s="235"/>
      <c r="K36" s="165" t="str">
        <f>iCP!R39</f>
        <v>There is only a freely-traded market for short-term, government bonds in local-currency denominations. (Economist Intelligence Unit Risk Briefing, May 2010)</v>
      </c>
      <c r="O36" s="155" t="str">
        <f t="shared" si="0"/>
        <v>There is only a freely-traded market for short-term, government bonds in local-currency denominations. (Economist Intelligence Unit Risk Briefing, May 2010)</v>
      </c>
    </row>
    <row r="37" spans="1:15" ht="112.5">
      <c r="A37" s="162"/>
      <c r="B37" s="162">
        <f>iCP!P40</f>
        <v>0</v>
      </c>
      <c r="C37" s="59"/>
      <c r="D37" s="213" t="str">
        <f>iCP!E40</f>
        <v xml:space="preserve">   Government support and affordability for low income users</v>
      </c>
      <c r="E37" s="61">
        <f>iCP!F40</f>
        <v>25</v>
      </c>
      <c r="F37" s="143" t="str">
        <f>iCP!O40</f>
        <v>-</v>
      </c>
      <c r="G37" s="236" t="str">
        <f>iCP!K40</f>
        <v xml:space="preserve">Although Uruguay has eliminated most price controls, the executive branch continues to fix prices on certain basics, including milk, meat, fuels, transport (including bus fares, which are set by municipalities), electricity, and water supply and telephone services. The prices of water services charged by OSE do not permit the financing of investment necessary to reach population coverage levels intended by the government. The political context surrounding water provision since the constitutional modification has made it increasingly difficult to establish effective pricing regimes for cost recovery. Subsidies are generalised without focusing on low income groups, and, as a result, OSE has been forced to reduce its investment in system infrastructure in the past decade. Multiple cross-subsidies have made it difficult to judge the effectiveness of current operations. In the road sector, tolls are heavily subsidised; according to the CND, information total toll collection for the road network in the hands of CNV amounts to less than 50% of the investment and maintenance expenditure needed for the same network. Tolls are also set at the same level independently of the length and capacity of the road. This makes new investment financing very difficult. From February 2010 households with consumption lower than 100 kwh per month have automatically received a reduction of 50% in their monthly electricity bill. This is a broad subsidy that will leak significant resources to medium-income households. </v>
      </c>
      <c r="H37" s="236"/>
      <c r="I37" s="236"/>
      <c r="K37" s="165" t="str">
        <f>iCP!R40</f>
        <v xml:space="preserve">Although Uruguay has eliminated most price controls, the executive branch continues to fix prices on certain basics, including milk, meat, fuels, transport (including bus fares, which are set by municipalities), electricity, and water supply and telephone services. The prices of water services charged by OSE do not permit the financing of investment necessary to reach population coverage levels intended by the government. The political context surrounding water provision since the constitutional modification has made it increasingly difficult to establish effective pricing regimes for cost recovery. Subsidies are generalised without focusing on low income groups, and, as a result, OSE has been forced to reduce its investment in system infrastructure in the past decade. Multiple cross-subsidies have made it difficult to judge the effectiveness of current operations. In the road sector, tolls are heavily subsidised; according to the CND, information total toll collection for the road network in the hands of CNV amounts to less than 50% of the investment and maintenance expenditure needed for the same network. Tolls are also set at the same level independently of the length and capacity of the road. This makes new investment financing very difficult. From February 2010 households with consumption lower than 100 kwh per month have automatically received a reduction of 50% in their monthly electricity bill. This is a broad subsidy that will leak significant resources to medium-income households. </v>
      </c>
      <c r="O37" s="155" t="str">
        <f>G37</f>
        <v xml:space="preserve">Although Uruguay has eliminated most price controls, the executive branch continues to fix prices on certain basics, including milk, meat, fuels, transport (including bus fares, which are set by municipalities), electricity, and water supply and telephone services. The prices of water services charged by OSE do not permit the financing of investment necessary to reach population coverage levels intended by the government. The political context surrounding water provision since the constitutional modification has made it increasingly difficult to establish effective pricing regimes for cost recovery. Subsidies are generalised without focusing on low income groups, and, as a result, OSE has been forced to reduce its investment in system infrastructure in the past decade. Multiple cross-subsidies have made it difficult to judge the effectiveness of current operations. In the road sector, tolls are heavily subsidised; according to the CND, information total toll collection for the road network in the hands of CNV amounts to less than 50% of the investment and maintenance expenditure needed for the same network. Tolls are also set at the same level independently of the length and capacity of the road. This makes new investment financing very difficult. From February 2010 households with consumption lower than 100 kwh per month have automatically received a reduction of 50% in their monthly electricity bill. This is a broad subsidy that will leak significant resources to medium-income households. </v>
      </c>
    </row>
    <row r="38" spans="1:15">
      <c r="A38" s="162"/>
      <c r="B38" s="162">
        <f>iCP!P41</f>
        <v>0</v>
      </c>
      <c r="C38" s="59"/>
      <c r="D38" s="156" t="str">
        <f>iCP!E41</f>
        <v>SUBNATIONAL ADJUSTMENT</v>
      </c>
      <c r="E38" s="157"/>
      <c r="F38" s="158"/>
      <c r="G38" s="235" t="str">
        <f>iCP!K41</f>
        <v/>
      </c>
      <c r="H38" s="235"/>
      <c r="I38" s="235"/>
      <c r="K38" s="165" t="str">
        <f>iCP!R41</f>
        <v/>
      </c>
      <c r="O38" s="155" t="str">
        <f>G38</f>
        <v/>
      </c>
    </row>
    <row r="39" spans="1:15" ht="45">
      <c r="A39" s="162"/>
      <c r="B39" s="162">
        <f>iCP!P42</f>
        <v>0</v>
      </c>
      <c r="C39" s="59"/>
      <c r="D39" s="60" t="str">
        <f>iCP!E42</f>
        <v xml:space="preserve">   Subnational adjustment factor</v>
      </c>
      <c r="E39" s="61">
        <f>iCP!F42</f>
        <v>25</v>
      </c>
      <c r="F39" s="214" t="s">
        <v>386</v>
      </c>
      <c r="G39" s="236" t="str">
        <f>iCP!K42</f>
        <v>Uruguay established a legal framework for public works concessions with Law No 15.637 in 1984. This complemented the Tocaf. This regulation also authorises municipalities to grant concessions in the transport infrastructure sector. Unsolicited initiatives can also be presented by private investors. The municipality of Montevideo is considering the first concession of an urban toll road in Italia Avenue</v>
      </c>
      <c r="H39" s="236"/>
      <c r="I39" s="236"/>
      <c r="K39" s="165" t="str">
        <f>iCP!R42</f>
        <v>Uruguay established a legal framework for public works concessions with Law No 15.637 in 1984. This complemented the Tocaf. This regulation also authorises municipalities to grant concessions in the transport infrastructure sector. Unsolicited initiatives can also be presented by private investors. The municipality of Montevideo is considering the first concession of an urban toll road in Italia Avenue</v>
      </c>
      <c r="O39" s="155" t="str">
        <f>G39</f>
        <v>Uruguay established a legal framework for public works concessions with Law No 15.637 in 1984. This complemented the Tocaf. This regulation also authorises municipalities to grant concessions in the transport infrastructure sector. Unsolicited initiatives can also be presented by private investors. The municipality of Montevideo is considering the first concession of an urban toll road in Italia Avenue</v>
      </c>
    </row>
    <row r="40" spans="1:15">
      <c r="C40" s="26"/>
      <c r="D40" s="26"/>
      <c r="E40" s="26"/>
      <c r="F40" s="26"/>
      <c r="G40" s="26"/>
      <c r="H40" s="26"/>
      <c r="I40" s="26"/>
    </row>
  </sheetData>
  <sheetProtection password="CD4E" sheet="1" objects="1" scenarios="1" selectLockedCells="1" selectUnlockedCells="1"/>
  <mergeCells count="20">
    <mergeCell ref="G22:I22"/>
    <mergeCell ref="G30:I30"/>
    <mergeCell ref="G16:I16"/>
    <mergeCell ref="G17:I17"/>
    <mergeCell ref="G18:I18"/>
    <mergeCell ref="G19:I19"/>
    <mergeCell ref="G21:I21"/>
    <mergeCell ref="G39:I39"/>
    <mergeCell ref="G24:I24"/>
    <mergeCell ref="G25:I25"/>
    <mergeCell ref="G26:I26"/>
    <mergeCell ref="G27:I27"/>
    <mergeCell ref="G28:I28"/>
    <mergeCell ref="G38:I38"/>
    <mergeCell ref="G32:I32"/>
    <mergeCell ref="G36:I36"/>
    <mergeCell ref="G34:I34"/>
    <mergeCell ref="G35:I35"/>
    <mergeCell ref="G31:I31"/>
    <mergeCell ref="G37:I37"/>
  </mergeCells>
  <phoneticPr fontId="61" type="noConversion"/>
  <conditionalFormatting sqref="C24:C28 C16:C19 C21:C22 C34:C39 C30:C32">
    <cfRule type="expression" dxfId="17" priority="3" stopIfTrue="1">
      <formula>$E16&lt;100/3</formula>
    </cfRule>
    <cfRule type="expression" dxfId="16" priority="4" stopIfTrue="1">
      <formula>$E16&gt;(2*100)/3</formula>
    </cfRule>
  </conditionalFormatting>
  <conditionalFormatting sqref="F5:F11">
    <cfRule type="expression" dxfId="15" priority="1" stopIfTrue="1">
      <formula>$B5=-1</formula>
    </cfRule>
    <cfRule type="expression" dxfId="14" priority="2" stopIfTrue="1">
      <formula>$B5=1</formula>
    </cfRule>
  </conditionalFormatting>
  <pageMargins left="0.7" right="0.7" top="0.75" bottom="0.75" header="0.3" footer="0.3"/>
  <pageSetup paperSize="0" orientation="portrait" horizontalDpi="0" verticalDpi="0" copies="0" r:id="rId1"/>
  <legacyDrawing r:id="rId2"/>
</worksheet>
</file>

<file path=xl/worksheets/sheet14.xml><?xml version="1.0" encoding="utf-8"?>
<worksheet xmlns="http://schemas.openxmlformats.org/spreadsheetml/2006/main" xmlns:r="http://schemas.openxmlformats.org/officeDocument/2006/relationships">
  <sheetPr codeName="Sheet19"/>
  <dimension ref="A1:P33"/>
  <sheetViews>
    <sheetView showGridLines="0" showRowColHeaders="0" zoomScaleNormal="100" workbookViewId="0">
      <selection activeCell="U4" sqref="U4"/>
    </sheetView>
  </sheetViews>
  <sheetFormatPr defaultRowHeight="15"/>
  <cols>
    <col min="1" max="1" width="1.28515625" customWidth="1"/>
    <col min="2" max="2" width="3.42578125" customWidth="1"/>
    <col min="7" max="7" width="2.140625" customWidth="1"/>
    <col min="8" max="8" width="20.7109375" customWidth="1"/>
    <col min="10" max="10" width="2.5703125" customWidth="1"/>
    <col min="12" max="12" width="2.140625" customWidth="1"/>
    <col min="14" max="14" width="3.140625" customWidth="1"/>
    <col min="16" max="16" width="2.85546875" customWidth="1"/>
    <col min="17" max="17" width="18.140625" customWidth="1"/>
  </cols>
  <sheetData>
    <row r="1" spans="1:16" ht="21.75" customHeight="1">
      <c r="A1" s="72" t="s">
        <v>577</v>
      </c>
      <c r="B1" s="72"/>
      <c r="C1" s="71"/>
      <c r="D1" s="71"/>
      <c r="E1" s="71"/>
      <c r="F1" s="71"/>
      <c r="G1" s="71"/>
      <c r="H1" s="71"/>
      <c r="I1" s="71"/>
      <c r="J1" s="71"/>
      <c r="K1" s="71"/>
      <c r="L1" s="71"/>
      <c r="M1" s="71"/>
      <c r="N1" s="71"/>
      <c r="O1" s="71"/>
      <c r="P1" s="71"/>
    </row>
    <row r="2" spans="1:16" ht="12" customHeight="1"/>
    <row r="3" spans="1:16">
      <c r="C3" s="115" t="str">
        <f>UPPER(iCP!F5)</f>
        <v>OVERALL SCORE</v>
      </c>
      <c r="G3" s="116" t="str">
        <f>iCP!L5</f>
        <v>LEGAL AND REGULATORY FRAMEWORK</v>
      </c>
      <c r="K3" s="116" t="str">
        <f>iCP!R5</f>
        <v>INSTITUTIONAL FRAMEWORK</v>
      </c>
    </row>
    <row r="4" spans="1:16" ht="84.75" customHeight="1"/>
    <row r="5" spans="1:16">
      <c r="C5" s="116" t="str">
        <f>iCP!X5</f>
        <v>OPERATIONAL MATURITY</v>
      </c>
      <c r="G5" s="116" t="str">
        <f>iCP!AD5</f>
        <v>INVESTMENT CLIMATE</v>
      </c>
      <c r="K5" s="116" t="str">
        <f>iCP!AJ5</f>
        <v>FINANCIAL FACILITIES</v>
      </c>
    </row>
    <row r="6" spans="1:16" ht="82.5" customHeight="1"/>
    <row r="8" spans="1:16">
      <c r="C8" s="161"/>
      <c r="D8" s="161"/>
      <c r="E8" s="161"/>
      <c r="F8" s="161"/>
      <c r="G8" s="161"/>
      <c r="H8" s="161"/>
      <c r="I8" s="163" t="str">
        <f>iCP!C1</f>
        <v>Uruguay</v>
      </c>
      <c r="J8" s="163"/>
      <c r="K8" s="163" t="str">
        <f>iCP!C2</f>
        <v/>
      </c>
      <c r="L8" s="163"/>
      <c r="M8" s="163" t="str">
        <f>iCP!C3</f>
        <v xml:space="preserve">Chile </v>
      </c>
      <c r="N8" s="163"/>
      <c r="O8" s="163" t="str">
        <f>iCP!C4</f>
        <v>Paraguay</v>
      </c>
    </row>
    <row r="9" spans="1:16" s="95" customFormat="1">
      <c r="C9" s="159" t="str">
        <f>iCP!E46</f>
        <v>OVERALL SCORE</v>
      </c>
      <c r="D9" s="159"/>
      <c r="E9" s="159"/>
      <c r="F9" s="159"/>
      <c r="G9" s="159"/>
      <c r="H9" s="159" t="s">
        <v>843</v>
      </c>
      <c r="I9" s="160">
        <f>iCP!F46</f>
        <v>31.794906198190212</v>
      </c>
      <c r="J9" s="160"/>
      <c r="K9" s="160" t="str">
        <f>iCP!G46</f>
        <v/>
      </c>
      <c r="L9" s="160"/>
      <c r="M9" s="160">
        <f>iCP!H46</f>
        <v>79.311183890980303</v>
      </c>
      <c r="N9" s="160"/>
      <c r="O9" s="160">
        <f>iCP!I46</f>
        <v>24.54870750163056</v>
      </c>
    </row>
    <row r="10" spans="1:16" s="95" customFormat="1">
      <c r="C10" s="113" t="str">
        <f>iCP!E47</f>
        <v>Regulatory framework</v>
      </c>
      <c r="D10" s="113"/>
      <c r="E10" s="113"/>
      <c r="F10" s="113"/>
      <c r="G10" s="113"/>
      <c r="H10" s="113" t="s">
        <v>843</v>
      </c>
      <c r="I10" s="114">
        <f>iCP!F47</f>
        <v>34.375</v>
      </c>
      <c r="J10" s="114"/>
      <c r="K10" s="114" t="str">
        <f>iCP!G47</f>
        <v/>
      </c>
      <c r="L10" s="114"/>
      <c r="M10" s="114">
        <f>iCP!H47</f>
        <v>84.375</v>
      </c>
      <c r="N10" s="114"/>
      <c r="O10" s="114">
        <f>iCP!I47</f>
        <v>25</v>
      </c>
    </row>
    <row r="11" spans="1:16">
      <c r="C11" s="54" t="str">
        <f>iCP!E48</f>
        <v>Consistency and quality of PPP regulations</v>
      </c>
      <c r="D11" s="54"/>
      <c r="E11" s="54"/>
      <c r="F11" s="54"/>
      <c r="G11" s="54"/>
      <c r="H11" s="54" t="s">
        <v>890</v>
      </c>
      <c r="I11" s="53">
        <f>iCP!F48</f>
        <v>1</v>
      </c>
      <c r="J11" s="53"/>
      <c r="K11" s="53" t="str">
        <f>iCP!G48</f>
        <v/>
      </c>
      <c r="L11" s="53"/>
      <c r="M11" s="53">
        <f>iCP!H48</f>
        <v>4</v>
      </c>
      <c r="N11" s="53"/>
      <c r="O11" s="53">
        <f>iCP!I48</f>
        <v>1</v>
      </c>
    </row>
    <row r="12" spans="1:16">
      <c r="C12" s="54" t="str">
        <f>iCP!E49</f>
        <v>Effective PPP selection and decision making</v>
      </c>
      <c r="D12" s="54"/>
      <c r="E12" s="54"/>
      <c r="F12" s="54"/>
      <c r="G12" s="54"/>
      <c r="H12" s="54" t="s">
        <v>890</v>
      </c>
      <c r="I12" s="53">
        <f>iCP!F49</f>
        <v>2</v>
      </c>
      <c r="J12" s="53"/>
      <c r="K12" s="53" t="str">
        <f>iCP!G49</f>
        <v/>
      </c>
      <c r="L12" s="53"/>
      <c r="M12" s="53">
        <f>iCP!H49</f>
        <v>3</v>
      </c>
      <c r="N12" s="53"/>
      <c r="O12" s="53">
        <f>iCP!I49</f>
        <v>1</v>
      </c>
    </row>
    <row r="13" spans="1:16">
      <c r="C13" s="54" t="str">
        <f>iCP!E50</f>
        <v>Fairness/openness of bids, contract changes</v>
      </c>
      <c r="D13" s="54"/>
      <c r="E13" s="54"/>
      <c r="F13" s="54"/>
      <c r="G13" s="54"/>
      <c r="H13" s="54" t="s">
        <v>890</v>
      </c>
      <c r="I13" s="53">
        <f>iCP!F50</f>
        <v>2</v>
      </c>
      <c r="J13" s="53"/>
      <c r="K13" s="53" t="str">
        <f>iCP!G50</f>
        <v/>
      </c>
      <c r="L13" s="53"/>
      <c r="M13" s="53">
        <f>iCP!H50</f>
        <v>3</v>
      </c>
      <c r="N13" s="53"/>
      <c r="O13" s="53">
        <f>iCP!I50</f>
        <v>1</v>
      </c>
    </row>
    <row r="14" spans="1:16">
      <c r="C14" s="54" t="str">
        <f>iCP!E51</f>
        <v>Dispute resolution mechanisms</v>
      </c>
      <c r="D14" s="54"/>
      <c r="E14" s="54"/>
      <c r="F14" s="54"/>
      <c r="G14" s="54"/>
      <c r="H14" s="54" t="s">
        <v>890</v>
      </c>
      <c r="I14" s="53">
        <f>iCP!F51</f>
        <v>1</v>
      </c>
      <c r="J14" s="53"/>
      <c r="K14" s="53" t="str">
        <f>iCP!G51</f>
        <v/>
      </c>
      <c r="L14" s="53"/>
      <c r="M14" s="53">
        <f>iCP!H51</f>
        <v>3</v>
      </c>
      <c r="N14" s="53"/>
      <c r="O14" s="53">
        <f>iCP!I51</f>
        <v>1</v>
      </c>
    </row>
    <row r="15" spans="1:16" s="95" customFormat="1">
      <c r="C15" s="113" t="str">
        <f>iCP!E52</f>
        <v>Institutional framework</v>
      </c>
      <c r="D15" s="113"/>
      <c r="E15" s="113"/>
      <c r="F15" s="113"/>
      <c r="G15" s="113"/>
      <c r="H15" s="113" t="s">
        <v>843</v>
      </c>
      <c r="I15" s="114">
        <f>iCP!F52</f>
        <v>33.333333333333329</v>
      </c>
      <c r="J15" s="114"/>
      <c r="K15" s="114" t="str">
        <f>iCP!G52</f>
        <v/>
      </c>
      <c r="L15" s="114"/>
      <c r="M15" s="114">
        <f>iCP!H52</f>
        <v>75</v>
      </c>
      <c r="N15" s="114"/>
      <c r="O15" s="114">
        <f>iCP!I52</f>
        <v>24.999999999999996</v>
      </c>
    </row>
    <row r="16" spans="1:16">
      <c r="C16" s="54" t="str">
        <f>iCP!E53</f>
        <v>Quality of institutional design</v>
      </c>
      <c r="D16" s="54"/>
      <c r="E16" s="54"/>
      <c r="F16" s="54"/>
      <c r="G16" s="54"/>
      <c r="H16" s="54" t="s">
        <v>890</v>
      </c>
      <c r="I16" s="53">
        <f>iCP!F53</f>
        <v>1</v>
      </c>
      <c r="J16" s="53"/>
      <c r="K16" s="53" t="str">
        <f>iCP!G53</f>
        <v/>
      </c>
      <c r="L16" s="53"/>
      <c r="M16" s="53">
        <f>iCP!H53</f>
        <v>3</v>
      </c>
      <c r="N16" s="53"/>
      <c r="O16" s="53">
        <f>iCP!I53</f>
        <v>1</v>
      </c>
    </row>
    <row r="17" spans="3:15">
      <c r="C17" s="54" t="str">
        <f>iCP!E54</f>
        <v>PPP contract, hold-up and expropriation risk</v>
      </c>
      <c r="D17" s="54"/>
      <c r="E17" s="54"/>
      <c r="F17" s="54"/>
      <c r="G17" s="54"/>
      <c r="H17" s="54" t="s">
        <v>890</v>
      </c>
      <c r="I17" s="53">
        <f>iCP!F54</f>
        <v>2</v>
      </c>
      <c r="J17" s="53"/>
      <c r="K17" s="53" t="str">
        <f>iCP!G54</f>
        <v/>
      </c>
      <c r="L17" s="53"/>
      <c r="M17" s="53">
        <f>iCP!H54</f>
        <v>3</v>
      </c>
      <c r="N17" s="53"/>
      <c r="O17" s="53">
        <f>iCP!I54</f>
        <v>1</v>
      </c>
    </row>
    <row r="18" spans="3:15" s="95" customFormat="1">
      <c r="C18" s="113" t="str">
        <f>iCP!E55</f>
        <v>Operational maturity</v>
      </c>
      <c r="D18" s="113"/>
      <c r="E18" s="113"/>
      <c r="F18" s="113"/>
      <c r="G18" s="113"/>
      <c r="H18" s="113" t="s">
        <v>843</v>
      </c>
      <c r="I18" s="114">
        <f>iCP!F55</f>
        <v>19.345238095238095</v>
      </c>
      <c r="J18" s="114"/>
      <c r="K18" s="114" t="str">
        <f>iCP!G55</f>
        <v/>
      </c>
      <c r="L18" s="114"/>
      <c r="M18" s="114">
        <f>iCP!H55</f>
        <v>72.172619047619051</v>
      </c>
      <c r="N18" s="114"/>
      <c r="O18" s="114">
        <f>iCP!I55</f>
        <v>15.625</v>
      </c>
    </row>
    <row r="19" spans="3:15">
      <c r="C19" s="54" t="str">
        <f>iCP!E56</f>
        <v>Public capacity to plan and oversee PPPs</v>
      </c>
      <c r="D19" s="54"/>
      <c r="E19" s="54"/>
      <c r="F19" s="54"/>
      <c r="G19" s="54"/>
      <c r="H19" s="54" t="s">
        <v>890</v>
      </c>
      <c r="I19" s="53">
        <f>iCP!F56</f>
        <v>2</v>
      </c>
      <c r="J19" s="53"/>
      <c r="K19" s="53" t="str">
        <f>iCP!G56</f>
        <v/>
      </c>
      <c r="L19" s="53"/>
      <c r="M19" s="53">
        <f>iCP!H56</f>
        <v>3</v>
      </c>
      <c r="N19" s="53"/>
      <c r="O19" s="53">
        <f>iCP!I56</f>
        <v>1</v>
      </c>
    </row>
    <row r="20" spans="3:15">
      <c r="C20" s="54" t="str">
        <f>iCP!E57</f>
        <v xml:space="preserve">Methods and criteria for awarding projects </v>
      </c>
      <c r="D20" s="54"/>
      <c r="E20" s="54"/>
      <c r="F20" s="54"/>
      <c r="G20" s="54"/>
      <c r="H20" s="54" t="s">
        <v>890</v>
      </c>
      <c r="I20" s="53">
        <f>iCP!F57</f>
        <v>1</v>
      </c>
      <c r="J20" s="53"/>
      <c r="K20" s="53" t="str">
        <f>iCP!G57</f>
        <v/>
      </c>
      <c r="L20" s="53"/>
      <c r="M20" s="53">
        <f>iCP!H57</f>
        <v>4</v>
      </c>
      <c r="N20" s="53"/>
      <c r="O20" s="53">
        <f>iCP!I57</f>
        <v>1</v>
      </c>
    </row>
    <row r="21" spans="3:15">
      <c r="C21" s="54" t="str">
        <f>iCP!E58</f>
        <v>Regulators' risk allocation record</v>
      </c>
      <c r="D21" s="54"/>
      <c r="E21" s="54"/>
      <c r="F21" s="54"/>
      <c r="G21" s="54"/>
      <c r="H21" s="54" t="s">
        <v>890</v>
      </c>
      <c r="I21" s="53">
        <f>iCP!F58</f>
        <v>1</v>
      </c>
      <c r="J21" s="53"/>
      <c r="K21" s="53" t="str">
        <f>iCP!G58</f>
        <v/>
      </c>
      <c r="L21" s="53"/>
      <c r="M21" s="53">
        <f>iCP!H58</f>
        <v>3</v>
      </c>
      <c r="N21" s="53"/>
      <c r="O21" s="53">
        <f>iCP!I58</f>
        <v>0</v>
      </c>
    </row>
    <row r="22" spans="3:15">
      <c r="C22" s="54" t="str">
        <f>iCP!E59</f>
        <v>Experience in PPP projects (concessions)</v>
      </c>
      <c r="D22" s="54"/>
      <c r="E22" s="54"/>
      <c r="F22" s="54"/>
      <c r="G22" s="54"/>
      <c r="H22" s="54" t="s">
        <v>891</v>
      </c>
      <c r="I22" s="53">
        <f>iCP!F59</f>
        <v>4</v>
      </c>
      <c r="J22" s="53"/>
      <c r="K22" s="53" t="str">
        <f>iCP!G59</f>
        <v/>
      </c>
      <c r="L22" s="53"/>
      <c r="M22" s="53">
        <f>iCP!H59</f>
        <v>44</v>
      </c>
      <c r="N22" s="53"/>
      <c r="O22" s="53">
        <f>iCP!I59</f>
        <v>0</v>
      </c>
    </row>
    <row r="23" spans="3:15">
      <c r="C23" s="54" t="str">
        <f>iCP!E60</f>
        <v>Quality of PPP projects (concessions)</v>
      </c>
      <c r="D23" s="54"/>
      <c r="E23" s="54"/>
      <c r="F23" s="54"/>
      <c r="G23" s="54"/>
      <c r="H23" s="54" t="s">
        <v>892</v>
      </c>
      <c r="I23" s="53">
        <f>iCP!F60</f>
        <v>0</v>
      </c>
      <c r="J23" s="53"/>
      <c r="K23" s="53" t="str">
        <f>iCP!G60</f>
        <v/>
      </c>
      <c r="L23" s="53"/>
      <c r="M23" s="53">
        <f>iCP!H60</f>
        <v>4</v>
      </c>
      <c r="N23" s="53"/>
      <c r="O23" s="53">
        <f>iCP!I60</f>
        <v>1</v>
      </c>
    </row>
    <row r="24" spans="3:15" s="95" customFormat="1">
      <c r="C24" s="113" t="str">
        <f>iCP!E61</f>
        <v>Investment climate</v>
      </c>
      <c r="D24" s="113"/>
      <c r="E24" s="113"/>
      <c r="F24" s="113"/>
      <c r="G24" s="113"/>
      <c r="H24" s="113" t="s">
        <v>843</v>
      </c>
      <c r="I24" s="114">
        <f>iCP!F61</f>
        <v>43.66246989269667</v>
      </c>
      <c r="J24" s="114"/>
      <c r="K24" s="114" t="str">
        <f>iCP!G61</f>
        <v/>
      </c>
      <c r="L24" s="114"/>
      <c r="M24" s="114">
        <f>iCP!H61</f>
        <v>85.388051336694048</v>
      </c>
      <c r="N24" s="114"/>
      <c r="O24" s="114">
        <f>iCP!I61</f>
        <v>31.366383344203733</v>
      </c>
    </row>
    <row r="25" spans="3:15">
      <c r="C25" s="54" t="str">
        <f>iCP!E62</f>
        <v>Political distortion</v>
      </c>
      <c r="D25" s="54"/>
      <c r="E25" s="54"/>
      <c r="F25" s="54"/>
      <c r="G25" s="54"/>
      <c r="H25" s="54" t="s">
        <v>843</v>
      </c>
      <c r="I25" s="53">
        <f>iCP!F62</f>
        <v>55.755211307958795</v>
      </c>
      <c r="J25" s="53"/>
      <c r="K25" s="53" t="str">
        <f>iCP!G62</f>
        <v/>
      </c>
      <c r="L25" s="111"/>
      <c r="M25" s="111">
        <f>iCP!H62</f>
        <v>73.744616053998584</v>
      </c>
      <c r="N25" s="111"/>
      <c r="O25" s="111">
        <f>iCP!I62</f>
        <v>25.871628037437148</v>
      </c>
    </row>
    <row r="26" spans="3:15">
      <c r="C26" s="54" t="str">
        <f>iCP!E63</f>
        <v>Business environment</v>
      </c>
      <c r="D26" s="54"/>
      <c r="E26" s="54"/>
      <c r="F26" s="54"/>
      <c r="G26" s="54"/>
      <c r="H26" s="54" t="s">
        <v>843</v>
      </c>
      <c r="I26" s="53">
        <f>iCP!F63</f>
        <v>52.228001596161221</v>
      </c>
      <c r="J26" s="53"/>
      <c r="K26" s="53" t="str">
        <f>iCP!G63</f>
        <v/>
      </c>
      <c r="L26" s="111"/>
      <c r="M26" s="111">
        <f>iCP!H63</f>
        <v>67.807589292777578</v>
      </c>
      <c r="N26" s="111"/>
      <c r="O26" s="111">
        <f>iCP!I63</f>
        <v>32.92723867271112</v>
      </c>
    </row>
    <row r="27" spans="3:15">
      <c r="C27" s="54" t="str">
        <f>iCP!E64</f>
        <v>Political will</v>
      </c>
      <c r="D27" s="54"/>
      <c r="E27" s="54"/>
      <c r="F27" s="54"/>
      <c r="G27" s="54"/>
      <c r="H27" s="54" t="s">
        <v>1053</v>
      </c>
      <c r="I27" s="53">
        <f>iCP!F64</f>
        <v>1</v>
      </c>
      <c r="J27" s="53"/>
      <c r="K27" s="53" t="str">
        <f>iCP!G64</f>
        <v/>
      </c>
      <c r="L27" s="53"/>
      <c r="M27" s="53">
        <f>iCP!H64</f>
        <v>3</v>
      </c>
      <c r="N27" s="112"/>
      <c r="O27" s="112">
        <f>iCP!I64</f>
        <v>1</v>
      </c>
    </row>
    <row r="28" spans="3:15" s="95" customFormat="1">
      <c r="C28" s="113" t="str">
        <f>iCP!E65</f>
        <v>Financial facilities</v>
      </c>
      <c r="D28" s="113"/>
      <c r="E28" s="113"/>
      <c r="F28" s="113"/>
      <c r="G28" s="113"/>
      <c r="H28" s="113" t="s">
        <v>843</v>
      </c>
      <c r="I28" s="114">
        <f>iCP!F65</f>
        <v>30.555555555555557</v>
      </c>
      <c r="J28" s="114"/>
      <c r="K28" s="114" t="str">
        <f>iCP!G65</f>
        <v/>
      </c>
      <c r="L28" s="114"/>
      <c r="M28" s="114">
        <f>iCP!H65</f>
        <v>97.222222222222214</v>
      </c>
      <c r="N28" s="114"/>
      <c r="O28" s="114">
        <f>iCP!I65</f>
        <v>25</v>
      </c>
    </row>
    <row r="29" spans="3:15">
      <c r="C29" s="54" t="str">
        <f>iCP!E66</f>
        <v>Government payment risk</v>
      </c>
      <c r="D29" s="54"/>
      <c r="E29" s="54"/>
      <c r="F29" s="54"/>
      <c r="G29" s="54"/>
      <c r="H29" s="54" t="s">
        <v>890</v>
      </c>
      <c r="I29" s="53">
        <f>iCP!F66</f>
        <v>2</v>
      </c>
      <c r="J29" s="53"/>
      <c r="K29" s="53" t="str">
        <f>iCP!G66</f>
        <v/>
      </c>
      <c r="L29" s="53"/>
      <c r="M29" s="53">
        <f>iCP!H66</f>
        <v>4</v>
      </c>
      <c r="N29" s="53"/>
      <c r="O29" s="53">
        <f>iCP!I66</f>
        <v>1</v>
      </c>
    </row>
    <row r="30" spans="3:15">
      <c r="C30" s="54" t="str">
        <f>iCP!E67</f>
        <v>Capital market: private infrastructure finance</v>
      </c>
      <c r="D30" s="54"/>
      <c r="E30" s="54"/>
      <c r="F30" s="54"/>
      <c r="G30" s="54"/>
      <c r="H30" s="54" t="s">
        <v>890</v>
      </c>
      <c r="I30" s="53">
        <f>iCP!F67</f>
        <v>1</v>
      </c>
      <c r="J30" s="53"/>
      <c r="K30" s="53" t="str">
        <f>iCP!G67</f>
        <v/>
      </c>
      <c r="L30" s="53"/>
      <c r="M30" s="53">
        <f>iCP!H67</f>
        <v>4</v>
      </c>
      <c r="N30" s="53"/>
      <c r="O30" s="53">
        <f>iCP!I67</f>
        <v>1</v>
      </c>
    </row>
    <row r="31" spans="3:15">
      <c r="C31" s="54" t="str">
        <f>iCP!E68</f>
        <v>Marketable debt</v>
      </c>
      <c r="D31" s="54"/>
      <c r="E31" s="54"/>
      <c r="F31" s="54"/>
      <c r="G31" s="54"/>
      <c r="H31" s="54" t="s">
        <v>890</v>
      </c>
      <c r="I31" s="53">
        <f>iCP!F68</f>
        <v>1</v>
      </c>
      <c r="J31" s="53"/>
      <c r="K31" s="53" t="str">
        <f>iCP!G68</f>
        <v/>
      </c>
      <c r="L31" s="53"/>
      <c r="M31" s="53">
        <f>iCP!H68</f>
        <v>4</v>
      </c>
      <c r="N31" s="53"/>
      <c r="O31" s="53">
        <f>iCP!I68</f>
        <v>1</v>
      </c>
    </row>
    <row r="32" spans="3:15" s="95" customFormat="1">
      <c r="C32" s="113" t="str">
        <f>iCP!E69</f>
        <v>Government support and affordability for low income users</v>
      </c>
      <c r="D32" s="113"/>
      <c r="E32" s="113"/>
      <c r="F32" s="113"/>
      <c r="G32" s="113"/>
      <c r="H32" s="113" t="s">
        <v>843</v>
      </c>
      <c r="I32" s="114">
        <f>iCP!F69</f>
        <v>1</v>
      </c>
      <c r="J32" s="114"/>
      <c r="K32" s="114" t="str">
        <f>iCP!G69</f>
        <v/>
      </c>
      <c r="L32" s="114"/>
      <c r="M32" s="114">
        <f>iCP!H69</f>
        <v>3</v>
      </c>
      <c r="N32" s="114"/>
      <c r="O32" s="114">
        <f>iCP!I69</f>
        <v>1</v>
      </c>
    </row>
    <row r="33" spans="3:15">
      <c r="C33" s="54" t="str">
        <f>iCP!E70</f>
        <v>Subnational adjustment</v>
      </c>
      <c r="D33" s="54"/>
      <c r="E33" s="54"/>
      <c r="F33" s="54"/>
      <c r="G33" s="54"/>
      <c r="H33" s="54"/>
      <c r="I33" s="53">
        <f>iCP!F70</f>
        <v>25</v>
      </c>
      <c r="J33" s="53"/>
      <c r="K33" s="53" t="str">
        <f>iCP!G70</f>
        <v/>
      </c>
      <c r="L33" s="53"/>
      <c r="M33" s="53">
        <f>iCP!H70</f>
        <v>50</v>
      </c>
      <c r="N33" s="53"/>
      <c r="O33" s="53">
        <f>iCP!I70</f>
        <v>25</v>
      </c>
    </row>
  </sheetData>
  <sheetProtection password="CD4E" sheet="1" objects="1" scenarios="1" selectLockedCells="1" selectUnlockedCells="1"/>
  <phoneticPr fontId="0" type="noConversion"/>
  <pageMargins left="0.7" right="0.7" top="0.75" bottom="0.75" header="0.3" footer="0.3"/>
  <pageSetup paperSize="0" orientation="portrait" horizontalDpi="0" verticalDpi="0" copies="0"/>
  <drawing r:id="rId1"/>
  <legacyDrawing r:id="rId2"/>
</worksheet>
</file>

<file path=xl/worksheets/sheet15.xml><?xml version="1.0" encoding="utf-8"?>
<worksheet xmlns="http://schemas.openxmlformats.org/spreadsheetml/2006/main" xmlns:r="http://schemas.openxmlformats.org/officeDocument/2006/relationships">
  <sheetPr codeName="Sheet1"/>
  <dimension ref="A1:U53"/>
  <sheetViews>
    <sheetView topLeftCell="A2" workbookViewId="0">
      <selection activeCell="B5" sqref="B5"/>
    </sheetView>
  </sheetViews>
  <sheetFormatPr defaultRowHeight="12.75"/>
  <cols>
    <col min="1" max="1" width="19.7109375" style="117" customWidth="1"/>
    <col min="2" max="2" width="9.140625" style="117"/>
    <col min="3" max="3" width="9.85546875" style="117" customWidth="1"/>
    <col min="4" max="4" width="8" style="117" customWidth="1"/>
    <col min="5" max="5" width="4.5703125" style="117" customWidth="1"/>
    <col min="6" max="6" width="9.85546875" style="117" customWidth="1"/>
    <col min="7" max="8" width="6" style="117" customWidth="1"/>
    <col min="9" max="9" width="2.85546875" style="117" customWidth="1"/>
    <col min="10" max="15" width="4.5703125" style="117" customWidth="1"/>
    <col min="16" max="16" width="3.140625" style="117" customWidth="1"/>
    <col min="17" max="21" width="3.28515625" style="117" customWidth="1"/>
    <col min="22" max="16384" width="9.140625" style="117"/>
  </cols>
  <sheetData>
    <row r="1" spans="1:21">
      <c r="C1" s="117" t="s">
        <v>845</v>
      </c>
      <c r="D1" s="117" t="s">
        <v>846</v>
      </c>
      <c r="E1" s="117" t="s">
        <v>966</v>
      </c>
      <c r="F1" s="117" t="s">
        <v>847</v>
      </c>
      <c r="G1" s="117" t="s">
        <v>972</v>
      </c>
    </row>
    <row r="2" spans="1:21">
      <c r="A2" s="117" t="s">
        <v>848</v>
      </c>
      <c r="B2" s="118">
        <f>uxbWorks!B9</f>
        <v>3</v>
      </c>
      <c r="C2" s="118" t="str">
        <f>uxbWorks!C9</f>
        <v>LEGF01</v>
      </c>
      <c r="D2" s="118" t="str">
        <f>uxbWorks!D9</f>
        <v>LEGF</v>
      </c>
      <c r="E2" s="118">
        <f>uxbWorks!E9</f>
        <v>2</v>
      </c>
      <c r="F2" s="118" t="str">
        <f>uxbWorks!J9</f>
        <v>Consistency and quality of PPP regulations</v>
      </c>
      <c r="G2" s="118" t="str">
        <f>uxbWorks!K9</f>
        <v>0-4, where 4=best and 0=worst</v>
      </c>
    </row>
    <row r="3" spans="1:21">
      <c r="A3" s="117" t="s">
        <v>849</v>
      </c>
      <c r="B3" s="118">
        <f>uxbWorks!B11</f>
        <v>32</v>
      </c>
      <c r="C3" s="118" t="str">
        <f>uxbWorks!C11</f>
        <v>DEPE05</v>
      </c>
      <c r="D3" s="118" t="str">
        <f>uxbWorks!D11</f>
        <v>DEPE</v>
      </c>
      <c r="E3" s="118">
        <f>uxbWorks!E11</f>
        <v>3</v>
      </c>
      <c r="F3" s="118" t="str">
        <f>uxbWorks!J11</f>
        <v>Nominal GDP , 2009</v>
      </c>
      <c r="G3" s="118" t="str">
        <f>uxbWorks!K11</f>
        <v>US$</v>
      </c>
    </row>
    <row r="4" spans="1:21">
      <c r="A4" s="119" t="s">
        <v>850</v>
      </c>
      <c r="B4" s="118">
        <f>uxbWorks!B14</f>
        <v>0</v>
      </c>
      <c r="C4" s="118" t="str">
        <f>uxbWorks!C14</f>
        <v>&lt;none&gt;</v>
      </c>
    </row>
    <row r="5" spans="1:21">
      <c r="A5" s="119" t="s">
        <v>851</v>
      </c>
      <c r="B5" s="118" t="b">
        <f>uxbWorks!B26</f>
        <v>1</v>
      </c>
    </row>
    <row r="6" spans="1:21">
      <c r="A6" s="119" t="s">
        <v>852</v>
      </c>
      <c r="B6" s="118" t="b">
        <f>uxbWorks!B27</f>
        <v>0</v>
      </c>
    </row>
    <row r="7" spans="1:21">
      <c r="B7" s="117" t="str">
        <f>CONCATENATE(F3, " VS ",F2)</f>
        <v>Nominal GDP , 2009 VS Consistency and quality of PPP regulations</v>
      </c>
    </row>
    <row r="8" spans="1:21">
      <c r="B8" s="117" t="str">
        <f>CONCATENATE(F2," (",G2,")")</f>
        <v>Consistency and quality of PPP regulations (0-4, where 4=best and 0=worst)</v>
      </c>
    </row>
    <row r="9" spans="1:21">
      <c r="B9" s="117" t="str">
        <f>CONCATENATE(F3," (",G3,")")</f>
        <v>Nominal GDP , 2009 (US$)</v>
      </c>
    </row>
    <row r="11" spans="1:21">
      <c r="C11" s="117">
        <v>1</v>
      </c>
      <c r="D11" s="117">
        <v>2</v>
      </c>
      <c r="E11" s="117">
        <v>3</v>
      </c>
      <c r="F11" s="117">
        <v>4</v>
      </c>
      <c r="G11" s="117">
        <v>5</v>
      </c>
      <c r="H11" s="117">
        <v>6</v>
      </c>
      <c r="I11" s="117">
        <v>7</v>
      </c>
      <c r="J11" s="117">
        <v>8</v>
      </c>
      <c r="K11" s="117">
        <v>9</v>
      </c>
      <c r="L11" s="117">
        <v>10</v>
      </c>
      <c r="M11" s="117">
        <v>11</v>
      </c>
      <c r="N11" s="117">
        <v>12</v>
      </c>
      <c r="O11" s="117">
        <v>13</v>
      </c>
      <c r="P11" s="117">
        <v>14</v>
      </c>
      <c r="Q11" s="117">
        <v>15</v>
      </c>
      <c r="R11" s="117">
        <v>16</v>
      </c>
      <c r="S11" s="117">
        <v>17</v>
      </c>
      <c r="T11" s="117">
        <v>18</v>
      </c>
      <c r="U11" s="117">
        <v>19</v>
      </c>
    </row>
    <row r="12" spans="1:21">
      <c r="C12" s="117" t="str">
        <f t="shared" ref="C12:Q12" si="0">INDEX(lu_countries,C11)</f>
        <v>Argentina</v>
      </c>
      <c r="D12" s="117" t="str">
        <f t="shared" si="0"/>
        <v>Brazil</v>
      </c>
      <c r="E12" s="117" t="str">
        <f t="shared" si="0"/>
        <v xml:space="preserve">Chile </v>
      </c>
      <c r="F12" s="117" t="str">
        <f t="shared" si="0"/>
        <v>Colombia</v>
      </c>
      <c r="G12" s="117" t="str">
        <f t="shared" si="0"/>
        <v>Costa Rica</v>
      </c>
      <c r="H12" s="117" t="str">
        <f t="shared" si="0"/>
        <v>Dominican Rep.</v>
      </c>
      <c r="I12" s="117" t="str">
        <f t="shared" si="0"/>
        <v>Ecuador</v>
      </c>
      <c r="J12" s="117" t="str">
        <f t="shared" si="0"/>
        <v>El Salvador</v>
      </c>
      <c r="K12" s="117" t="str">
        <f t="shared" si="0"/>
        <v>Guatemala</v>
      </c>
      <c r="L12" s="117" t="str">
        <f t="shared" si="0"/>
        <v>Honduras</v>
      </c>
      <c r="M12" s="117" t="str">
        <f t="shared" si="0"/>
        <v>Jamaica</v>
      </c>
      <c r="N12" s="117" t="str">
        <f t="shared" si="0"/>
        <v>Mexico</v>
      </c>
      <c r="O12" s="117" t="str">
        <f t="shared" si="0"/>
        <v>Nicaragua</v>
      </c>
      <c r="P12" s="117" t="str">
        <f t="shared" si="0"/>
        <v>Panama</v>
      </c>
      <c r="Q12" s="117" t="str">
        <f t="shared" si="0"/>
        <v>Paraguay</v>
      </c>
      <c r="R12" s="117" t="str">
        <f>INDEX(lu_countries,R11)</f>
        <v>Peru</v>
      </c>
      <c r="S12" s="117" t="str">
        <f>INDEX(lu_countries,S11)</f>
        <v>Trinidad &amp; Tobago</v>
      </c>
      <c r="T12" s="117" t="str">
        <f>INDEX(lu_countries,T11)</f>
        <v>Uruguay</v>
      </c>
      <c r="U12" s="117" t="str">
        <f>INDEX(lu_countries,U11)</f>
        <v>Venezuela</v>
      </c>
    </row>
    <row r="13" spans="1:21">
      <c r="B13" s="117" t="s">
        <v>853</v>
      </c>
      <c r="C13" s="120">
        <f t="shared" ref="C13:Q13" ca="1" si="1">INDEX(lu_CountryStatus,C11)</f>
        <v>1</v>
      </c>
      <c r="D13" s="120">
        <f t="shared" ca="1" si="1"/>
        <v>1</v>
      </c>
      <c r="E13" s="120">
        <f t="shared" ca="1" si="1"/>
        <v>1</v>
      </c>
      <c r="F13" s="120">
        <f t="shared" ca="1" si="1"/>
        <v>1</v>
      </c>
      <c r="G13" s="120">
        <f t="shared" ca="1" si="1"/>
        <v>1</v>
      </c>
      <c r="H13" s="120">
        <f t="shared" ca="1" si="1"/>
        <v>1</v>
      </c>
      <c r="I13" s="120">
        <f t="shared" ca="1" si="1"/>
        <v>1</v>
      </c>
      <c r="J13" s="120">
        <f t="shared" ca="1" si="1"/>
        <v>1</v>
      </c>
      <c r="K13" s="120">
        <f t="shared" ca="1" si="1"/>
        <v>1</v>
      </c>
      <c r="L13" s="120">
        <f t="shared" ca="1" si="1"/>
        <v>1</v>
      </c>
      <c r="M13" s="120">
        <f t="shared" ca="1" si="1"/>
        <v>1</v>
      </c>
      <c r="N13" s="120">
        <f t="shared" ca="1" si="1"/>
        <v>1</v>
      </c>
      <c r="O13" s="120">
        <f t="shared" ca="1" si="1"/>
        <v>1</v>
      </c>
      <c r="P13" s="120">
        <f t="shared" ca="1" si="1"/>
        <v>1</v>
      </c>
      <c r="Q13" s="120">
        <f t="shared" ca="1" si="1"/>
        <v>1</v>
      </c>
      <c r="R13" s="120">
        <f ca="1">INDEX(lu_CountryStatus,R11)</f>
        <v>1</v>
      </c>
      <c r="S13" s="120">
        <f ca="1">INDEX(lu_CountryStatus,S11)</f>
        <v>1</v>
      </c>
      <c r="T13" s="120">
        <f ca="1">INDEX(lu_CountryStatus,T11)</f>
        <v>1</v>
      </c>
      <c r="U13" s="120">
        <f ca="1">INDEX(lu_CountryStatus,U11)</f>
        <v>1</v>
      </c>
    </row>
    <row r="14" spans="1:21">
      <c r="B14" s="117" t="s">
        <v>904</v>
      </c>
      <c r="C14" s="120">
        <f t="shared" ref="C14:Q14" ca="1" si="2">INDEX(lu_RegionHighlight,C11)</f>
        <v>0</v>
      </c>
      <c r="D14" s="120">
        <f t="shared" ca="1" si="2"/>
        <v>0</v>
      </c>
      <c r="E14" s="120">
        <f t="shared" ca="1" si="2"/>
        <v>0</v>
      </c>
      <c r="F14" s="120">
        <f t="shared" ca="1" si="2"/>
        <v>0</v>
      </c>
      <c r="G14" s="120">
        <f t="shared" ca="1" si="2"/>
        <v>0</v>
      </c>
      <c r="H14" s="120">
        <f t="shared" ca="1" si="2"/>
        <v>0</v>
      </c>
      <c r="I14" s="120">
        <f t="shared" ca="1" si="2"/>
        <v>0</v>
      </c>
      <c r="J14" s="120">
        <f t="shared" ca="1" si="2"/>
        <v>0</v>
      </c>
      <c r="K14" s="120">
        <f t="shared" ca="1" si="2"/>
        <v>0</v>
      </c>
      <c r="L14" s="120">
        <f t="shared" ca="1" si="2"/>
        <v>0</v>
      </c>
      <c r="M14" s="120">
        <f t="shared" ca="1" si="2"/>
        <v>0</v>
      </c>
      <c r="N14" s="120">
        <f t="shared" ca="1" si="2"/>
        <v>0</v>
      </c>
      <c r="O14" s="120">
        <f t="shared" ca="1" si="2"/>
        <v>0</v>
      </c>
      <c r="P14" s="120">
        <f t="shared" ca="1" si="2"/>
        <v>0</v>
      </c>
      <c r="Q14" s="120">
        <f t="shared" ca="1" si="2"/>
        <v>0</v>
      </c>
      <c r="R14" s="120">
        <f ca="1">INDEX(lu_RegionHighlight,R11)</f>
        <v>0</v>
      </c>
      <c r="S14" s="120">
        <f ca="1">INDEX(lu_RegionHighlight,S11)</f>
        <v>0</v>
      </c>
      <c r="T14" s="120">
        <f ca="1">INDEX(lu_RegionHighlight,T11)</f>
        <v>0</v>
      </c>
      <c r="U14" s="120">
        <f ca="1">INDEX(lu_RegionHighlight,U11)</f>
        <v>0</v>
      </c>
    </row>
    <row r="15" spans="1:21">
      <c r="A15" s="119" t="s">
        <v>854</v>
      </c>
      <c r="B15" s="117">
        <f>B2</f>
        <v>3</v>
      </c>
      <c r="C15" s="120">
        <f t="shared" ref="C15:U15" ca="1" si="3">IF(C$13=0,NA(),IF($E$2=3,INDEX(data_2009,$B15,C$11),INDEX(scores_2009,$B15,C$11)))</f>
        <v>50</v>
      </c>
      <c r="D15" s="120">
        <f t="shared" ca="1" si="3"/>
        <v>75</v>
      </c>
      <c r="E15" s="120">
        <f t="shared" ca="1" si="3"/>
        <v>100</v>
      </c>
      <c r="F15" s="120">
        <f t="shared" ca="1" si="3"/>
        <v>50</v>
      </c>
      <c r="G15" s="120">
        <f t="shared" ca="1" si="3"/>
        <v>25</v>
      </c>
      <c r="H15" s="120">
        <f t="shared" ca="1" si="3"/>
        <v>25</v>
      </c>
      <c r="I15" s="120">
        <f t="shared" ca="1" si="3"/>
        <v>0</v>
      </c>
      <c r="J15" s="120">
        <f t="shared" ca="1" si="3"/>
        <v>25</v>
      </c>
      <c r="K15" s="120">
        <f t="shared" ca="1" si="3"/>
        <v>75</v>
      </c>
      <c r="L15" s="120">
        <f t="shared" ca="1" si="3"/>
        <v>25</v>
      </c>
      <c r="M15" s="120">
        <f t="shared" ca="1" si="3"/>
        <v>25</v>
      </c>
      <c r="N15" s="120">
        <f t="shared" ca="1" si="3"/>
        <v>50</v>
      </c>
      <c r="O15" s="120">
        <f t="shared" ca="1" si="3"/>
        <v>25</v>
      </c>
      <c r="P15" s="120">
        <f t="shared" ca="1" si="3"/>
        <v>50</v>
      </c>
      <c r="Q15" s="120">
        <f t="shared" ca="1" si="3"/>
        <v>25</v>
      </c>
      <c r="R15" s="120">
        <f t="shared" ca="1" si="3"/>
        <v>75</v>
      </c>
      <c r="S15" s="120">
        <f t="shared" ca="1" si="3"/>
        <v>25</v>
      </c>
      <c r="T15" s="120">
        <f t="shared" ca="1" si="3"/>
        <v>25</v>
      </c>
      <c r="U15" s="120">
        <f t="shared" ca="1" si="3"/>
        <v>0</v>
      </c>
    </row>
    <row r="16" spans="1:21">
      <c r="A16" s="119" t="s">
        <v>855</v>
      </c>
      <c r="B16" s="117">
        <f>B3</f>
        <v>32</v>
      </c>
      <c r="C16" s="120">
        <f t="shared" ref="C16:U16" ca="1" si="4">IF(C$13=0,NA(),IF(ISERROR(C15),NA(),IF($E3=3,INDEX(data_2009,$B16,C$11),INDEX(scores_2009,$B16,C$11))))</f>
        <v>308.73989999999998</v>
      </c>
      <c r="D16" s="120">
        <f t="shared" ca="1" si="4"/>
        <v>1573.4087</v>
      </c>
      <c r="E16" s="120">
        <f t="shared" ca="1" si="4"/>
        <v>163.30510000000001</v>
      </c>
      <c r="F16" s="120">
        <f t="shared" ca="1" si="4"/>
        <v>230.67150000000001</v>
      </c>
      <c r="G16" s="120">
        <f t="shared" ca="1" si="4"/>
        <v>29.303100000000001</v>
      </c>
      <c r="H16" s="120">
        <f t="shared" ca="1" si="4"/>
        <v>45.959000000000003</v>
      </c>
      <c r="I16" s="120">
        <f t="shared" ca="1" si="4"/>
        <v>52.021900000000002</v>
      </c>
      <c r="J16" s="120">
        <f t="shared" ca="1" si="4"/>
        <v>21.469799999999999</v>
      </c>
      <c r="K16" s="120">
        <f t="shared" ca="1" si="4"/>
        <v>37.301000000000002</v>
      </c>
      <c r="L16" s="120">
        <f t="shared" ca="1" si="4"/>
        <v>14.4085</v>
      </c>
      <c r="M16" s="120">
        <f t="shared" ca="1" si="4"/>
        <v>12.337999999999999</v>
      </c>
      <c r="N16" s="120">
        <f t="shared" ca="1" si="4"/>
        <v>874.90350000000001</v>
      </c>
      <c r="O16" s="120">
        <f t="shared" ca="1" si="4"/>
        <v>6.149</v>
      </c>
      <c r="P16" s="120">
        <f t="shared" ca="1" si="4"/>
        <v>24.594999999999999</v>
      </c>
      <c r="Q16" s="120">
        <f t="shared" ca="1" si="4"/>
        <v>13.98</v>
      </c>
      <c r="R16" s="120">
        <f t="shared" ca="1" si="4"/>
        <v>126.73779999999999</v>
      </c>
      <c r="S16" s="120">
        <f t="shared" ca="1" si="4"/>
        <v>25.257999999999999</v>
      </c>
      <c r="T16" s="120">
        <f t="shared" ca="1" si="4"/>
        <v>31.510899999999999</v>
      </c>
      <c r="U16" s="120">
        <f t="shared" ca="1" si="4"/>
        <v>326.13299999999998</v>
      </c>
    </row>
    <row r="17" spans="1:21">
      <c r="A17" s="121" t="s">
        <v>856</v>
      </c>
      <c r="C17" s="120"/>
      <c r="D17" s="120"/>
      <c r="E17" s="120"/>
      <c r="F17" s="120"/>
      <c r="G17" s="120"/>
      <c r="H17" s="120"/>
      <c r="I17" s="120"/>
      <c r="J17" s="120"/>
      <c r="K17" s="120"/>
      <c r="L17" s="120"/>
      <c r="M17" s="120"/>
      <c r="N17" s="120"/>
      <c r="O17" s="120"/>
      <c r="P17" s="120"/>
      <c r="Q17" s="120"/>
      <c r="R17" s="120"/>
      <c r="S17" s="120"/>
      <c r="T17" s="120"/>
      <c r="U17" s="120"/>
    </row>
    <row r="18" spans="1:21">
      <c r="A18" s="119" t="s">
        <v>854</v>
      </c>
      <c r="C18" s="122">
        <f ca="1">IF(ISERROR(C15),NA(),IF(C15="",NA(),C15))</f>
        <v>50</v>
      </c>
      <c r="D18" s="122">
        <f t="shared" ref="D18:U19" ca="1" si="5">IF(ISERROR(D15),NA(),IF(D15="",NA(),D15))</f>
        <v>75</v>
      </c>
      <c r="E18" s="122">
        <f t="shared" ca="1" si="5"/>
        <v>100</v>
      </c>
      <c r="F18" s="122">
        <f t="shared" ca="1" si="5"/>
        <v>50</v>
      </c>
      <c r="G18" s="122">
        <f t="shared" ca="1" si="5"/>
        <v>25</v>
      </c>
      <c r="H18" s="122">
        <f t="shared" ca="1" si="5"/>
        <v>25</v>
      </c>
      <c r="I18" s="122">
        <f t="shared" ca="1" si="5"/>
        <v>0</v>
      </c>
      <c r="J18" s="122">
        <f t="shared" ca="1" si="5"/>
        <v>25</v>
      </c>
      <c r="K18" s="122">
        <f t="shared" ca="1" si="5"/>
        <v>75</v>
      </c>
      <c r="L18" s="122">
        <f t="shared" ca="1" si="5"/>
        <v>25</v>
      </c>
      <c r="M18" s="122">
        <f t="shared" ca="1" si="5"/>
        <v>25</v>
      </c>
      <c r="N18" s="122">
        <f t="shared" ca="1" si="5"/>
        <v>50</v>
      </c>
      <c r="O18" s="122">
        <f t="shared" ca="1" si="5"/>
        <v>25</v>
      </c>
      <c r="P18" s="122">
        <f t="shared" ca="1" si="5"/>
        <v>50</v>
      </c>
      <c r="Q18" s="122">
        <f t="shared" ca="1" si="5"/>
        <v>25</v>
      </c>
      <c r="R18" s="122">
        <f t="shared" ca="1" si="5"/>
        <v>75</v>
      </c>
      <c r="S18" s="122">
        <f t="shared" ca="1" si="5"/>
        <v>25</v>
      </c>
      <c r="T18" s="122">
        <f t="shared" ca="1" si="5"/>
        <v>25</v>
      </c>
      <c r="U18" s="122">
        <f t="shared" ca="1" si="5"/>
        <v>0</v>
      </c>
    </row>
    <row r="19" spans="1:21">
      <c r="A19" s="119" t="s">
        <v>855</v>
      </c>
      <c r="C19" s="122">
        <f ca="1">IF(ISERROR(C16),NA(),IF(C16="",NA(),C16))</f>
        <v>308.73989999999998</v>
      </c>
      <c r="D19" s="122">
        <f t="shared" ca="1" si="5"/>
        <v>1573.4087</v>
      </c>
      <c r="E19" s="122">
        <f t="shared" ca="1" si="5"/>
        <v>163.30510000000001</v>
      </c>
      <c r="F19" s="122">
        <f t="shared" ca="1" si="5"/>
        <v>230.67150000000001</v>
      </c>
      <c r="G19" s="122">
        <f t="shared" ca="1" si="5"/>
        <v>29.303100000000001</v>
      </c>
      <c r="H19" s="122">
        <f t="shared" ca="1" si="5"/>
        <v>45.959000000000003</v>
      </c>
      <c r="I19" s="122">
        <f t="shared" ca="1" si="5"/>
        <v>52.021900000000002</v>
      </c>
      <c r="J19" s="122">
        <f t="shared" ca="1" si="5"/>
        <v>21.469799999999999</v>
      </c>
      <c r="K19" s="122">
        <f t="shared" ca="1" si="5"/>
        <v>37.301000000000002</v>
      </c>
      <c r="L19" s="122">
        <f t="shared" ca="1" si="5"/>
        <v>14.4085</v>
      </c>
      <c r="M19" s="122">
        <f t="shared" ca="1" si="5"/>
        <v>12.337999999999999</v>
      </c>
      <c r="N19" s="122">
        <f t="shared" ca="1" si="5"/>
        <v>874.90350000000001</v>
      </c>
      <c r="O19" s="122">
        <f t="shared" ca="1" si="5"/>
        <v>6.149</v>
      </c>
      <c r="P19" s="122">
        <f t="shared" ca="1" si="5"/>
        <v>24.594999999999999</v>
      </c>
      <c r="Q19" s="122">
        <f t="shared" ca="1" si="5"/>
        <v>13.98</v>
      </c>
      <c r="R19" s="122">
        <f t="shared" ca="1" si="5"/>
        <v>126.73779999999999</v>
      </c>
      <c r="S19" s="122">
        <f t="shared" ca="1" si="5"/>
        <v>25.257999999999999</v>
      </c>
      <c r="T19" s="122">
        <f t="shared" ca="1" si="5"/>
        <v>31.510899999999999</v>
      </c>
      <c r="U19" s="122">
        <f t="shared" ca="1" si="5"/>
        <v>326.13299999999998</v>
      </c>
    </row>
    <row r="21" spans="1:21">
      <c r="C21" s="123">
        <f ca="1">IF(OR(ISERROR(C18),ISERROR(C19)),"",C18)</f>
        <v>50</v>
      </c>
      <c r="D21" s="123">
        <f t="shared" ref="D21:U21" ca="1" si="6">IF(OR(ISERROR(D18),ISERROR(D19)),"",D18)</f>
        <v>75</v>
      </c>
      <c r="E21" s="123">
        <f t="shared" ca="1" si="6"/>
        <v>100</v>
      </c>
      <c r="F21" s="123">
        <f t="shared" ca="1" si="6"/>
        <v>50</v>
      </c>
      <c r="G21" s="123">
        <f t="shared" ca="1" si="6"/>
        <v>25</v>
      </c>
      <c r="H21" s="123">
        <f t="shared" ca="1" si="6"/>
        <v>25</v>
      </c>
      <c r="I21" s="123">
        <f t="shared" ca="1" si="6"/>
        <v>0</v>
      </c>
      <c r="J21" s="123">
        <f t="shared" ca="1" si="6"/>
        <v>25</v>
      </c>
      <c r="K21" s="123">
        <f t="shared" ca="1" si="6"/>
        <v>75</v>
      </c>
      <c r="L21" s="123">
        <f t="shared" ca="1" si="6"/>
        <v>25</v>
      </c>
      <c r="M21" s="123">
        <f t="shared" ca="1" si="6"/>
        <v>25</v>
      </c>
      <c r="N21" s="123">
        <f t="shared" ca="1" si="6"/>
        <v>50</v>
      </c>
      <c r="O21" s="123">
        <f t="shared" ca="1" si="6"/>
        <v>25</v>
      </c>
      <c r="P21" s="123">
        <f t="shared" ca="1" si="6"/>
        <v>50</v>
      </c>
      <c r="Q21" s="123">
        <f t="shared" ca="1" si="6"/>
        <v>25</v>
      </c>
      <c r="R21" s="123">
        <f t="shared" ca="1" si="6"/>
        <v>75</v>
      </c>
      <c r="S21" s="123">
        <f t="shared" ca="1" si="6"/>
        <v>25</v>
      </c>
      <c r="T21" s="123">
        <f t="shared" ca="1" si="6"/>
        <v>25</v>
      </c>
      <c r="U21" s="123">
        <f t="shared" ca="1" si="6"/>
        <v>0</v>
      </c>
    </row>
    <row r="22" spans="1:21">
      <c r="C22" s="123">
        <f ca="1">IF(OR(ISERROR(C19),ISERROR(C18)),"",C19)</f>
        <v>308.73989999999998</v>
      </c>
      <c r="D22" s="123">
        <f t="shared" ref="D22:U22" ca="1" si="7">IF(OR(ISERROR(D19),ISERROR(D18)),"",D19)</f>
        <v>1573.4087</v>
      </c>
      <c r="E22" s="123">
        <f t="shared" ca="1" si="7"/>
        <v>163.30510000000001</v>
      </c>
      <c r="F22" s="123">
        <f t="shared" ca="1" si="7"/>
        <v>230.67150000000001</v>
      </c>
      <c r="G22" s="123">
        <f t="shared" ca="1" si="7"/>
        <v>29.303100000000001</v>
      </c>
      <c r="H22" s="123">
        <f t="shared" ca="1" si="7"/>
        <v>45.959000000000003</v>
      </c>
      <c r="I22" s="123">
        <f t="shared" ca="1" si="7"/>
        <v>52.021900000000002</v>
      </c>
      <c r="J22" s="123">
        <f t="shared" ca="1" si="7"/>
        <v>21.469799999999999</v>
      </c>
      <c r="K22" s="123">
        <f t="shared" ca="1" si="7"/>
        <v>37.301000000000002</v>
      </c>
      <c r="L22" s="123">
        <f t="shared" ca="1" si="7"/>
        <v>14.4085</v>
      </c>
      <c r="M22" s="123">
        <f t="shared" ca="1" si="7"/>
        <v>12.337999999999999</v>
      </c>
      <c r="N22" s="123">
        <f t="shared" ca="1" si="7"/>
        <v>874.90350000000001</v>
      </c>
      <c r="O22" s="123">
        <f t="shared" ca="1" si="7"/>
        <v>6.149</v>
      </c>
      <c r="P22" s="123">
        <f t="shared" ca="1" si="7"/>
        <v>24.594999999999999</v>
      </c>
      <c r="Q22" s="123">
        <f t="shared" ca="1" si="7"/>
        <v>13.98</v>
      </c>
      <c r="R22" s="123">
        <f t="shared" ca="1" si="7"/>
        <v>126.73779999999999</v>
      </c>
      <c r="S22" s="123">
        <f t="shared" ca="1" si="7"/>
        <v>25.257999999999999</v>
      </c>
      <c r="T22" s="123">
        <f t="shared" ca="1" si="7"/>
        <v>31.510899999999999</v>
      </c>
      <c r="U22" s="123">
        <f t="shared" ca="1" si="7"/>
        <v>326.13299999999998</v>
      </c>
    </row>
    <row r="23" spans="1:21">
      <c r="B23" s="119" t="s">
        <v>857</v>
      </c>
      <c r="C23" s="124">
        <f ca="1">SLOPE(C22:U22,C21:U21)</f>
        <v>5.3454704081632647</v>
      </c>
      <c r="D23" s="124"/>
      <c r="E23" s="124"/>
      <c r="F23" s="124"/>
      <c r="G23" s="124"/>
      <c r="H23" s="124"/>
      <c r="I23" s="124"/>
      <c r="J23" s="124"/>
      <c r="K23" s="124"/>
      <c r="L23" s="124"/>
      <c r="M23" s="124"/>
      <c r="N23" s="124"/>
      <c r="O23" s="124"/>
      <c r="P23" s="124"/>
      <c r="Q23" s="124"/>
      <c r="R23" s="124"/>
      <c r="S23" s="124"/>
      <c r="T23" s="124"/>
      <c r="U23" s="124"/>
    </row>
    <row r="24" spans="1:21">
      <c r="B24" s="119" t="s">
        <v>858</v>
      </c>
      <c r="C24" s="124">
        <f ca="1">INTERCEPT(C22:U22,C21:U21)</f>
        <v>-4.7846897959183821</v>
      </c>
      <c r="D24" s="124"/>
      <c r="E24" s="124"/>
      <c r="F24" s="124"/>
      <c r="G24" s="124"/>
      <c r="H24" s="124"/>
      <c r="I24" s="124"/>
      <c r="J24" s="124"/>
      <c r="K24" s="124"/>
      <c r="L24" s="124"/>
      <c r="M24" s="124"/>
      <c r="N24" s="124"/>
      <c r="O24" s="124"/>
      <c r="P24" s="124"/>
      <c r="Q24" s="124"/>
      <c r="R24" s="124"/>
      <c r="S24" s="124"/>
      <c r="T24" s="124"/>
      <c r="U24" s="124"/>
    </row>
    <row r="25" spans="1:21">
      <c r="B25" s="119" t="s">
        <v>859</v>
      </c>
      <c r="C25" s="124">
        <f ca="1">CORREL(C22:U22,C21:U21)</f>
        <v>0.36663546455748652</v>
      </c>
      <c r="D25" s="124"/>
      <c r="E25" s="124"/>
      <c r="F25" s="124"/>
      <c r="G25" s="124"/>
      <c r="H25" s="124"/>
      <c r="I25" s="124"/>
      <c r="J25" s="124"/>
      <c r="K25" s="124"/>
      <c r="L25" s="124"/>
      <c r="M25" s="124"/>
      <c r="N25" s="124"/>
      <c r="O25" s="124"/>
      <c r="P25" s="124"/>
      <c r="Q25" s="124"/>
      <c r="R25" s="124"/>
      <c r="S25" s="124"/>
      <c r="T25" s="124"/>
      <c r="U25" s="124"/>
    </row>
    <row r="26" spans="1:21">
      <c r="B26" s="119"/>
    </row>
    <row r="27" spans="1:21">
      <c r="A27" s="121" t="s">
        <v>860</v>
      </c>
      <c r="B27" s="119"/>
    </row>
    <row r="28" spans="1:21">
      <c r="B28" s="119" t="s">
        <v>861</v>
      </c>
      <c r="C28" s="123">
        <f t="shared" ref="C28:U28" ca="1" si="8">IF(ISERROR(C18),"",(C18*$C$23)+$C$24)</f>
        <v>262.48883061224484</v>
      </c>
      <c r="D28" s="123">
        <f t="shared" ca="1" si="8"/>
        <v>396.12559081632645</v>
      </c>
      <c r="E28" s="123">
        <f t="shared" ca="1" si="8"/>
        <v>529.762351020408</v>
      </c>
      <c r="F28" s="123">
        <f t="shared" ca="1" si="8"/>
        <v>262.48883061224484</v>
      </c>
      <c r="G28" s="123">
        <f t="shared" ca="1" si="8"/>
        <v>128.85207040816323</v>
      </c>
      <c r="H28" s="123">
        <f t="shared" ca="1" si="8"/>
        <v>128.85207040816323</v>
      </c>
      <c r="I28" s="123">
        <f t="shared" ca="1" si="8"/>
        <v>-4.7846897959183821</v>
      </c>
      <c r="J28" s="123">
        <f t="shared" ca="1" si="8"/>
        <v>128.85207040816323</v>
      </c>
      <c r="K28" s="123">
        <f t="shared" ca="1" si="8"/>
        <v>396.12559081632645</v>
      </c>
      <c r="L28" s="123">
        <f t="shared" ca="1" si="8"/>
        <v>128.85207040816323</v>
      </c>
      <c r="M28" s="123">
        <f t="shared" ca="1" si="8"/>
        <v>128.85207040816323</v>
      </c>
      <c r="N28" s="123">
        <f t="shared" ca="1" si="8"/>
        <v>262.48883061224484</v>
      </c>
      <c r="O28" s="123">
        <f t="shared" ca="1" si="8"/>
        <v>128.85207040816323</v>
      </c>
      <c r="P28" s="123">
        <f t="shared" ca="1" si="8"/>
        <v>262.48883061224484</v>
      </c>
      <c r="Q28" s="123">
        <f t="shared" ca="1" si="8"/>
        <v>128.85207040816323</v>
      </c>
      <c r="R28" s="123">
        <f t="shared" ca="1" si="8"/>
        <v>396.12559081632645</v>
      </c>
      <c r="S28" s="123">
        <f t="shared" ca="1" si="8"/>
        <v>128.85207040816323</v>
      </c>
      <c r="T28" s="123">
        <f t="shared" ca="1" si="8"/>
        <v>128.85207040816323</v>
      </c>
      <c r="U28" s="123">
        <f t="shared" ca="1" si="8"/>
        <v>-4.7846897959183821</v>
      </c>
    </row>
    <row r="29" spans="1:21">
      <c r="B29" s="119" t="s">
        <v>862</v>
      </c>
      <c r="C29" s="123">
        <f t="shared" ref="C29:U29" ca="1" si="9">IF(OR(ISERROR(C19),ISERROR(C28)),"",C28-C19)</f>
        <v>-46.251069387755138</v>
      </c>
      <c r="D29" s="123">
        <f t="shared" ca="1" si="9"/>
        <v>-1177.2831091836736</v>
      </c>
      <c r="E29" s="123">
        <f t="shared" ca="1" si="9"/>
        <v>366.45725102040797</v>
      </c>
      <c r="F29" s="123">
        <f t="shared" ca="1" si="9"/>
        <v>31.817330612244831</v>
      </c>
      <c r="G29" s="123">
        <f t="shared" ca="1" si="9"/>
        <v>99.548970408163228</v>
      </c>
      <c r="H29" s="123">
        <f t="shared" ca="1" si="9"/>
        <v>82.893070408163226</v>
      </c>
      <c r="I29" s="123">
        <f t="shared" ca="1" si="9"/>
        <v>-56.806589795918384</v>
      </c>
      <c r="J29" s="123">
        <f t="shared" ca="1" si="9"/>
        <v>107.38227040816324</v>
      </c>
      <c r="K29" s="123">
        <f t="shared" ca="1" si="9"/>
        <v>358.82459081632646</v>
      </c>
      <c r="L29" s="123">
        <f t="shared" ca="1" si="9"/>
        <v>114.44357040816323</v>
      </c>
      <c r="M29" s="123">
        <f t="shared" ca="1" si="9"/>
        <v>116.51407040816324</v>
      </c>
      <c r="N29" s="123">
        <f t="shared" ca="1" si="9"/>
        <v>-612.41466938775511</v>
      </c>
      <c r="O29" s="123">
        <f t="shared" ca="1" si="9"/>
        <v>122.70307040816323</v>
      </c>
      <c r="P29" s="123">
        <f t="shared" ca="1" si="9"/>
        <v>237.89383061224484</v>
      </c>
      <c r="Q29" s="123">
        <f t="shared" ca="1" si="9"/>
        <v>114.87207040816322</v>
      </c>
      <c r="R29" s="123">
        <f t="shared" ca="1" si="9"/>
        <v>269.38779081632646</v>
      </c>
      <c r="S29" s="123">
        <f t="shared" ca="1" si="9"/>
        <v>103.59407040816323</v>
      </c>
      <c r="T29" s="123">
        <f t="shared" ca="1" si="9"/>
        <v>97.341170408163237</v>
      </c>
      <c r="U29" s="123">
        <f t="shared" ca="1" si="9"/>
        <v>-330.91768979591836</v>
      </c>
    </row>
    <row r="30" spans="1:21">
      <c r="C30" s="125"/>
      <c r="D30" s="125"/>
      <c r="E30" s="125"/>
      <c r="F30" s="125"/>
      <c r="G30" s="125"/>
      <c r="H30" s="125"/>
      <c r="I30" s="125"/>
      <c r="J30" s="125"/>
      <c r="K30" s="125"/>
      <c r="L30" s="125"/>
      <c r="M30" s="125"/>
      <c r="N30" s="125"/>
      <c r="O30" s="125"/>
      <c r="P30" s="125"/>
      <c r="Q30" s="125"/>
      <c r="R30" s="125"/>
      <c r="S30" s="125"/>
      <c r="T30" s="125"/>
      <c r="U30" s="125"/>
    </row>
    <row r="31" spans="1:21">
      <c r="C31" s="125"/>
      <c r="D31" s="125"/>
      <c r="E31" s="125"/>
      <c r="F31" s="125"/>
      <c r="G31" s="125"/>
      <c r="H31" s="125"/>
      <c r="I31" s="125"/>
      <c r="J31" s="125"/>
      <c r="K31" s="125"/>
      <c r="L31" s="125"/>
      <c r="M31" s="125"/>
      <c r="N31" s="125"/>
      <c r="O31" s="125"/>
      <c r="P31" s="125"/>
      <c r="Q31" s="125"/>
      <c r="R31" s="125"/>
      <c r="S31" s="125"/>
      <c r="T31" s="125"/>
      <c r="U31" s="125"/>
    </row>
    <row r="32" spans="1:21">
      <c r="A32" s="121" t="s">
        <v>863</v>
      </c>
      <c r="C32" s="125"/>
      <c r="D32" s="125"/>
      <c r="E32" s="125"/>
      <c r="F32" s="125"/>
      <c r="G32" s="125"/>
      <c r="H32" s="125"/>
      <c r="I32" s="125"/>
      <c r="J32" s="125"/>
      <c r="K32" s="125"/>
      <c r="L32" s="125"/>
      <c r="M32" s="125"/>
      <c r="N32" s="125"/>
      <c r="O32" s="125"/>
      <c r="P32" s="125"/>
      <c r="Q32" s="125"/>
      <c r="R32" s="125"/>
      <c r="S32" s="125"/>
      <c r="T32" s="125"/>
      <c r="U32" s="125"/>
    </row>
    <row r="33" spans="1:21">
      <c r="A33" s="117" t="s">
        <v>864</v>
      </c>
      <c r="B33" s="117" t="s">
        <v>854</v>
      </c>
      <c r="C33" s="123">
        <f t="shared" ref="C33:U34" ca="1" si="10">IF(C$14&gt;0,NA(),C18)</f>
        <v>50</v>
      </c>
      <c r="D33" s="123">
        <f t="shared" ca="1" si="10"/>
        <v>75</v>
      </c>
      <c r="E33" s="123">
        <f t="shared" ca="1" si="10"/>
        <v>100</v>
      </c>
      <c r="F33" s="123">
        <f t="shared" ca="1" si="10"/>
        <v>50</v>
      </c>
      <c r="G33" s="123">
        <f t="shared" ca="1" si="10"/>
        <v>25</v>
      </c>
      <c r="H33" s="123">
        <f t="shared" ca="1" si="10"/>
        <v>25</v>
      </c>
      <c r="I33" s="123">
        <f t="shared" ca="1" si="10"/>
        <v>0</v>
      </c>
      <c r="J33" s="123">
        <f t="shared" ca="1" si="10"/>
        <v>25</v>
      </c>
      <c r="K33" s="123">
        <f t="shared" ca="1" si="10"/>
        <v>75</v>
      </c>
      <c r="L33" s="123">
        <f t="shared" ca="1" si="10"/>
        <v>25</v>
      </c>
      <c r="M33" s="123">
        <f t="shared" ca="1" si="10"/>
        <v>25</v>
      </c>
      <c r="N33" s="123">
        <f t="shared" ca="1" si="10"/>
        <v>50</v>
      </c>
      <c r="O33" s="123">
        <f t="shared" ca="1" si="10"/>
        <v>25</v>
      </c>
      <c r="P33" s="123">
        <f t="shared" ca="1" si="10"/>
        <v>50</v>
      </c>
      <c r="Q33" s="123">
        <f t="shared" ca="1" si="10"/>
        <v>25</v>
      </c>
      <c r="R33" s="123">
        <f t="shared" ca="1" si="10"/>
        <v>75</v>
      </c>
      <c r="S33" s="123">
        <f t="shared" ca="1" si="10"/>
        <v>25</v>
      </c>
      <c r="T33" s="123">
        <f t="shared" ca="1" si="10"/>
        <v>25</v>
      </c>
      <c r="U33" s="123">
        <f t="shared" ca="1" si="10"/>
        <v>0</v>
      </c>
    </row>
    <row r="34" spans="1:21">
      <c r="B34" s="117" t="s">
        <v>855</v>
      </c>
      <c r="C34" s="123">
        <f t="shared" ca="1" si="10"/>
        <v>308.73989999999998</v>
      </c>
      <c r="D34" s="123">
        <f t="shared" ca="1" si="10"/>
        <v>1573.4087</v>
      </c>
      <c r="E34" s="123">
        <f t="shared" ca="1" si="10"/>
        <v>163.30510000000001</v>
      </c>
      <c r="F34" s="123">
        <f t="shared" ca="1" si="10"/>
        <v>230.67150000000001</v>
      </c>
      <c r="G34" s="123">
        <f t="shared" ca="1" si="10"/>
        <v>29.303100000000001</v>
      </c>
      <c r="H34" s="123">
        <f t="shared" ca="1" si="10"/>
        <v>45.959000000000003</v>
      </c>
      <c r="I34" s="123">
        <f t="shared" ca="1" si="10"/>
        <v>52.021900000000002</v>
      </c>
      <c r="J34" s="123">
        <f t="shared" ca="1" si="10"/>
        <v>21.469799999999999</v>
      </c>
      <c r="K34" s="123">
        <f t="shared" ca="1" si="10"/>
        <v>37.301000000000002</v>
      </c>
      <c r="L34" s="123">
        <f t="shared" ca="1" si="10"/>
        <v>14.4085</v>
      </c>
      <c r="M34" s="123">
        <f t="shared" ca="1" si="10"/>
        <v>12.337999999999999</v>
      </c>
      <c r="N34" s="123">
        <f t="shared" ca="1" si="10"/>
        <v>874.90350000000001</v>
      </c>
      <c r="O34" s="123">
        <f t="shared" ca="1" si="10"/>
        <v>6.149</v>
      </c>
      <c r="P34" s="123">
        <f t="shared" ca="1" si="10"/>
        <v>24.594999999999999</v>
      </c>
      <c r="Q34" s="123">
        <f t="shared" ca="1" si="10"/>
        <v>13.98</v>
      </c>
      <c r="R34" s="123">
        <f t="shared" ca="1" si="10"/>
        <v>126.73779999999999</v>
      </c>
      <c r="S34" s="123">
        <f t="shared" ca="1" si="10"/>
        <v>25.257999999999999</v>
      </c>
      <c r="T34" s="123">
        <f t="shared" ca="1" si="10"/>
        <v>31.510899999999999</v>
      </c>
      <c r="U34" s="123">
        <f t="shared" ca="1" si="10"/>
        <v>326.13299999999998</v>
      </c>
    </row>
    <row r="35" spans="1:21">
      <c r="C35" s="125"/>
      <c r="D35" s="125"/>
      <c r="E35" s="125"/>
      <c r="F35" s="125"/>
      <c r="G35" s="125"/>
      <c r="H35" s="125"/>
      <c r="I35" s="125"/>
      <c r="J35" s="125"/>
      <c r="K35" s="125"/>
      <c r="L35" s="125"/>
      <c r="M35" s="125"/>
      <c r="N35" s="125"/>
      <c r="O35" s="125"/>
      <c r="P35" s="125"/>
      <c r="Q35" s="125"/>
      <c r="R35" s="125"/>
      <c r="S35" s="125"/>
      <c r="T35" s="125"/>
      <c r="U35" s="125"/>
    </row>
    <row r="36" spans="1:21">
      <c r="A36" s="121" t="s">
        <v>831</v>
      </c>
      <c r="C36" s="125"/>
      <c r="D36" s="125"/>
      <c r="E36" s="125"/>
      <c r="F36" s="125"/>
      <c r="G36" s="125"/>
      <c r="H36" s="125"/>
      <c r="I36" s="125"/>
      <c r="J36" s="125"/>
      <c r="K36" s="125"/>
      <c r="L36" s="125"/>
      <c r="M36" s="125"/>
      <c r="N36" s="125"/>
      <c r="O36" s="125"/>
      <c r="P36" s="125"/>
      <c r="Q36" s="125"/>
      <c r="R36" s="125"/>
      <c r="S36" s="125"/>
      <c r="T36" s="125"/>
      <c r="U36" s="125"/>
    </row>
    <row r="37" spans="1:21">
      <c r="B37" s="117" t="s">
        <v>854</v>
      </c>
      <c r="C37" s="123" t="e">
        <f t="shared" ref="C37:U38" ca="1" si="11">IF(C$14=1,C18,NA())</f>
        <v>#N/A</v>
      </c>
      <c r="D37" s="123" t="e">
        <f t="shared" ca="1" si="11"/>
        <v>#N/A</v>
      </c>
      <c r="E37" s="123" t="e">
        <f t="shared" ca="1" si="11"/>
        <v>#N/A</v>
      </c>
      <c r="F37" s="123" t="e">
        <f t="shared" ca="1" si="11"/>
        <v>#N/A</v>
      </c>
      <c r="G37" s="123" t="e">
        <f t="shared" ca="1" si="11"/>
        <v>#N/A</v>
      </c>
      <c r="H37" s="123" t="e">
        <f t="shared" ca="1" si="11"/>
        <v>#N/A</v>
      </c>
      <c r="I37" s="123" t="e">
        <f t="shared" ca="1" si="11"/>
        <v>#N/A</v>
      </c>
      <c r="J37" s="123" t="e">
        <f t="shared" ca="1" si="11"/>
        <v>#N/A</v>
      </c>
      <c r="K37" s="123" t="e">
        <f t="shared" ca="1" si="11"/>
        <v>#N/A</v>
      </c>
      <c r="L37" s="123" t="e">
        <f t="shared" ca="1" si="11"/>
        <v>#N/A</v>
      </c>
      <c r="M37" s="123" t="e">
        <f t="shared" ca="1" si="11"/>
        <v>#N/A</v>
      </c>
      <c r="N37" s="123" t="e">
        <f t="shared" ca="1" si="11"/>
        <v>#N/A</v>
      </c>
      <c r="O37" s="123" t="e">
        <f t="shared" ca="1" si="11"/>
        <v>#N/A</v>
      </c>
      <c r="P37" s="123" t="e">
        <f t="shared" ca="1" si="11"/>
        <v>#N/A</v>
      </c>
      <c r="Q37" s="123" t="e">
        <f t="shared" ca="1" si="11"/>
        <v>#N/A</v>
      </c>
      <c r="R37" s="123" t="e">
        <f t="shared" ca="1" si="11"/>
        <v>#N/A</v>
      </c>
      <c r="S37" s="123" t="e">
        <f t="shared" ca="1" si="11"/>
        <v>#N/A</v>
      </c>
      <c r="T37" s="123" t="e">
        <f t="shared" ca="1" si="11"/>
        <v>#N/A</v>
      </c>
      <c r="U37" s="123" t="e">
        <f t="shared" ca="1" si="11"/>
        <v>#N/A</v>
      </c>
    </row>
    <row r="38" spans="1:21">
      <c r="B38" s="117" t="s">
        <v>855</v>
      </c>
      <c r="C38" s="123" t="e">
        <f t="shared" ca="1" si="11"/>
        <v>#N/A</v>
      </c>
      <c r="D38" s="123" t="e">
        <f t="shared" ca="1" si="11"/>
        <v>#N/A</v>
      </c>
      <c r="E38" s="123" t="e">
        <f t="shared" ca="1" si="11"/>
        <v>#N/A</v>
      </c>
      <c r="F38" s="123" t="e">
        <f t="shared" ca="1" si="11"/>
        <v>#N/A</v>
      </c>
      <c r="G38" s="123" t="e">
        <f t="shared" ca="1" si="11"/>
        <v>#N/A</v>
      </c>
      <c r="H38" s="123" t="e">
        <f t="shared" ca="1" si="11"/>
        <v>#N/A</v>
      </c>
      <c r="I38" s="123" t="e">
        <f t="shared" ca="1" si="11"/>
        <v>#N/A</v>
      </c>
      <c r="J38" s="123" t="e">
        <f t="shared" ca="1" si="11"/>
        <v>#N/A</v>
      </c>
      <c r="K38" s="123" t="e">
        <f t="shared" ca="1" si="11"/>
        <v>#N/A</v>
      </c>
      <c r="L38" s="123" t="e">
        <f t="shared" ca="1" si="11"/>
        <v>#N/A</v>
      </c>
      <c r="M38" s="123" t="e">
        <f t="shared" ca="1" si="11"/>
        <v>#N/A</v>
      </c>
      <c r="N38" s="123" t="e">
        <f t="shared" ca="1" si="11"/>
        <v>#N/A</v>
      </c>
      <c r="O38" s="123" t="e">
        <f t="shared" ca="1" si="11"/>
        <v>#N/A</v>
      </c>
      <c r="P38" s="123" t="e">
        <f t="shared" ca="1" si="11"/>
        <v>#N/A</v>
      </c>
      <c r="Q38" s="123" t="e">
        <f t="shared" ca="1" si="11"/>
        <v>#N/A</v>
      </c>
      <c r="R38" s="123" t="e">
        <f t="shared" ca="1" si="11"/>
        <v>#N/A</v>
      </c>
      <c r="S38" s="123" t="e">
        <f t="shared" ca="1" si="11"/>
        <v>#N/A</v>
      </c>
      <c r="T38" s="123" t="e">
        <f t="shared" ca="1" si="11"/>
        <v>#N/A</v>
      </c>
      <c r="U38" s="123" t="e">
        <f t="shared" ca="1" si="11"/>
        <v>#N/A</v>
      </c>
    </row>
    <row r="39" spans="1:21">
      <c r="C39" s="125"/>
      <c r="D39" s="125"/>
      <c r="E39" s="125"/>
      <c r="F39" s="125"/>
      <c r="G39" s="125"/>
      <c r="H39" s="125"/>
      <c r="I39" s="125"/>
      <c r="J39" s="125"/>
      <c r="K39" s="125"/>
      <c r="L39" s="125"/>
      <c r="M39" s="125"/>
      <c r="N39" s="125"/>
      <c r="O39" s="125"/>
      <c r="P39" s="125"/>
      <c r="Q39" s="125"/>
      <c r="R39" s="125"/>
      <c r="S39" s="125"/>
      <c r="T39" s="125"/>
      <c r="U39" s="125"/>
    </row>
    <row r="40" spans="1:21">
      <c r="A40" s="121" t="s">
        <v>865</v>
      </c>
      <c r="C40" s="123">
        <f t="shared" ref="C40:U40" ca="1" si="12">IF(OR(C12=$C$51,C12=$D$51,C12=$C$44),0,1)</f>
        <v>1</v>
      </c>
      <c r="D40" s="123">
        <f t="shared" ca="1" si="12"/>
        <v>0</v>
      </c>
      <c r="E40" s="123">
        <f t="shared" ca="1" si="12"/>
        <v>0</v>
      </c>
      <c r="F40" s="123">
        <f t="shared" ca="1" si="12"/>
        <v>1</v>
      </c>
      <c r="G40" s="123">
        <f t="shared" ca="1" si="12"/>
        <v>1</v>
      </c>
      <c r="H40" s="123">
        <f t="shared" ca="1" si="12"/>
        <v>1</v>
      </c>
      <c r="I40" s="123">
        <f t="shared" ca="1" si="12"/>
        <v>1</v>
      </c>
      <c r="J40" s="123">
        <f t="shared" ca="1" si="12"/>
        <v>1</v>
      </c>
      <c r="K40" s="123">
        <f t="shared" ca="1" si="12"/>
        <v>1</v>
      </c>
      <c r="L40" s="123">
        <f t="shared" ca="1" si="12"/>
        <v>1</v>
      </c>
      <c r="M40" s="123">
        <f t="shared" ca="1" si="12"/>
        <v>1</v>
      </c>
      <c r="N40" s="123">
        <f t="shared" ca="1" si="12"/>
        <v>1</v>
      </c>
      <c r="O40" s="123">
        <f t="shared" ca="1" si="12"/>
        <v>1</v>
      </c>
      <c r="P40" s="123">
        <f t="shared" ca="1" si="12"/>
        <v>1</v>
      </c>
      <c r="Q40" s="123">
        <f t="shared" ca="1" si="12"/>
        <v>1</v>
      </c>
      <c r="R40" s="123">
        <f t="shared" ca="1" si="12"/>
        <v>1</v>
      </c>
      <c r="S40" s="123">
        <f t="shared" ca="1" si="12"/>
        <v>1</v>
      </c>
      <c r="T40" s="123">
        <f t="shared" ca="1" si="12"/>
        <v>1</v>
      </c>
      <c r="U40" s="123">
        <f t="shared" ca="1" si="12"/>
        <v>1</v>
      </c>
    </row>
    <row r="41" spans="1:21">
      <c r="C41" s="123" t="e">
        <f t="shared" ref="C41:U42" ca="1" si="13">IF(AND($B$6=TRUE,C$40=1),C37,NA())</f>
        <v>#N/A</v>
      </c>
      <c r="D41" s="123" t="e">
        <f t="shared" ca="1" si="13"/>
        <v>#N/A</v>
      </c>
      <c r="E41" s="123" t="e">
        <f t="shared" ca="1" si="13"/>
        <v>#N/A</v>
      </c>
      <c r="F41" s="123" t="e">
        <f t="shared" ca="1" si="13"/>
        <v>#N/A</v>
      </c>
      <c r="G41" s="123" t="e">
        <f t="shared" ca="1" si="13"/>
        <v>#N/A</v>
      </c>
      <c r="H41" s="123" t="e">
        <f t="shared" ca="1" si="13"/>
        <v>#N/A</v>
      </c>
      <c r="I41" s="123" t="e">
        <f t="shared" ca="1" si="13"/>
        <v>#N/A</v>
      </c>
      <c r="J41" s="123" t="e">
        <f t="shared" ca="1" si="13"/>
        <v>#N/A</v>
      </c>
      <c r="K41" s="123" t="e">
        <f t="shared" ca="1" si="13"/>
        <v>#N/A</v>
      </c>
      <c r="L41" s="123" t="e">
        <f t="shared" ca="1" si="13"/>
        <v>#N/A</v>
      </c>
      <c r="M41" s="123" t="e">
        <f t="shared" ca="1" si="13"/>
        <v>#N/A</v>
      </c>
      <c r="N41" s="123" t="e">
        <f t="shared" ca="1" si="13"/>
        <v>#N/A</v>
      </c>
      <c r="O41" s="123" t="e">
        <f t="shared" ca="1" si="13"/>
        <v>#N/A</v>
      </c>
      <c r="P41" s="123" t="e">
        <f t="shared" ca="1" si="13"/>
        <v>#N/A</v>
      </c>
      <c r="Q41" s="123" t="e">
        <f t="shared" ca="1" si="13"/>
        <v>#N/A</v>
      </c>
      <c r="R41" s="123" t="e">
        <f t="shared" ca="1" si="13"/>
        <v>#N/A</v>
      </c>
      <c r="S41" s="123" t="e">
        <f t="shared" ca="1" si="13"/>
        <v>#N/A</v>
      </c>
      <c r="T41" s="123" t="e">
        <f t="shared" ca="1" si="13"/>
        <v>#N/A</v>
      </c>
      <c r="U41" s="123" t="e">
        <f t="shared" ca="1" si="13"/>
        <v>#N/A</v>
      </c>
    </row>
    <row r="42" spans="1:21">
      <c r="C42" s="123" t="e">
        <f t="shared" ca="1" si="13"/>
        <v>#N/A</v>
      </c>
      <c r="D42" s="123" t="e">
        <f t="shared" ca="1" si="13"/>
        <v>#N/A</v>
      </c>
      <c r="E42" s="123" t="e">
        <f t="shared" ca="1" si="13"/>
        <v>#N/A</v>
      </c>
      <c r="F42" s="123" t="e">
        <f t="shared" ca="1" si="13"/>
        <v>#N/A</v>
      </c>
      <c r="G42" s="123" t="e">
        <f t="shared" ca="1" si="13"/>
        <v>#N/A</v>
      </c>
      <c r="H42" s="123" t="e">
        <f t="shared" ca="1" si="13"/>
        <v>#N/A</v>
      </c>
      <c r="I42" s="123" t="e">
        <f t="shared" ca="1" si="13"/>
        <v>#N/A</v>
      </c>
      <c r="J42" s="123" t="e">
        <f t="shared" ca="1" si="13"/>
        <v>#N/A</v>
      </c>
      <c r="K42" s="123" t="e">
        <f t="shared" ca="1" si="13"/>
        <v>#N/A</v>
      </c>
      <c r="L42" s="123" t="e">
        <f t="shared" ca="1" si="13"/>
        <v>#N/A</v>
      </c>
      <c r="M42" s="123" t="e">
        <f t="shared" ca="1" si="13"/>
        <v>#N/A</v>
      </c>
      <c r="N42" s="123" t="e">
        <f t="shared" ca="1" si="13"/>
        <v>#N/A</v>
      </c>
      <c r="O42" s="123" t="e">
        <f t="shared" ca="1" si="13"/>
        <v>#N/A</v>
      </c>
      <c r="P42" s="123" t="e">
        <f t="shared" ca="1" si="13"/>
        <v>#N/A</v>
      </c>
      <c r="Q42" s="123" t="e">
        <f t="shared" ca="1" si="13"/>
        <v>#N/A</v>
      </c>
      <c r="R42" s="123" t="e">
        <f t="shared" ca="1" si="13"/>
        <v>#N/A</v>
      </c>
      <c r="S42" s="123" t="e">
        <f t="shared" ca="1" si="13"/>
        <v>#N/A</v>
      </c>
      <c r="T42" s="123" t="e">
        <f t="shared" ca="1" si="13"/>
        <v>#N/A</v>
      </c>
      <c r="U42" s="123" t="e">
        <f t="shared" ca="1" si="13"/>
        <v>#N/A</v>
      </c>
    </row>
    <row r="44" spans="1:21">
      <c r="A44" s="121" t="s">
        <v>866</v>
      </c>
      <c r="C44" s="117" t="str">
        <f>IF(B4=0,"&lt;none&gt;",C4)</f>
        <v>&lt;none&gt;</v>
      </c>
    </row>
    <row r="45" spans="1:21">
      <c r="B45" s="117" t="s">
        <v>854</v>
      </c>
      <c r="C45" s="124" t="e">
        <f>IF(C44="&lt;none&gt;",NA(),INDEX(C18:U18,0,$B$4))</f>
        <v>#N/A</v>
      </c>
    </row>
    <row r="46" spans="1:21">
      <c r="B46" s="117" t="s">
        <v>855</v>
      </c>
      <c r="C46" s="124" t="e">
        <f>IF(C44="&lt;none&gt;",NA(),INDEX(C19:U19,0,$B$4))</f>
        <v>#N/A</v>
      </c>
    </row>
    <row r="48" spans="1:21">
      <c r="C48" s="119" t="s">
        <v>867</v>
      </c>
      <c r="D48" s="119" t="s">
        <v>868</v>
      </c>
    </row>
    <row r="49" spans="1:4">
      <c r="A49" s="121" t="s">
        <v>869</v>
      </c>
      <c r="C49" s="124">
        <f ca="1">MAX(C29:U29)</f>
        <v>366.45725102040797</v>
      </c>
      <c r="D49" s="124">
        <f ca="1">MIN(C29:U29)</f>
        <v>-1177.2831091836736</v>
      </c>
    </row>
    <row r="50" spans="1:4">
      <c r="C50" s="124">
        <f ca="1">MATCH(C49,C29:U29,0)</f>
        <v>3</v>
      </c>
      <c r="D50" s="124">
        <f ca="1">MATCH(D49,C29:U29,0)</f>
        <v>2</v>
      </c>
    </row>
    <row r="51" spans="1:4">
      <c r="C51" s="124" t="str">
        <f ca="1">IF(OR(NOT(B5),C49&lt;=0),"",INDEX(C12:U12,0,C50))</f>
        <v xml:space="preserve">Chile </v>
      </c>
      <c r="D51" s="124" t="str">
        <f ca="1">IF(OR(NOT(B5),D49&gt;=0),"",INDEX(C12:U12,0,D50))</f>
        <v>Brazil</v>
      </c>
    </row>
    <row r="52" spans="1:4">
      <c r="C52" s="124">
        <f ca="1">IF(OR(C51="",C51=$C$4),NA(),INDEX(C18:U18,0,C50))</f>
        <v>100</v>
      </c>
      <c r="D52" s="124">
        <f ca="1">IF(OR(D51="",D51=$C$4),NA(),INDEX(C18:U18,0,D50))</f>
        <v>75</v>
      </c>
    </row>
    <row r="53" spans="1:4">
      <c r="C53" s="124">
        <f ca="1">IF(OR(C51="",C51=$C$4),NA(),INDEX(C19:U19,0,C50))</f>
        <v>163.30510000000001</v>
      </c>
      <c r="D53" s="124">
        <f ca="1">IF(OR(D51="",D51=$C$4),NA(),INDEX(C19:U19,0,D50))</f>
        <v>1573.4087</v>
      </c>
    </row>
  </sheetData>
  <phoneticPr fontId="6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sheetPr codeName="Sheet20"/>
  <dimension ref="A1:N61"/>
  <sheetViews>
    <sheetView showGridLines="0" showRowColHeaders="0" workbookViewId="0">
      <selection activeCell="H30" sqref="H30"/>
    </sheetView>
  </sheetViews>
  <sheetFormatPr defaultRowHeight="12.75"/>
  <cols>
    <col min="1" max="1" width="1.5703125" style="126" customWidth="1"/>
    <col min="2" max="2" width="30.7109375" style="126" customWidth="1"/>
    <col min="3" max="3" width="4.7109375" style="126" customWidth="1"/>
    <col min="4" max="16384" width="9.140625" style="126"/>
  </cols>
  <sheetData>
    <row r="1" spans="1:14" ht="21" customHeight="1">
      <c r="A1" s="72" t="s">
        <v>872</v>
      </c>
      <c r="B1" s="72"/>
      <c r="C1" s="72"/>
    </row>
    <row r="2" spans="1:14" ht="15.75">
      <c r="A2" s="127"/>
      <c r="B2" s="128" t="s">
        <v>876</v>
      </c>
      <c r="C2" s="129"/>
      <c r="E2" s="130" t="str">
        <f>i_scatter!F2</f>
        <v>Consistency and quality of PPP regulations</v>
      </c>
      <c r="J2" s="131"/>
      <c r="N2" s="132" t="str">
        <f>i_scatter!F3</f>
        <v>Nominal GDP , 2009</v>
      </c>
    </row>
    <row r="3" spans="1:14" ht="15.75">
      <c r="A3" s="127"/>
      <c r="B3" s="128"/>
      <c r="C3" s="129"/>
      <c r="E3" s="133" t="str">
        <f>i_scatter!G2</f>
        <v>0-4, where 4=best and 0=worst</v>
      </c>
      <c r="J3" s="131" t="s">
        <v>874</v>
      </c>
      <c r="N3" s="134" t="str">
        <f>i_scatter!G3</f>
        <v>US$</v>
      </c>
    </row>
    <row r="4" spans="1:14" ht="15.75">
      <c r="A4" s="127"/>
      <c r="B4" s="128"/>
      <c r="C4" s="129"/>
      <c r="E4" s="135" t="s">
        <v>875</v>
      </c>
      <c r="F4" s="136"/>
      <c r="G4" s="137">
        <f ca="1">i_scatter!C25</f>
        <v>0.36663546455748652</v>
      </c>
    </row>
    <row r="5" spans="1:14" ht="15.75">
      <c r="A5" s="127"/>
      <c r="B5" s="128"/>
      <c r="C5" s="129"/>
    </row>
    <row r="6" spans="1:14" ht="15.75">
      <c r="A6" s="127"/>
      <c r="B6" s="128"/>
      <c r="C6" s="129"/>
    </row>
    <row r="7" spans="1:14" ht="15.75">
      <c r="A7" s="127"/>
      <c r="B7" s="128"/>
      <c r="C7" s="129"/>
    </row>
    <row r="8" spans="1:14" ht="15.75">
      <c r="A8" s="127"/>
      <c r="B8" s="128"/>
      <c r="C8" s="129"/>
    </row>
    <row r="9" spans="1:14" ht="15.75">
      <c r="A9" s="127"/>
      <c r="B9" s="128"/>
      <c r="C9" s="129"/>
    </row>
    <row r="10" spans="1:14" ht="15.75">
      <c r="A10" s="127"/>
      <c r="B10" s="128"/>
      <c r="C10" s="129"/>
    </row>
    <row r="11" spans="1:14" ht="15.75">
      <c r="A11" s="127"/>
      <c r="B11" s="128" t="s">
        <v>873</v>
      </c>
      <c r="C11" s="129"/>
    </row>
    <row r="12" spans="1:14" ht="15.75">
      <c r="A12" s="127"/>
      <c r="B12" s="128"/>
      <c r="C12" s="129"/>
    </row>
    <row r="13" spans="1:14" ht="15.75">
      <c r="A13" s="127"/>
      <c r="B13" s="128"/>
      <c r="C13" s="129"/>
    </row>
    <row r="14" spans="1:14" ht="15.75">
      <c r="A14" s="127"/>
      <c r="B14" s="128"/>
      <c r="C14" s="129"/>
    </row>
    <row r="15" spans="1:14" ht="15.75">
      <c r="A15" s="127"/>
      <c r="B15" s="128"/>
      <c r="C15" s="129"/>
    </row>
    <row r="16" spans="1:14" ht="15.75">
      <c r="A16" s="127"/>
      <c r="B16" s="128"/>
      <c r="C16" s="129"/>
    </row>
    <row r="17" spans="1:9" ht="15.75">
      <c r="A17" s="127"/>
      <c r="B17" s="128"/>
      <c r="C17" s="129"/>
    </row>
    <row r="18" spans="1:9" ht="15.75">
      <c r="A18" s="127"/>
      <c r="B18" s="128"/>
      <c r="C18" s="129"/>
    </row>
    <row r="19" spans="1:9" ht="15.75">
      <c r="A19" s="127"/>
      <c r="B19" s="128"/>
      <c r="C19" s="129"/>
    </row>
    <row r="20" spans="1:9" ht="15.75">
      <c r="A20" s="127"/>
      <c r="B20" s="128" t="s">
        <v>877</v>
      </c>
      <c r="C20" s="129"/>
    </row>
    <row r="21" spans="1:9" ht="15.75">
      <c r="A21" s="127"/>
      <c r="B21" s="128"/>
      <c r="C21" s="129"/>
    </row>
    <row r="22" spans="1:9" ht="15.75">
      <c r="A22" s="127"/>
      <c r="B22" s="128" t="s">
        <v>834</v>
      </c>
      <c r="C22" s="129"/>
    </row>
    <row r="23" spans="1:9" ht="15.75">
      <c r="A23" s="127"/>
      <c r="B23" s="128"/>
      <c r="C23" s="129"/>
    </row>
    <row r="24" spans="1:9" ht="15.75">
      <c r="A24" s="127"/>
      <c r="B24" s="128"/>
      <c r="C24" s="129"/>
    </row>
    <row r="25" spans="1:9" ht="15.75">
      <c r="A25" s="127"/>
      <c r="B25" s="128"/>
      <c r="C25" s="129"/>
    </row>
    <row r="26" spans="1:9" ht="15.75">
      <c r="A26" s="127"/>
      <c r="B26" s="128" t="s">
        <v>828</v>
      </c>
      <c r="C26" s="129"/>
    </row>
    <row r="27" spans="1:9" ht="15.75">
      <c r="A27" s="127"/>
      <c r="B27" s="128"/>
      <c r="C27" s="129"/>
    </row>
    <row r="28" spans="1:9" ht="15.75">
      <c r="A28" s="127"/>
      <c r="B28" s="128"/>
      <c r="C28" s="129"/>
      <c r="I28" s="138"/>
    </row>
    <row r="29" spans="1:9" ht="15.75">
      <c r="A29" s="127"/>
      <c r="B29" s="128"/>
      <c r="C29" s="129"/>
    </row>
    <row r="30" spans="1:9" ht="15.75">
      <c r="A30" s="127"/>
      <c r="B30" s="128"/>
      <c r="C30" s="129"/>
    </row>
    <row r="31" spans="1:9" ht="15.75">
      <c r="A31" s="127"/>
      <c r="B31" s="128"/>
      <c r="C31" s="129"/>
    </row>
    <row r="32" spans="1:9" ht="15.75">
      <c r="A32" s="127"/>
      <c r="B32" s="128"/>
      <c r="C32" s="129"/>
    </row>
    <row r="33" spans="1:3" ht="15.75">
      <c r="A33" s="127"/>
      <c r="B33" s="128"/>
      <c r="C33" s="129"/>
    </row>
    <row r="34" spans="1:3" ht="15.75">
      <c r="A34" s="127"/>
      <c r="B34" s="128"/>
      <c r="C34" s="129"/>
    </row>
    <row r="35" spans="1:3" ht="15.75">
      <c r="A35" s="127"/>
      <c r="B35" s="128"/>
      <c r="C35" s="129"/>
    </row>
    <row r="36" spans="1:3" ht="15.75">
      <c r="A36" s="139"/>
      <c r="B36" s="140"/>
      <c r="C36" s="141"/>
    </row>
    <row r="61" spans="1:3">
      <c r="A61" s="142"/>
      <c r="B61" s="142"/>
      <c r="C61" s="142"/>
    </row>
  </sheetData>
  <sheetProtection password="CD4E" sheet="1" objects="1" scenarios="1" selectLockedCells="1" selectUnlockedCells="1"/>
  <phoneticPr fontId="61" type="noConversion"/>
  <pageMargins left="0.7" right="0.7" top="0.75" bottom="0.75" header="0.3" footer="0.3"/>
  <pageSetup paperSize="0" orientation="portrait" horizontalDpi="0" verticalDpi="0" copies="0" r:id="rId1"/>
  <drawing r:id="rId2"/>
  <legacyDrawing r:id="rId3"/>
</worksheet>
</file>

<file path=xl/worksheets/sheet17.xml><?xml version="1.0" encoding="utf-8"?>
<worksheet xmlns="http://schemas.openxmlformats.org/spreadsheetml/2006/main" xmlns:r="http://schemas.openxmlformats.org/officeDocument/2006/relationships">
  <sheetPr codeName="Sheet14"/>
  <dimension ref="A1:H37"/>
  <sheetViews>
    <sheetView showGridLines="0" showRowColHeaders="0" workbookViewId="0">
      <selection activeCell="G16" sqref="G16"/>
    </sheetView>
  </sheetViews>
  <sheetFormatPr defaultRowHeight="15"/>
  <cols>
    <col min="1" max="1" width="3.7109375" customWidth="1"/>
    <col min="2" max="2" width="1.5703125" customWidth="1"/>
    <col min="3" max="5" width="9.140625" hidden="1" customWidth="1"/>
    <col min="6" max="6" width="47.85546875" customWidth="1"/>
    <col min="8" max="8" width="13.140625" customWidth="1"/>
  </cols>
  <sheetData>
    <row r="1" spans="1:8" s="72" customFormat="1" ht="21.75" customHeight="1">
      <c r="A1" s="72" t="s">
        <v>839</v>
      </c>
    </row>
    <row r="2" spans="1:8" ht="71.25" customHeight="1"/>
    <row r="3" spans="1:8">
      <c r="F3" s="104" t="s">
        <v>841</v>
      </c>
      <c r="G3" s="105" t="s">
        <v>1038</v>
      </c>
      <c r="H3" s="105" t="s">
        <v>840</v>
      </c>
    </row>
    <row r="4" spans="1:8">
      <c r="C4" t="str">
        <f>tblSections!A3</f>
        <v>LEGF</v>
      </c>
      <c r="D4">
        <f t="shared" ref="D4:D9" si="0">MATCH(C4,score2009_indi,0)</f>
        <v>2</v>
      </c>
      <c r="E4">
        <v>1</v>
      </c>
      <c r="F4" s="56" t="str">
        <f>tblSections!B3</f>
        <v>Legal and regulatory framework</v>
      </c>
      <c r="G4" s="106">
        <v>1.5</v>
      </c>
      <c r="H4" s="107">
        <f>INDEX(Scores2009!N$7:N$32,D4)</f>
        <v>0.25</v>
      </c>
    </row>
    <row r="5" spans="1:8">
      <c r="C5" t="str">
        <f>tblSections!A4</f>
        <v>INST</v>
      </c>
      <c r="D5">
        <f t="shared" si="0"/>
        <v>7</v>
      </c>
      <c r="E5">
        <v>1</v>
      </c>
      <c r="F5" s="24" t="str">
        <f>tblSections!B4</f>
        <v>Institutional framework</v>
      </c>
      <c r="G5" s="108">
        <v>1.2</v>
      </c>
      <c r="H5" s="109">
        <f>INDEX(Scores2009!N$7:N$32,D5)</f>
        <v>0.19999999999999998</v>
      </c>
    </row>
    <row r="6" spans="1:8">
      <c r="C6" t="str">
        <f>tblSections!A5</f>
        <v>OPER</v>
      </c>
      <c r="D6">
        <f t="shared" si="0"/>
        <v>10</v>
      </c>
      <c r="E6">
        <v>1</v>
      </c>
      <c r="F6" s="24" t="str">
        <f>tblSections!B5</f>
        <v>Operational maturity</v>
      </c>
      <c r="G6" s="108">
        <v>0.9</v>
      </c>
      <c r="H6" s="109">
        <f>INDEX(Scores2009!N$7:N$32,D6)</f>
        <v>0.15</v>
      </c>
    </row>
    <row r="7" spans="1:8">
      <c r="C7" t="str">
        <f>tblSections!A6</f>
        <v>INVT</v>
      </c>
      <c r="D7">
        <f t="shared" si="0"/>
        <v>16</v>
      </c>
      <c r="E7">
        <v>1</v>
      </c>
      <c r="F7" s="24" t="str">
        <f>tblSections!B6</f>
        <v>Investment climate</v>
      </c>
      <c r="G7" s="108">
        <v>0.9</v>
      </c>
      <c r="H7" s="109">
        <f>INDEX(Scores2009!N$7:N$32,D7)</f>
        <v>0.15</v>
      </c>
    </row>
    <row r="8" spans="1:8">
      <c r="C8" t="str">
        <f>tblSections!A7</f>
        <v>FINC</v>
      </c>
      <c r="D8">
        <f t="shared" si="0"/>
        <v>20</v>
      </c>
      <c r="E8">
        <v>1</v>
      </c>
      <c r="F8" s="24" t="str">
        <f>tblSections!B7</f>
        <v>Financial facilities</v>
      </c>
      <c r="G8" s="108">
        <v>0.9</v>
      </c>
      <c r="H8" s="109">
        <f>INDEX(Scores2009!N$7:N$32,D8)</f>
        <v>0.15</v>
      </c>
    </row>
    <row r="9" spans="1:8">
      <c r="C9" t="str">
        <f>tblSections!A8</f>
        <v>NEWSEC</v>
      </c>
      <c r="D9">
        <f t="shared" si="0"/>
        <v>25</v>
      </c>
      <c r="E9">
        <v>2</v>
      </c>
      <c r="F9" s="24" t="str">
        <f>tblSections!B8</f>
        <v>Subnational adjustment</v>
      </c>
      <c r="G9" s="108">
        <v>0.6</v>
      </c>
      <c r="H9" s="109">
        <f>INDEX(Scores2009!N$7:N$32,D9)</f>
        <v>9.9999999999999992E-2</v>
      </c>
    </row>
    <row r="10" spans="1:8">
      <c r="F10" s="26"/>
      <c r="G10" s="26"/>
      <c r="H10" s="26"/>
    </row>
    <row r="11" spans="1:8">
      <c r="F11" s="104" t="s">
        <v>842</v>
      </c>
      <c r="G11" s="105" t="s">
        <v>1038</v>
      </c>
      <c r="H11" s="105" t="s">
        <v>840</v>
      </c>
    </row>
    <row r="12" spans="1:8">
      <c r="C12" t="str">
        <f>tblIndicators!A3</f>
        <v>LEGF</v>
      </c>
      <c r="D12">
        <f t="shared" ref="D12:D33" si="1">MATCH(C12,score2009_indi,0)</f>
        <v>2</v>
      </c>
      <c r="E12">
        <f>tblIndicators!C3</f>
        <v>1</v>
      </c>
      <c r="F12" s="95" t="str">
        <f>tblIndicators!H3</f>
        <v>Regulatory framework</v>
      </c>
      <c r="H12" s="37"/>
    </row>
    <row r="13" spans="1:8">
      <c r="C13" t="str">
        <f>tblIndicators!A4</f>
        <v>LEGF01</v>
      </c>
      <c r="D13">
        <f t="shared" si="1"/>
        <v>3</v>
      </c>
      <c r="E13">
        <f>tblIndicators!C4</f>
        <v>2</v>
      </c>
      <c r="F13" s="56" t="str">
        <f>tblIndicators!H4</f>
        <v>Consistency and quality of PPP regulations</v>
      </c>
      <c r="G13" s="106">
        <v>3</v>
      </c>
      <c r="H13" s="107">
        <f>INDEX(Scores2009!N$7:N$32,D13)</f>
        <v>0.375</v>
      </c>
    </row>
    <row r="14" spans="1:8">
      <c r="C14" t="str">
        <f>tblIndicators!A5</f>
        <v>LEGF02</v>
      </c>
      <c r="D14">
        <f t="shared" si="1"/>
        <v>4</v>
      </c>
      <c r="E14">
        <f>tblIndicators!C5</f>
        <v>2</v>
      </c>
      <c r="F14" s="24" t="str">
        <f>tblIndicators!H5</f>
        <v>Effective PPP selection and decision making</v>
      </c>
      <c r="G14" s="108">
        <v>2</v>
      </c>
      <c r="H14" s="109">
        <f>INDEX(Scores2009!N$7:N$32,D14)</f>
        <v>0.25</v>
      </c>
    </row>
    <row r="15" spans="1:8">
      <c r="C15" t="str">
        <f>tblIndicators!A6</f>
        <v>LEGF03</v>
      </c>
      <c r="D15">
        <f t="shared" si="1"/>
        <v>5</v>
      </c>
      <c r="E15">
        <f>tblIndicators!C6</f>
        <v>2</v>
      </c>
      <c r="F15" s="24" t="str">
        <f>tblIndicators!H6</f>
        <v>Fairness/openness of bids, contract changes</v>
      </c>
      <c r="G15" s="108">
        <v>1</v>
      </c>
      <c r="H15" s="109">
        <f>INDEX(Scores2009!N$7:N$32,D15)</f>
        <v>0.125</v>
      </c>
    </row>
    <row r="16" spans="1:8">
      <c r="C16" t="str">
        <f>tblIndicators!A7</f>
        <v>LEGF04</v>
      </c>
      <c r="D16">
        <f t="shared" si="1"/>
        <v>6</v>
      </c>
      <c r="E16">
        <f>tblIndicators!C7</f>
        <v>2</v>
      </c>
      <c r="F16" s="24" t="str">
        <f>tblIndicators!H7</f>
        <v>Dispute resolution mechanisms</v>
      </c>
      <c r="G16" s="108">
        <v>2</v>
      </c>
      <c r="H16" s="109">
        <f>INDEX(Scores2009!N$7:N$32,D16)</f>
        <v>0.25</v>
      </c>
    </row>
    <row r="17" spans="3:8" ht="18" customHeight="1">
      <c r="C17" t="str">
        <f>tblIndicators!A8</f>
        <v>INST</v>
      </c>
      <c r="D17">
        <f t="shared" si="1"/>
        <v>7</v>
      </c>
      <c r="E17">
        <f>tblIndicators!C8</f>
        <v>1</v>
      </c>
      <c r="F17" s="110" t="str">
        <f>tblIndicators!H8</f>
        <v>Institutional framework</v>
      </c>
      <c r="G17" s="24"/>
      <c r="H17" s="109"/>
    </row>
    <row r="18" spans="3:8">
      <c r="C18" t="str">
        <f>tblIndicators!A9</f>
        <v>INST01</v>
      </c>
      <c r="D18">
        <f t="shared" si="1"/>
        <v>8</v>
      </c>
      <c r="E18">
        <f>tblIndicators!C9</f>
        <v>2</v>
      </c>
      <c r="F18" s="24" t="str">
        <f>tblIndicators!H9</f>
        <v>Quality of institutional design</v>
      </c>
      <c r="G18" s="108">
        <v>2</v>
      </c>
      <c r="H18" s="109">
        <f>INDEX(Scores2009!N$7:N$32,D18)</f>
        <v>0.66666666666666663</v>
      </c>
    </row>
    <row r="19" spans="3:8">
      <c r="C19" t="str">
        <f>tblIndicators!A10</f>
        <v>INST02</v>
      </c>
      <c r="D19">
        <f t="shared" si="1"/>
        <v>9</v>
      </c>
      <c r="E19">
        <f>tblIndicators!C10</f>
        <v>2</v>
      </c>
      <c r="F19" s="24" t="str">
        <f>tblIndicators!H10</f>
        <v>PPP contract, hold-up and expropriation risk</v>
      </c>
      <c r="G19" s="108">
        <v>1</v>
      </c>
      <c r="H19" s="109">
        <f>INDEX(Scores2009!N$7:N$32,D19)</f>
        <v>0.33333333333333331</v>
      </c>
    </row>
    <row r="20" spans="3:8" ht="19.5" customHeight="1">
      <c r="C20" t="str">
        <f>tblIndicators!A11</f>
        <v>OPER</v>
      </c>
      <c r="D20">
        <f t="shared" si="1"/>
        <v>10</v>
      </c>
      <c r="E20">
        <f>tblIndicators!C11</f>
        <v>1</v>
      </c>
      <c r="F20" s="110" t="str">
        <f>tblIndicators!H11</f>
        <v>Operational maturity</v>
      </c>
      <c r="G20" s="24"/>
      <c r="H20" s="109"/>
    </row>
    <row r="21" spans="3:8">
      <c r="C21" t="str">
        <f>tblIndicators!A12</f>
        <v>OPER01</v>
      </c>
      <c r="D21">
        <f t="shared" si="1"/>
        <v>11</v>
      </c>
      <c r="E21">
        <f>tblIndicators!C12</f>
        <v>2</v>
      </c>
      <c r="F21" s="24" t="str">
        <f>tblIndicators!H12</f>
        <v>Public capacity to plan and oversee PPPs</v>
      </c>
      <c r="G21" s="108">
        <v>2</v>
      </c>
      <c r="H21" s="109">
        <f>INDEX(Scores2009!N$7:N$32,D21)</f>
        <v>0.25</v>
      </c>
    </row>
    <row r="22" spans="3:8">
      <c r="C22" t="str">
        <f>tblIndicators!A13</f>
        <v>OPER02</v>
      </c>
      <c r="D22">
        <f t="shared" si="1"/>
        <v>12</v>
      </c>
      <c r="E22">
        <f>tblIndicators!C13</f>
        <v>2</v>
      </c>
      <c r="F22" s="24" t="str">
        <f>tblIndicators!H13</f>
        <v xml:space="preserve">Methods and criteria for awarding projects </v>
      </c>
      <c r="G22" s="108">
        <v>1</v>
      </c>
      <c r="H22" s="109">
        <f>INDEX(Scores2009!N$7:N$32,D22)</f>
        <v>0.125</v>
      </c>
    </row>
    <row r="23" spans="3:8">
      <c r="C23" t="str">
        <f>tblIndicators!A14</f>
        <v>OPER03</v>
      </c>
      <c r="D23">
        <f t="shared" si="1"/>
        <v>13</v>
      </c>
      <c r="E23">
        <f>tblIndicators!C14</f>
        <v>2</v>
      </c>
      <c r="F23" s="24" t="str">
        <f>tblIndicators!H14</f>
        <v>Regulators' risk allocation record</v>
      </c>
      <c r="G23" s="108">
        <v>1</v>
      </c>
      <c r="H23" s="109">
        <f>INDEX(Scores2009!N$7:N$32,D23)</f>
        <v>0.125</v>
      </c>
    </row>
    <row r="24" spans="3:8">
      <c r="C24" t="str">
        <f>tblIndicators!A15</f>
        <v>OPER04</v>
      </c>
      <c r="D24">
        <f t="shared" si="1"/>
        <v>14</v>
      </c>
      <c r="E24">
        <f>tblIndicators!C15</f>
        <v>2</v>
      </c>
      <c r="F24" s="24" t="str">
        <f>tblIndicators!H15</f>
        <v>Experience in PPP projects (concessions)</v>
      </c>
      <c r="G24" s="108">
        <v>2</v>
      </c>
      <c r="H24" s="109">
        <f>INDEX(Scores2009!N$7:N$32,D24)</f>
        <v>0.25</v>
      </c>
    </row>
    <row r="25" spans="3:8">
      <c r="C25" t="str">
        <f>tblIndicators!A16</f>
        <v>OPER05</v>
      </c>
      <c r="D25">
        <f t="shared" si="1"/>
        <v>15</v>
      </c>
      <c r="E25">
        <f>tblIndicators!C16</f>
        <v>2</v>
      </c>
      <c r="F25" s="24" t="str">
        <f>tblIndicators!H16</f>
        <v>Quality of PPP projects (concessions)</v>
      </c>
      <c r="G25" s="108">
        <v>2</v>
      </c>
      <c r="H25" s="109">
        <f>INDEX(Scores2009!N$7:N$32,D25)</f>
        <v>0.25</v>
      </c>
    </row>
    <row r="26" spans="3:8" ht="19.5" customHeight="1">
      <c r="C26" t="str">
        <f>tblIndicators!A17</f>
        <v>INVT</v>
      </c>
      <c r="D26">
        <f t="shared" si="1"/>
        <v>16</v>
      </c>
      <c r="E26">
        <f>tblIndicators!C17</f>
        <v>1</v>
      </c>
      <c r="F26" s="110" t="str">
        <f>tblIndicators!H17</f>
        <v>Investment climate</v>
      </c>
      <c r="G26" s="24"/>
      <c r="H26" s="109"/>
    </row>
    <row r="27" spans="3:8">
      <c r="C27" t="str">
        <f>tblIndicators!A18</f>
        <v>INVT01</v>
      </c>
      <c r="D27">
        <f t="shared" si="1"/>
        <v>17</v>
      </c>
      <c r="E27">
        <f>tblIndicators!C18</f>
        <v>2</v>
      </c>
      <c r="F27" s="24" t="str">
        <f>tblIndicators!H18</f>
        <v>Political distortion</v>
      </c>
      <c r="G27" s="108">
        <v>1</v>
      </c>
      <c r="H27" s="109">
        <f>INDEX(Scores2009!N$7:N$32,D27)</f>
        <v>0.25</v>
      </c>
    </row>
    <row r="28" spans="3:8">
      <c r="C28" t="str">
        <f>tblIndicators!A19</f>
        <v>INVT02</v>
      </c>
      <c r="D28">
        <f t="shared" si="1"/>
        <v>18</v>
      </c>
      <c r="E28">
        <f>tblIndicators!C19</f>
        <v>2</v>
      </c>
      <c r="F28" s="24" t="str">
        <f>tblIndicators!H19</f>
        <v>Business environment</v>
      </c>
      <c r="G28" s="108">
        <v>1</v>
      </c>
      <c r="H28" s="109">
        <f>INDEX(Scores2009!N$7:N$32,D28)</f>
        <v>0.25</v>
      </c>
    </row>
    <row r="29" spans="3:8">
      <c r="C29" t="str">
        <f>tblIndicators!A20</f>
        <v>INVT03</v>
      </c>
      <c r="D29">
        <f t="shared" si="1"/>
        <v>19</v>
      </c>
      <c r="E29">
        <f>tblIndicators!C20</f>
        <v>2</v>
      </c>
      <c r="F29" s="24" t="str">
        <f>tblIndicators!H20</f>
        <v>Political will</v>
      </c>
      <c r="G29" s="108">
        <v>2</v>
      </c>
      <c r="H29" s="109">
        <f>INDEX(Scores2009!N$7:N$32,D29)</f>
        <v>0.5</v>
      </c>
    </row>
    <row r="30" spans="3:8" ht="20.25" customHeight="1">
      <c r="C30" t="str">
        <f>tblIndicators!A21</f>
        <v>FINC</v>
      </c>
      <c r="D30">
        <f t="shared" si="1"/>
        <v>20</v>
      </c>
      <c r="E30">
        <f>tblIndicators!C21</f>
        <v>1</v>
      </c>
      <c r="F30" s="110" t="str">
        <f>tblIndicators!H21</f>
        <v>Financial facilities</v>
      </c>
      <c r="G30" s="24"/>
      <c r="H30" s="109"/>
    </row>
    <row r="31" spans="3:8">
      <c r="C31" t="str">
        <f>tblIndicators!A22</f>
        <v>FINC01</v>
      </c>
      <c r="D31">
        <f t="shared" si="1"/>
        <v>21</v>
      </c>
      <c r="E31">
        <f>tblIndicators!C22</f>
        <v>2</v>
      </c>
      <c r="F31" s="24" t="str">
        <f>tblIndicators!H22</f>
        <v>Government payment risk</v>
      </c>
      <c r="G31" s="108">
        <v>1</v>
      </c>
      <c r="H31" s="109">
        <f>INDEX(Scores2009!N$7:N$32,D31)</f>
        <v>0.22222222222222221</v>
      </c>
    </row>
    <row r="32" spans="3:8">
      <c r="C32" t="str">
        <f>tblIndicators!A23</f>
        <v>FINC02</v>
      </c>
      <c r="D32">
        <f t="shared" si="1"/>
        <v>22</v>
      </c>
      <c r="E32">
        <f>tblIndicators!C23</f>
        <v>2</v>
      </c>
      <c r="F32" s="24" t="str">
        <f>tblIndicators!H23</f>
        <v>Capital market: private infrastructure finance</v>
      </c>
      <c r="G32" s="108">
        <v>2</v>
      </c>
      <c r="H32" s="109">
        <f>INDEX(Scores2009!N$7:N$32,D32)</f>
        <v>0.44444444444444442</v>
      </c>
    </row>
    <row r="33" spans="3:8">
      <c r="C33" t="str">
        <f>tblIndicators!A24</f>
        <v>FINC03</v>
      </c>
      <c r="D33">
        <f t="shared" si="1"/>
        <v>23</v>
      </c>
      <c r="E33">
        <f>tblIndicators!C24</f>
        <v>2</v>
      </c>
      <c r="F33" s="24" t="str">
        <f>tblIndicators!H24</f>
        <v>Marketable debt</v>
      </c>
      <c r="G33" s="108">
        <v>1</v>
      </c>
      <c r="H33" s="109">
        <f>INDEX(Scores2009!N$7:N$32,D33)</f>
        <v>0.22222222222222221</v>
      </c>
    </row>
    <row r="34" spans="3:8">
      <c r="C34" t="str">
        <f>tblIndicators!A25</f>
        <v>FINC04</v>
      </c>
      <c r="D34">
        <f>MATCH(C34,score2009_indi,0)</f>
        <v>24</v>
      </c>
      <c r="E34">
        <f>tblIndicators!C25</f>
        <v>2</v>
      </c>
      <c r="F34" s="24" t="str">
        <f>tblIndicators!H25</f>
        <v>Government support and affordability for low income users</v>
      </c>
      <c r="G34" s="108">
        <v>0.5</v>
      </c>
      <c r="H34" s="109">
        <f>INDEX(Scores2009!N$7:N$32,D34)</f>
        <v>0.1111111111111111</v>
      </c>
    </row>
    <row r="35" spans="3:8" ht="20.25" customHeight="1">
      <c r="C35" t="str">
        <f>tblIndicators!A26</f>
        <v>NEWSEC</v>
      </c>
      <c r="D35">
        <f>MATCH(C35,score2009_indi,0)</f>
        <v>25</v>
      </c>
      <c r="E35">
        <f>tblIndicators!C26</f>
        <v>1</v>
      </c>
      <c r="F35" s="110" t="str">
        <f>tblIndicators!H26</f>
        <v>Subnational adjustment</v>
      </c>
      <c r="G35" s="24"/>
      <c r="H35" s="109"/>
    </row>
    <row r="36" spans="3:8">
      <c r="C36" t="str">
        <f>tblIndicators!A27</f>
        <v>NEWSEC01</v>
      </c>
      <c r="D36">
        <f>MATCH(C36,score2009_indi,0)</f>
        <v>26</v>
      </c>
      <c r="E36">
        <f>tblIndicators!C27</f>
        <v>2</v>
      </c>
      <c r="F36" s="24" t="str">
        <f>tblIndicators!H27</f>
        <v>Subnational adjustment factor</v>
      </c>
      <c r="G36" s="108">
        <v>1</v>
      </c>
      <c r="H36" s="109">
        <f>INDEX(Scores2009!N$7:N$32,D36)</f>
        <v>1</v>
      </c>
    </row>
    <row r="37" spans="3:8">
      <c r="F37" s="26"/>
      <c r="G37" s="26"/>
      <c r="H37" s="26"/>
    </row>
  </sheetData>
  <phoneticPr fontId="0" type="noConversion"/>
  <pageMargins left="0.7" right="0.7" top="0.75" bottom="0.75" header="0.3" footer="0.3"/>
  <drawing r:id="rId1"/>
  <legacyDrawing r:id="rId2"/>
</worksheet>
</file>

<file path=xl/worksheets/sheet18.xml><?xml version="1.0" encoding="utf-8"?>
<worksheet xmlns="http://schemas.openxmlformats.org/spreadsheetml/2006/main" xmlns:r="http://schemas.openxmlformats.org/officeDocument/2006/relationships">
  <sheetPr codeName="Sheet31"/>
  <dimension ref="A1:AY34"/>
  <sheetViews>
    <sheetView showGridLines="0" showRowColHeaders="0" zoomScale="90" zoomScaleNormal="90" workbookViewId="0">
      <selection activeCell="AE32" sqref="AE32"/>
    </sheetView>
  </sheetViews>
  <sheetFormatPr defaultRowHeight="15"/>
  <cols>
    <col min="1" max="1" width="2" style="49" customWidth="1"/>
    <col min="2" max="2" width="2.28515625" style="49" customWidth="1"/>
    <col min="3" max="3" width="2.5703125" style="49" hidden="1" customWidth="1"/>
    <col min="4" max="4" width="4.140625" style="49" customWidth="1"/>
    <col min="5" max="5" width="16.7109375" style="49" bestFit="1" customWidth="1"/>
    <col min="6" max="7" width="4.5703125" style="49" bestFit="1" customWidth="1"/>
    <col min="8" max="8" width="5.28515625" style="49" bestFit="1" customWidth="1"/>
    <col min="9" max="9" width="5.7109375" style="49" hidden="1" customWidth="1"/>
    <col min="10" max="10" width="3.28515625" style="49" customWidth="1"/>
    <col min="11" max="11" width="2.5703125" style="49" hidden="1" customWidth="1"/>
    <col min="12" max="12" width="4.140625" style="49" customWidth="1"/>
    <col min="13" max="13" width="16" style="49" bestFit="1" customWidth="1"/>
    <col min="14" max="14" width="6.140625" style="49" bestFit="1" customWidth="1"/>
    <col min="15" max="15" width="4.5703125" style="49" bestFit="1" customWidth="1"/>
    <col min="16" max="16" width="5.28515625" style="49" bestFit="1" customWidth="1"/>
    <col min="17" max="17" width="5.7109375" style="49" hidden="1" customWidth="1"/>
    <col min="18" max="18" width="3.28515625" style="49" customWidth="1"/>
    <col min="19" max="19" width="2.5703125" style="49" hidden="1" customWidth="1"/>
    <col min="20" max="20" width="3.85546875" style="49" customWidth="1"/>
    <col min="21" max="21" width="16" style="49" bestFit="1" customWidth="1"/>
    <col min="22" max="22" width="6.140625" style="49" bestFit="1" customWidth="1"/>
    <col min="23" max="23" width="4.5703125" style="49" bestFit="1" customWidth="1"/>
    <col min="24" max="24" width="4.85546875" style="49" bestFit="1" customWidth="1"/>
    <col min="25" max="25" width="5.7109375" style="49" hidden="1" customWidth="1"/>
    <col min="26" max="26" width="2.28515625" style="49" customWidth="1"/>
    <col min="27" max="27" width="2.5703125" style="49" hidden="1" customWidth="1"/>
    <col min="28" max="28" width="4" style="49" customWidth="1"/>
    <col min="29" max="29" width="16" style="49" bestFit="1" customWidth="1"/>
    <col min="30" max="30" width="6.140625" style="49" bestFit="1" customWidth="1"/>
    <col min="31" max="31" width="4.5703125" style="49" bestFit="1" customWidth="1"/>
    <col min="32" max="32" width="4.85546875" style="49" bestFit="1" customWidth="1"/>
    <col min="33" max="33" width="5.7109375" style="49" hidden="1" customWidth="1"/>
    <col min="34" max="34" width="3.42578125" style="49" customWidth="1"/>
    <col min="35" max="35" width="2.5703125" style="49" hidden="1" customWidth="1"/>
    <col min="36" max="36" width="3.7109375" style="49" customWidth="1"/>
    <col min="37" max="37" width="16" style="49" bestFit="1" customWidth="1"/>
    <col min="38" max="38" width="6.140625" style="49" bestFit="1" customWidth="1"/>
    <col min="39" max="39" width="4.5703125" style="49" bestFit="1" customWidth="1"/>
    <col min="40" max="40" width="4.85546875" style="49" bestFit="1" customWidth="1"/>
    <col min="41" max="41" width="5.7109375" style="49" hidden="1" customWidth="1"/>
    <col min="42" max="42" width="3.140625" style="49" customWidth="1"/>
    <col min="43" max="43" width="2.5703125" style="49" hidden="1" customWidth="1"/>
    <col min="44" max="44" width="4" style="49" customWidth="1"/>
    <col min="45" max="45" width="16" style="49" bestFit="1" customWidth="1"/>
    <col min="46" max="46" width="6.140625" style="49" bestFit="1" customWidth="1"/>
    <col min="47" max="47" width="4.5703125" style="49" bestFit="1" customWidth="1"/>
    <col min="48" max="48" width="4.85546875" style="49" bestFit="1" customWidth="1"/>
    <col min="49" max="49" width="5.7109375" style="49" hidden="1" customWidth="1"/>
    <col min="50" max="50" width="2.7109375" style="49" customWidth="1"/>
    <col min="51" max="51" width="0" style="49" hidden="1" customWidth="1"/>
    <col min="52" max="16384" width="9.140625" style="49"/>
  </cols>
  <sheetData>
    <row r="1" spans="1:51" s="72" customFormat="1" ht="50.25" customHeight="1">
      <c r="A1" s="238" t="s">
        <v>14</v>
      </c>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c r="AK1" s="238"/>
      <c r="AL1" s="238"/>
      <c r="AM1" s="238"/>
      <c r="AN1" s="238"/>
      <c r="AO1" s="238"/>
      <c r="AP1" s="238"/>
      <c r="AQ1" s="238"/>
      <c r="AR1" s="238"/>
      <c r="AS1" s="238"/>
      <c r="AT1" s="238"/>
      <c r="AU1" s="197"/>
    </row>
    <row r="3" spans="1:51">
      <c r="D3" s="188" t="s">
        <v>983</v>
      </c>
      <c r="E3" s="194"/>
      <c r="F3" s="190">
        <v>2010</v>
      </c>
      <c r="G3" s="190">
        <v>2009</v>
      </c>
      <c r="H3" s="190" t="s">
        <v>545</v>
      </c>
      <c r="L3" s="50" t="str">
        <f>i_rankYOY_2!AY7</f>
        <v>Regulatory framework</v>
      </c>
      <c r="M3" s="51"/>
      <c r="N3" s="195">
        <v>2010</v>
      </c>
      <c r="O3" s="195">
        <v>2009</v>
      </c>
      <c r="P3" s="195" t="s">
        <v>545</v>
      </c>
      <c r="Q3" s="51"/>
      <c r="S3" s="49">
        <f>i_rankYOY_2!BN7</f>
        <v>0</v>
      </c>
      <c r="T3" s="50" t="str">
        <f>i_rankYOY_2!BO7</f>
        <v>Institutional framework</v>
      </c>
      <c r="U3" s="51"/>
      <c r="V3" s="195">
        <v>2010</v>
      </c>
      <c r="W3" s="195">
        <v>2009</v>
      </c>
      <c r="X3" s="195" t="s">
        <v>545</v>
      </c>
      <c r="Y3" s="51"/>
      <c r="AB3" s="50" t="str">
        <f>i_rankYOY_2!CE7</f>
        <v>Operational maturity</v>
      </c>
      <c r="AC3" s="51"/>
      <c r="AD3" s="195">
        <v>2010</v>
      </c>
      <c r="AE3" s="195">
        <v>2009</v>
      </c>
      <c r="AF3" s="195" t="s">
        <v>545</v>
      </c>
      <c r="AG3" s="51"/>
      <c r="AJ3" s="50" t="s">
        <v>795</v>
      </c>
      <c r="AK3" s="51"/>
      <c r="AL3" s="195">
        <v>2010</v>
      </c>
      <c r="AM3" s="195">
        <v>2009</v>
      </c>
      <c r="AN3" s="195" t="s">
        <v>545</v>
      </c>
      <c r="AO3" s="51"/>
      <c r="AR3" s="50" t="str">
        <f>i_rankYOY_2!DK7</f>
        <v>Financial facilities</v>
      </c>
      <c r="AS3" s="51"/>
      <c r="AT3" s="195">
        <v>2010</v>
      </c>
      <c r="AU3" s="195">
        <v>2009</v>
      </c>
      <c r="AV3" s="195" t="s">
        <v>545</v>
      </c>
      <c r="AW3" s="51"/>
    </row>
    <row r="4" spans="1:51">
      <c r="C4" s="49">
        <f ca="1">i_rankYOY_2!AH10</f>
        <v>1</v>
      </c>
      <c r="D4" s="191">
        <f ca="1">i_rankYOY_2!AI10</f>
        <v>1</v>
      </c>
      <c r="E4" s="54" t="str">
        <f ca="1">i_rankYOY_2!AJ10</f>
        <v xml:space="preserve">Chile </v>
      </c>
      <c r="F4" s="53">
        <f ca="1">i_rankYOY_2!AK10</f>
        <v>79.3</v>
      </c>
      <c r="G4" s="203">
        <f ca="1">i_rankYOY_2!AL10</f>
        <v>64.3</v>
      </c>
      <c r="H4" s="212">
        <f ca="1">i_rankYOY_2!AM10</f>
        <v>15</v>
      </c>
      <c r="I4" s="49">
        <f ca="1">i_rankYOY_2!AN10</f>
        <v>15</v>
      </c>
      <c r="K4" s="49">
        <f ca="1">i_rankYOY_2!AX10</f>
        <v>1</v>
      </c>
      <c r="L4" s="191">
        <f ca="1">i_rankYOY_2!AY10</f>
        <v>1</v>
      </c>
      <c r="M4" s="54" t="str">
        <f ca="1">i_rankYOY_2!AZ10</f>
        <v xml:space="preserve">Chile </v>
      </c>
      <c r="N4" s="53">
        <f ca="1">i_rankYOY_2!BA10</f>
        <v>84.4</v>
      </c>
      <c r="O4" s="203">
        <f ca="1">i_rankYOY_2!BB10</f>
        <v>61.1</v>
      </c>
      <c r="P4" s="212">
        <f ca="1">i_rankYOY_2!BC10</f>
        <v>23.300000000000004</v>
      </c>
      <c r="Q4" s="92">
        <f ca="1">i_rankYOY_2!BD10</f>
        <v>23.300000000000004</v>
      </c>
      <c r="S4" s="49">
        <f ca="1">i_rankYOY_2!BN10</f>
        <v>1</v>
      </c>
      <c r="T4" s="191">
        <f ca="1">i_rankYOY_2!BO10</f>
        <v>1</v>
      </c>
      <c r="U4" s="54" t="str">
        <f ca="1">i_rankYOY_2!BP10</f>
        <v>Brazil</v>
      </c>
      <c r="V4" s="53">
        <f ca="1">i_rankYOY_2!BQ10</f>
        <v>75</v>
      </c>
      <c r="W4" s="203">
        <f ca="1">i_rankYOY_2!BR10</f>
        <v>62.5</v>
      </c>
      <c r="X4" s="212">
        <f ca="1">i_rankYOY_2!BS10</f>
        <v>12.5</v>
      </c>
      <c r="Y4" s="92">
        <f ca="1">i_rankYOY_2!BT10</f>
        <v>12.5</v>
      </c>
      <c r="AA4" s="49">
        <f ca="1">i_rankYOY_2!CD10</f>
        <v>1</v>
      </c>
      <c r="AB4" s="191">
        <f ca="1">i_rankYOY_2!CE10</f>
        <v>1</v>
      </c>
      <c r="AC4" s="54" t="str">
        <f ca="1">i_rankYOY_2!CF10</f>
        <v>Brazil</v>
      </c>
      <c r="AD4" s="53">
        <f ca="1">i_rankYOY_2!CG10</f>
        <v>87.5</v>
      </c>
      <c r="AE4" s="203">
        <f ca="1">i_rankYOY_2!CH10</f>
        <v>66.7</v>
      </c>
      <c r="AF4" s="212">
        <f ca="1">i_rankYOY_2!CI10</f>
        <v>20.799999999999997</v>
      </c>
      <c r="AG4" s="92">
        <f ca="1">i_rankYOY_2!CJ10</f>
        <v>20.799999999999997</v>
      </c>
      <c r="AI4" s="49">
        <f ca="1">i_rankYOY_2!CT10</f>
        <v>1</v>
      </c>
      <c r="AJ4" s="191">
        <f ca="1">i_rankYOY_2!CU10</f>
        <v>1</v>
      </c>
      <c r="AK4" s="54" t="str">
        <f ca="1">i_rankYOY_2!CV10</f>
        <v xml:space="preserve">Chile </v>
      </c>
      <c r="AL4" s="53">
        <f ca="1">i_rankYOY_2!CW10</f>
        <v>85.4</v>
      </c>
      <c r="AM4" s="203">
        <f ca="1">i_rankYOY_2!CX10</f>
        <v>93</v>
      </c>
      <c r="AN4" s="212">
        <f ca="1">i_rankYOY_2!CY10</f>
        <v>-7.5999999999999943</v>
      </c>
      <c r="AO4" s="92">
        <f ca="1">i_rankYOY_2!CZ10</f>
        <v>-7.5999999999999943</v>
      </c>
      <c r="AQ4" s="49">
        <f ca="1">i_rankYOY_2!DJ10</f>
        <v>1</v>
      </c>
      <c r="AR4" s="191">
        <f ca="1">i_rankYOY_2!DK10</f>
        <v>1</v>
      </c>
      <c r="AS4" s="54" t="str">
        <f ca="1">i_rankYOY_2!DL10</f>
        <v xml:space="preserve">Chile </v>
      </c>
      <c r="AT4" s="53">
        <f ca="1">i_rankYOY_2!DM10</f>
        <v>97.2</v>
      </c>
      <c r="AU4" s="203">
        <f ca="1">i_rankYOY_2!DN10</f>
        <v>95.8</v>
      </c>
      <c r="AV4" s="212">
        <f ca="1">i_rankYOY_2!DO10</f>
        <v>1.4000000000000057</v>
      </c>
      <c r="AW4" s="92">
        <f ca="1">i_rankYOY_2!DP10</f>
        <v>1.4000000000000057</v>
      </c>
      <c r="AY4" s="49">
        <f ca="1">i_rankYOY_2!DZ10</f>
        <v>1</v>
      </c>
    </row>
    <row r="5" spans="1:51">
      <c r="C5" s="49">
        <f ca="1">i_rankYOY_2!AH11</f>
        <v>1</v>
      </c>
      <c r="D5" s="191">
        <f ca="1">i_rankYOY_2!AI11</f>
        <v>2</v>
      </c>
      <c r="E5" s="54" t="str">
        <f ca="1">i_rankYOY_2!AJ11</f>
        <v>Brazil</v>
      </c>
      <c r="F5" s="53">
        <f ca="1">i_rankYOY_2!AK11</f>
        <v>73.2</v>
      </c>
      <c r="G5" s="203">
        <f ca="1">i_rankYOY_2!AL11</f>
        <v>57.8</v>
      </c>
      <c r="H5" s="212">
        <f ca="1">i_rankYOY_2!AM11</f>
        <v>15.400000000000006</v>
      </c>
      <c r="I5" s="49">
        <f ca="1">i_rankYOY_2!AN11</f>
        <v>15.400000000000006</v>
      </c>
      <c r="K5" s="49">
        <f ca="1">i_rankYOY_2!AX11</f>
        <v>1</v>
      </c>
      <c r="L5" s="191">
        <f ca="1">i_rankYOY_2!AY11</f>
        <v>2</v>
      </c>
      <c r="M5" s="54" t="str">
        <f ca="1">i_rankYOY_2!AZ11</f>
        <v>Peru</v>
      </c>
      <c r="N5" s="53">
        <f ca="1">i_rankYOY_2!BA11</f>
        <v>75</v>
      </c>
      <c r="O5" s="203">
        <f ca="1">i_rankYOY_2!BB11</f>
        <v>66.7</v>
      </c>
      <c r="P5" s="212">
        <f ca="1">i_rankYOY_2!BC11</f>
        <v>8.2999999999999972</v>
      </c>
      <c r="Q5" s="92">
        <f ca="1">i_rankYOY_2!BD11</f>
        <v>8.2999999999999972</v>
      </c>
      <c r="S5" s="49">
        <f ca="1">i_rankYOY_2!BN11</f>
        <v>1</v>
      </c>
      <c r="T5" s="191" t="str">
        <f ca="1">i_rankYOY_2!BO11</f>
        <v>=2</v>
      </c>
      <c r="U5" s="54" t="str">
        <f ca="1">i_rankYOY_2!BP11</f>
        <v xml:space="preserve">Chile </v>
      </c>
      <c r="V5" s="53">
        <f ca="1">i_rankYOY_2!BQ11</f>
        <v>75</v>
      </c>
      <c r="W5" s="203">
        <f ca="1">i_rankYOY_2!BR11</f>
        <v>50</v>
      </c>
      <c r="X5" s="212">
        <f ca="1">i_rankYOY_2!BS11</f>
        <v>25</v>
      </c>
      <c r="Y5" s="92">
        <f ca="1">i_rankYOY_2!BT11</f>
        <v>25</v>
      </c>
      <c r="AA5" s="49">
        <f ca="1">i_rankYOY_2!CD11</f>
        <v>1</v>
      </c>
      <c r="AB5" s="191">
        <f ca="1">i_rankYOY_2!CE11</f>
        <v>2</v>
      </c>
      <c r="AC5" s="54" t="str">
        <f ca="1">i_rankYOY_2!CF11</f>
        <v xml:space="preserve">Chile </v>
      </c>
      <c r="AD5" s="53">
        <f ca="1">i_rankYOY_2!CG11</f>
        <v>72.2</v>
      </c>
      <c r="AE5" s="203">
        <f ca="1">i_rankYOY_2!CH11</f>
        <v>73.900000000000006</v>
      </c>
      <c r="AF5" s="212">
        <f ca="1">i_rankYOY_2!CI11</f>
        <v>-1.7000000000000028</v>
      </c>
      <c r="AG5" s="92">
        <f ca="1">i_rankYOY_2!CJ11</f>
        <v>-1.7000000000000028</v>
      </c>
      <c r="AI5" s="49">
        <f ca="1">i_rankYOY_2!CT11</f>
        <v>1</v>
      </c>
      <c r="AJ5" s="191">
        <f ca="1">i_rankYOY_2!CU11</f>
        <v>2</v>
      </c>
      <c r="AK5" s="54" t="str">
        <f ca="1">i_rankYOY_2!CV11</f>
        <v>Peru</v>
      </c>
      <c r="AL5" s="53">
        <f ca="1">i_rankYOY_2!CW11</f>
        <v>75.2</v>
      </c>
      <c r="AM5" s="203">
        <f ca="1">i_rankYOY_2!CX11</f>
        <v>70</v>
      </c>
      <c r="AN5" s="212">
        <f ca="1">i_rankYOY_2!CY11</f>
        <v>5.2000000000000028</v>
      </c>
      <c r="AO5" s="92">
        <f ca="1">i_rankYOY_2!CZ11</f>
        <v>5.2000000000000028</v>
      </c>
      <c r="AQ5" s="49">
        <f ca="1">i_rankYOY_2!DJ11</f>
        <v>1</v>
      </c>
      <c r="AR5" s="191">
        <f ca="1">i_rankYOY_2!DK11</f>
        <v>2</v>
      </c>
      <c r="AS5" s="54" t="str">
        <f ca="1">i_rankYOY_2!DL11</f>
        <v>Brazil</v>
      </c>
      <c r="AT5" s="53">
        <f ca="1">i_rankYOY_2!DM11</f>
        <v>72.2</v>
      </c>
      <c r="AU5" s="203">
        <f ca="1">i_rankYOY_2!DN11</f>
        <v>62.5</v>
      </c>
      <c r="AV5" s="212">
        <f ca="1">i_rankYOY_2!DO11</f>
        <v>9.7000000000000028</v>
      </c>
      <c r="AW5" s="92">
        <f ca="1">i_rankYOY_2!DP11</f>
        <v>9.7000000000000028</v>
      </c>
      <c r="AY5" s="49">
        <f ca="1">i_rankYOY_2!DZ11</f>
        <v>1</v>
      </c>
    </row>
    <row r="6" spans="1:51">
      <c r="C6" s="49">
        <f ca="1">i_rankYOY_2!AH12</f>
        <v>1</v>
      </c>
      <c r="D6" s="191">
        <f ca="1">i_rankYOY_2!AI12</f>
        <v>3</v>
      </c>
      <c r="E6" s="54" t="str">
        <f ca="1">i_rankYOY_2!AJ12</f>
        <v>Peru</v>
      </c>
      <c r="F6" s="53">
        <f ca="1">i_rankYOY_2!AK12</f>
        <v>67.2</v>
      </c>
      <c r="G6" s="203">
        <f ca="1">i_rankYOY_2!AL12</f>
        <v>58.9</v>
      </c>
      <c r="H6" s="212">
        <f ca="1">i_rankYOY_2!AM12</f>
        <v>8.3000000000000043</v>
      </c>
      <c r="I6" s="49">
        <f ca="1">i_rankYOY_2!AN12</f>
        <v>8.3000000000000043</v>
      </c>
      <c r="K6" s="49">
        <f ca="1">i_rankYOY_2!AX12</f>
        <v>1</v>
      </c>
      <c r="L6" s="191">
        <f ca="1">i_rankYOY_2!AY12</f>
        <v>3</v>
      </c>
      <c r="M6" s="54" t="str">
        <f ca="1">i_rankYOY_2!AZ12</f>
        <v>Brazil</v>
      </c>
      <c r="N6" s="53">
        <f ca="1">i_rankYOY_2!BA12</f>
        <v>71.900000000000006</v>
      </c>
      <c r="O6" s="203">
        <f ca="1">i_rankYOY_2!BB12</f>
        <v>47.2</v>
      </c>
      <c r="P6" s="212">
        <f ca="1">i_rankYOY_2!BC12</f>
        <v>24.700000000000003</v>
      </c>
      <c r="Q6" s="92">
        <f ca="1">i_rankYOY_2!BD12</f>
        <v>24.700000000000003</v>
      </c>
      <c r="S6" s="49">
        <f ca="1">i_rankYOY_2!BN12</f>
        <v>1</v>
      </c>
      <c r="T6" s="191" t="str">
        <f ca="1">i_rankYOY_2!BO12</f>
        <v>=2</v>
      </c>
      <c r="U6" s="54" t="str">
        <f ca="1">i_rankYOY_2!BP12</f>
        <v>Peru</v>
      </c>
      <c r="V6" s="53">
        <f ca="1">i_rankYOY_2!BQ12</f>
        <v>75</v>
      </c>
      <c r="W6" s="203">
        <f ca="1">i_rankYOY_2!BR12</f>
        <v>50</v>
      </c>
      <c r="X6" s="212">
        <f ca="1">i_rankYOY_2!BS12</f>
        <v>25</v>
      </c>
      <c r="Y6" s="92">
        <f ca="1">i_rankYOY_2!BT12</f>
        <v>25</v>
      </c>
      <c r="AA6" s="49">
        <f ca="1">i_rankYOY_2!CD12</f>
        <v>1</v>
      </c>
      <c r="AB6" s="191">
        <f ca="1">i_rankYOY_2!CE12</f>
        <v>3</v>
      </c>
      <c r="AC6" s="54" t="str">
        <f ca="1">i_rankYOY_2!CF12</f>
        <v>Mexico</v>
      </c>
      <c r="AD6" s="53">
        <f ca="1">i_rankYOY_2!CG12</f>
        <v>54</v>
      </c>
      <c r="AE6" s="203">
        <f ca="1">i_rankYOY_2!CH12</f>
        <v>47.3</v>
      </c>
      <c r="AF6" s="212">
        <f ca="1">i_rankYOY_2!CI12</f>
        <v>6.7000000000000028</v>
      </c>
      <c r="AG6" s="92">
        <f ca="1">i_rankYOY_2!CJ12</f>
        <v>6.7000000000000028</v>
      </c>
      <c r="AI6" s="49">
        <f ca="1">i_rankYOY_2!CT12</f>
        <v>1</v>
      </c>
      <c r="AJ6" s="191">
        <f ca="1">i_rankYOY_2!CU12</f>
        <v>3</v>
      </c>
      <c r="AK6" s="54" t="str">
        <f ca="1">i_rankYOY_2!CV12</f>
        <v>Colombia</v>
      </c>
      <c r="AL6" s="53">
        <f ca="1">i_rankYOY_2!CW12</f>
        <v>72.400000000000006</v>
      </c>
      <c r="AM6" s="203">
        <f ca="1">i_rankYOY_2!CX12</f>
        <v>58.6</v>
      </c>
      <c r="AN6" s="212">
        <f ca="1">i_rankYOY_2!CY12</f>
        <v>13.800000000000004</v>
      </c>
      <c r="AO6" s="92">
        <f ca="1">i_rankYOY_2!CZ12</f>
        <v>13.800000000000004</v>
      </c>
      <c r="AQ6" s="49">
        <f ca="1">i_rankYOY_2!DJ12</f>
        <v>1</v>
      </c>
      <c r="AR6" s="191">
        <f ca="1">i_rankYOY_2!DK12</f>
        <v>3</v>
      </c>
      <c r="AS6" s="54" t="str">
        <f ca="1">i_rankYOY_2!DL12</f>
        <v>Mexico</v>
      </c>
      <c r="AT6" s="53">
        <f ca="1">i_rankYOY_2!DM12</f>
        <v>72.2</v>
      </c>
      <c r="AU6" s="203">
        <f ca="1">i_rankYOY_2!DN12</f>
        <v>66.7</v>
      </c>
      <c r="AV6" s="212">
        <f ca="1">i_rankYOY_2!DO12</f>
        <v>5.5</v>
      </c>
      <c r="AW6" s="92">
        <f ca="1">i_rankYOY_2!DP12</f>
        <v>5.5</v>
      </c>
      <c r="AY6" s="49">
        <f ca="1">i_rankYOY_2!DZ12</f>
        <v>1</v>
      </c>
    </row>
    <row r="7" spans="1:51">
      <c r="C7" s="49">
        <f ca="1">i_rankYOY_2!AH13</f>
        <v>1</v>
      </c>
      <c r="D7" s="191">
        <f ca="1">i_rankYOY_2!AI13</f>
        <v>4</v>
      </c>
      <c r="E7" s="54" t="str">
        <f ca="1">i_rankYOY_2!AJ13</f>
        <v>Mexico</v>
      </c>
      <c r="F7" s="53">
        <f ca="1">i_rankYOY_2!AK13</f>
        <v>58.1</v>
      </c>
      <c r="G7" s="203">
        <f ca="1">i_rankYOY_2!AL13</f>
        <v>47.5</v>
      </c>
      <c r="H7" s="212">
        <f ca="1">i_rankYOY_2!AM13</f>
        <v>10.600000000000001</v>
      </c>
      <c r="I7" s="49">
        <f ca="1">i_rankYOY_2!AN13</f>
        <v>10.600000000000001</v>
      </c>
      <c r="K7" s="49">
        <f ca="1">i_rankYOY_2!AX13</f>
        <v>1</v>
      </c>
      <c r="L7" s="191">
        <f ca="1">i_rankYOY_2!AY13</f>
        <v>4</v>
      </c>
      <c r="M7" s="54" t="str">
        <f ca="1">i_rankYOY_2!AZ13</f>
        <v>Mexico</v>
      </c>
      <c r="N7" s="53">
        <f ca="1">i_rankYOY_2!BA13</f>
        <v>56.3</v>
      </c>
      <c r="O7" s="203">
        <f ca="1">i_rankYOY_2!BB13</f>
        <v>50</v>
      </c>
      <c r="P7" s="212">
        <f ca="1">i_rankYOY_2!BC13</f>
        <v>6.2999999999999972</v>
      </c>
      <c r="Q7" s="92">
        <f ca="1">i_rankYOY_2!BD13</f>
        <v>6.2999999999999972</v>
      </c>
      <c r="S7" s="49">
        <f ca="1">i_rankYOY_2!BN13</f>
        <v>1</v>
      </c>
      <c r="T7" s="191">
        <f ca="1">i_rankYOY_2!BO13</f>
        <v>4</v>
      </c>
      <c r="U7" s="54" t="str">
        <f ca="1">i_rankYOY_2!BP13</f>
        <v>Mexico</v>
      </c>
      <c r="V7" s="53">
        <f ca="1">i_rankYOY_2!BQ13</f>
        <v>58.3</v>
      </c>
      <c r="W7" s="203">
        <f ca="1">i_rankYOY_2!BR13</f>
        <v>37.5</v>
      </c>
      <c r="X7" s="212">
        <f ca="1">i_rankYOY_2!BS13</f>
        <v>20.799999999999997</v>
      </c>
      <c r="Y7" s="92">
        <f ca="1">i_rankYOY_2!BT13</f>
        <v>20.799999999999997</v>
      </c>
      <c r="AA7" s="49">
        <f ca="1">i_rankYOY_2!CD13</f>
        <v>1</v>
      </c>
      <c r="AB7" s="191">
        <f ca="1">i_rankYOY_2!CE13</f>
        <v>4</v>
      </c>
      <c r="AC7" s="54" t="str">
        <f ca="1">i_rankYOY_2!CF13</f>
        <v>Peru</v>
      </c>
      <c r="AD7" s="53">
        <f ca="1">i_rankYOY_2!CG13</f>
        <v>53.6</v>
      </c>
      <c r="AE7" s="203">
        <f ca="1">i_rankYOY_2!CH13</f>
        <v>53</v>
      </c>
      <c r="AF7" s="212">
        <f ca="1">i_rankYOY_2!CI13</f>
        <v>0.60000000000000142</v>
      </c>
      <c r="AG7" s="92">
        <f ca="1">i_rankYOY_2!CJ13</f>
        <v>0.60000000000000142</v>
      </c>
      <c r="AI7" s="49">
        <f ca="1">i_rankYOY_2!CT13</f>
        <v>1</v>
      </c>
      <c r="AJ7" s="191">
        <f ca="1">i_rankYOY_2!CU13</f>
        <v>4</v>
      </c>
      <c r="AK7" s="54" t="str">
        <f ca="1">i_rankYOY_2!CV13</f>
        <v>Brazil</v>
      </c>
      <c r="AL7" s="53">
        <f ca="1">i_rankYOY_2!CW13</f>
        <v>58.8</v>
      </c>
      <c r="AM7" s="203">
        <f ca="1">i_rankYOY_2!CX13</f>
        <v>77.2</v>
      </c>
      <c r="AN7" s="212">
        <f ca="1">i_rankYOY_2!CY13</f>
        <v>-18.400000000000006</v>
      </c>
      <c r="AO7" s="92">
        <f ca="1">i_rankYOY_2!CZ13</f>
        <v>-18.400000000000006</v>
      </c>
      <c r="AQ7" s="49">
        <f ca="1">i_rankYOY_2!DJ13</f>
        <v>1</v>
      </c>
      <c r="AR7" s="191">
        <f ca="1">i_rankYOY_2!DK13</f>
        <v>4</v>
      </c>
      <c r="AS7" s="54" t="str">
        <f ca="1">i_rankYOY_2!DL13</f>
        <v>Panama</v>
      </c>
      <c r="AT7" s="53">
        <f ca="1">i_rankYOY_2!DM13</f>
        <v>63.9</v>
      </c>
      <c r="AU7" s="203">
        <f ca="1">i_rankYOY_2!DN13</f>
        <v>62.5</v>
      </c>
      <c r="AV7" s="212">
        <f ca="1">i_rankYOY_2!DO13</f>
        <v>1.3999999999999986</v>
      </c>
      <c r="AW7" s="92">
        <f ca="1">i_rankYOY_2!DP13</f>
        <v>1.3999999999999986</v>
      </c>
      <c r="AY7" s="49">
        <f ca="1">i_rankYOY_2!DZ13</f>
        <v>1</v>
      </c>
    </row>
    <row r="8" spans="1:51">
      <c r="C8" s="49">
        <f ca="1">i_rankYOY_2!AH14</f>
        <v>1</v>
      </c>
      <c r="D8" s="191">
        <f ca="1">i_rankYOY_2!AI14</f>
        <v>5</v>
      </c>
      <c r="E8" s="54" t="str">
        <f ca="1">i_rankYOY_2!AJ14</f>
        <v>Colombia</v>
      </c>
      <c r="F8" s="53">
        <f ca="1">i_rankYOY_2!AK14</f>
        <v>53.7</v>
      </c>
      <c r="G8" s="203">
        <f ca="1">i_rankYOY_2!AL14</f>
        <v>39.1</v>
      </c>
      <c r="H8" s="212">
        <f ca="1">i_rankYOY_2!AM14</f>
        <v>14.600000000000001</v>
      </c>
      <c r="I8" s="49">
        <f ca="1">i_rankYOY_2!AN14</f>
        <v>14.600000000000001</v>
      </c>
      <c r="K8" s="49">
        <f ca="1">i_rankYOY_2!AX14</f>
        <v>1</v>
      </c>
      <c r="L8" s="191">
        <f ca="1">i_rankYOY_2!AY14</f>
        <v>5</v>
      </c>
      <c r="M8" s="54" t="str">
        <f ca="1">i_rankYOY_2!AZ14</f>
        <v>Guatemala</v>
      </c>
      <c r="N8" s="53">
        <f ca="1">i_rankYOY_2!BA14</f>
        <v>53.1</v>
      </c>
      <c r="O8" s="203">
        <f ca="1">i_rankYOY_2!BB14</f>
        <v>16.7</v>
      </c>
      <c r="P8" s="212">
        <f ca="1">i_rankYOY_2!BC14</f>
        <v>36.400000000000006</v>
      </c>
      <c r="Q8" s="92">
        <f ca="1">i_rankYOY_2!BD14</f>
        <v>36.400000000000006</v>
      </c>
      <c r="S8" s="49">
        <f ca="1">i_rankYOY_2!BN14</f>
        <v>1</v>
      </c>
      <c r="T8" s="191">
        <f ca="1">i_rankYOY_2!BO14</f>
        <v>5</v>
      </c>
      <c r="U8" s="54" t="str">
        <f ca="1">i_rankYOY_2!BP14</f>
        <v>Colombia</v>
      </c>
      <c r="V8" s="53">
        <f ca="1">i_rankYOY_2!BQ14</f>
        <v>50</v>
      </c>
      <c r="W8" s="203">
        <f ca="1">i_rankYOY_2!BR14</f>
        <v>37.5</v>
      </c>
      <c r="X8" s="212">
        <f ca="1">i_rankYOY_2!BS14</f>
        <v>12.5</v>
      </c>
      <c r="Y8" s="92">
        <f ca="1">i_rankYOY_2!BT14</f>
        <v>12.5</v>
      </c>
      <c r="AA8" s="49">
        <f ca="1">i_rankYOY_2!CD14</f>
        <v>1</v>
      </c>
      <c r="AB8" s="191">
        <f ca="1">i_rankYOY_2!CE14</f>
        <v>5</v>
      </c>
      <c r="AC8" s="54" t="str">
        <f ca="1">i_rankYOY_2!CF14</f>
        <v>Colombia</v>
      </c>
      <c r="AD8" s="53">
        <f ca="1">i_rankYOY_2!CG14</f>
        <v>46.7</v>
      </c>
      <c r="AE8" s="203">
        <f ca="1">i_rankYOY_2!CH14</f>
        <v>44.7</v>
      </c>
      <c r="AF8" s="212">
        <f ca="1">i_rankYOY_2!CI14</f>
        <v>2</v>
      </c>
      <c r="AG8" s="92">
        <f ca="1">i_rankYOY_2!CJ14</f>
        <v>2</v>
      </c>
      <c r="AI8" s="49">
        <f ca="1">i_rankYOY_2!CT14</f>
        <v>1</v>
      </c>
      <c r="AJ8" s="191">
        <f ca="1">i_rankYOY_2!CU14</f>
        <v>5</v>
      </c>
      <c r="AK8" s="54" t="str">
        <f ca="1">i_rankYOY_2!CV14</f>
        <v>Panama</v>
      </c>
      <c r="AL8" s="53">
        <f ca="1">i_rankYOY_2!CW14</f>
        <v>58.1</v>
      </c>
      <c r="AM8" s="203">
        <f ca="1">i_rankYOY_2!CX14</f>
        <v>62.8</v>
      </c>
      <c r="AN8" s="212">
        <f ca="1">i_rankYOY_2!CY14</f>
        <v>-4.6999999999999957</v>
      </c>
      <c r="AO8" s="92">
        <f ca="1">i_rankYOY_2!CZ14</f>
        <v>-4.6999999999999957</v>
      </c>
      <c r="AQ8" s="49">
        <f ca="1">i_rankYOY_2!DJ14</f>
        <v>1</v>
      </c>
      <c r="AR8" s="191">
        <f ca="1">i_rankYOY_2!DK14</f>
        <v>5</v>
      </c>
      <c r="AS8" s="54" t="str">
        <f ca="1">i_rankYOY_2!DL14</f>
        <v>Peru</v>
      </c>
      <c r="AT8" s="53">
        <f ca="1">i_rankYOY_2!DM14</f>
        <v>61.1</v>
      </c>
      <c r="AU8" s="203">
        <f ca="1">i_rankYOY_2!DN14</f>
        <v>58.3</v>
      </c>
      <c r="AV8" s="212">
        <f ca="1">i_rankYOY_2!DO14</f>
        <v>2.8000000000000043</v>
      </c>
      <c r="AW8" s="92">
        <f ca="1">i_rankYOY_2!DP14</f>
        <v>2.8000000000000043</v>
      </c>
      <c r="AY8" s="49">
        <f ca="1">i_rankYOY_2!DZ14</f>
        <v>1</v>
      </c>
    </row>
    <row r="9" spans="1:51">
      <c r="C9" s="49">
        <f ca="1">i_rankYOY_2!AH15</f>
        <v>1</v>
      </c>
      <c r="D9" s="191">
        <f ca="1">i_rankYOY_2!AI15</f>
        <v>6</v>
      </c>
      <c r="E9" s="54" t="str">
        <f ca="1">i_rankYOY_2!AJ15</f>
        <v>Guatemala</v>
      </c>
      <c r="F9" s="53">
        <f ca="1">i_rankYOY_2!AK15</f>
        <v>42.4</v>
      </c>
      <c r="G9" s="203">
        <f ca="1">i_rankYOY_2!AL15</f>
        <v>18</v>
      </c>
      <c r="H9" s="212">
        <f ca="1">i_rankYOY_2!AM15</f>
        <v>24.4</v>
      </c>
      <c r="I9" s="49">
        <f ca="1">i_rankYOY_2!AN15</f>
        <v>24.4</v>
      </c>
      <c r="K9" s="49">
        <f ca="1">i_rankYOY_2!AX15</f>
        <v>1</v>
      </c>
      <c r="L9" s="191">
        <f ca="1">i_rankYOY_2!AY15</f>
        <v>6</v>
      </c>
      <c r="M9" s="54" t="str">
        <f ca="1">i_rankYOY_2!AZ15</f>
        <v>Colombia</v>
      </c>
      <c r="N9" s="53">
        <f ca="1">i_rankYOY_2!BA15</f>
        <v>50</v>
      </c>
      <c r="O9" s="203">
        <f ca="1">i_rankYOY_2!BB15</f>
        <v>33.299999999999997</v>
      </c>
      <c r="P9" s="212">
        <f ca="1">i_rankYOY_2!BC15</f>
        <v>16.700000000000003</v>
      </c>
      <c r="Q9" s="92">
        <f ca="1">i_rankYOY_2!BD15</f>
        <v>16.700000000000003</v>
      </c>
      <c r="S9" s="49">
        <f ca="1">i_rankYOY_2!BN15</f>
        <v>1</v>
      </c>
      <c r="T9" s="191">
        <f ca="1">i_rankYOY_2!BO15</f>
        <v>6</v>
      </c>
      <c r="U9" s="54" t="str">
        <f ca="1">i_rankYOY_2!BP15</f>
        <v>Guatemala</v>
      </c>
      <c r="V9" s="53">
        <f ca="1">i_rankYOY_2!BQ15</f>
        <v>50</v>
      </c>
      <c r="W9" s="203">
        <f ca="1">i_rankYOY_2!BR15</f>
        <v>25</v>
      </c>
      <c r="X9" s="212">
        <f ca="1">i_rankYOY_2!BS15</f>
        <v>25</v>
      </c>
      <c r="Y9" s="92">
        <f ca="1">i_rankYOY_2!BT15</f>
        <v>25</v>
      </c>
      <c r="AA9" s="49">
        <f ca="1">i_rankYOY_2!CD15</f>
        <v>1</v>
      </c>
      <c r="AB9" s="191">
        <f ca="1">i_rankYOY_2!CE15</f>
        <v>6</v>
      </c>
      <c r="AC9" s="54" t="str">
        <f ca="1">i_rankYOY_2!CF15</f>
        <v>Costa Rica</v>
      </c>
      <c r="AD9" s="53">
        <f ca="1">i_rankYOY_2!CG15</f>
        <v>42.1</v>
      </c>
      <c r="AE9" s="203">
        <f ca="1">i_rankYOY_2!CH15</f>
        <v>55</v>
      </c>
      <c r="AF9" s="212">
        <f ca="1">i_rankYOY_2!CI15</f>
        <v>-12.899999999999999</v>
      </c>
      <c r="AG9" s="92">
        <f ca="1">i_rankYOY_2!CJ15</f>
        <v>-12.899999999999999</v>
      </c>
      <c r="AI9" s="49">
        <f ca="1">i_rankYOY_2!CT15</f>
        <v>1</v>
      </c>
      <c r="AJ9" s="191">
        <f ca="1">i_rankYOY_2!CU15</f>
        <v>6</v>
      </c>
      <c r="AK9" s="54" t="str">
        <f ca="1">i_rankYOY_2!CV15</f>
        <v>Mexico</v>
      </c>
      <c r="AL9" s="53">
        <f ca="1">i_rankYOY_2!CW15</f>
        <v>56.1</v>
      </c>
      <c r="AM9" s="203">
        <f ca="1">i_rankYOY_2!CX15</f>
        <v>65.099999999999994</v>
      </c>
      <c r="AN9" s="212">
        <f ca="1">i_rankYOY_2!CY15</f>
        <v>-8.9999999999999929</v>
      </c>
      <c r="AO9" s="92">
        <f ca="1">i_rankYOY_2!CZ15</f>
        <v>-8.9999999999999929</v>
      </c>
      <c r="AQ9" s="49">
        <f ca="1">i_rankYOY_2!DJ15</f>
        <v>1</v>
      </c>
      <c r="AR9" s="191">
        <f ca="1">i_rankYOY_2!DK15</f>
        <v>6</v>
      </c>
      <c r="AS9" s="54" t="str">
        <f ca="1">i_rankYOY_2!DL15</f>
        <v>Trinidad &amp; Tobago</v>
      </c>
      <c r="AT9" s="53">
        <f ca="1">i_rankYOY_2!DM15</f>
        <v>58.3</v>
      </c>
      <c r="AU9" s="203">
        <f ca="1">i_rankYOY_2!DN15</f>
        <v>58.3</v>
      </c>
      <c r="AV9" s="212" t="str">
        <f ca="1">i_rankYOY_2!DO15</f>
        <v>-</v>
      </c>
      <c r="AW9" s="92">
        <f ca="1">i_rankYOY_2!DP15</f>
        <v>0</v>
      </c>
      <c r="AY9" s="49">
        <f ca="1">i_rankYOY_2!DZ15</f>
        <v>1</v>
      </c>
    </row>
    <row r="10" spans="1:51">
      <c r="C10" s="49">
        <f ca="1">i_rankYOY_2!AH16</f>
        <v>1</v>
      </c>
      <c r="D10" s="191">
        <f ca="1">i_rankYOY_2!AI16</f>
        <v>7</v>
      </c>
      <c r="E10" s="54" t="str">
        <f ca="1">i_rankYOY_2!AJ16</f>
        <v>Panama</v>
      </c>
      <c r="F10" s="53">
        <f ca="1">i_rankYOY_2!AK16</f>
        <v>34.6</v>
      </c>
      <c r="G10" s="203">
        <f ca="1">i_rankYOY_2!AL16</f>
        <v>21</v>
      </c>
      <c r="H10" s="212">
        <f ca="1">i_rankYOY_2!AM16</f>
        <v>13.600000000000001</v>
      </c>
      <c r="I10" s="49">
        <f ca="1">i_rankYOY_2!AN16</f>
        <v>13.600000000000001</v>
      </c>
      <c r="K10" s="49">
        <f ca="1">i_rankYOY_2!AX16</f>
        <v>1</v>
      </c>
      <c r="L10" s="191">
        <f ca="1">i_rankYOY_2!AY16</f>
        <v>7</v>
      </c>
      <c r="M10" s="54" t="str">
        <f ca="1">i_rankYOY_2!AZ16</f>
        <v>Panama</v>
      </c>
      <c r="N10" s="53">
        <f ca="1">i_rankYOY_2!BA16</f>
        <v>37.5</v>
      </c>
      <c r="O10" s="203">
        <f ca="1">i_rankYOY_2!BB16</f>
        <v>25</v>
      </c>
      <c r="P10" s="212">
        <f ca="1">i_rankYOY_2!BC16</f>
        <v>12.5</v>
      </c>
      <c r="Q10" s="92">
        <f ca="1">i_rankYOY_2!BD16</f>
        <v>12.5</v>
      </c>
      <c r="S10" s="49">
        <f ca="1">i_rankYOY_2!BN16</f>
        <v>1</v>
      </c>
      <c r="T10" s="191">
        <f ca="1">i_rankYOY_2!BO16</f>
        <v>7</v>
      </c>
      <c r="U10" s="54" t="str">
        <f ca="1">i_rankYOY_2!BP16</f>
        <v>Argentina</v>
      </c>
      <c r="V10" s="53">
        <f ca="1">i_rankYOY_2!BQ16</f>
        <v>33.299999999999997</v>
      </c>
      <c r="W10" s="203">
        <f ca="1">i_rankYOY_2!BR16</f>
        <v>12.5</v>
      </c>
      <c r="X10" s="212">
        <f ca="1">i_rankYOY_2!BS16</f>
        <v>20.799999999999997</v>
      </c>
      <c r="Y10" s="92">
        <f ca="1">i_rankYOY_2!BT16</f>
        <v>20.799999999999997</v>
      </c>
      <c r="AA10" s="49">
        <f ca="1">i_rankYOY_2!CD16</f>
        <v>1</v>
      </c>
      <c r="AB10" s="191">
        <f ca="1">i_rankYOY_2!CE16</f>
        <v>7</v>
      </c>
      <c r="AC10" s="54" t="str">
        <f ca="1">i_rankYOY_2!CF16</f>
        <v>Guatemala</v>
      </c>
      <c r="AD10" s="53">
        <f ca="1">i_rankYOY_2!CG16</f>
        <v>35.4</v>
      </c>
      <c r="AE10" s="203">
        <f ca="1">i_rankYOY_2!CH16</f>
        <v>8.6999999999999993</v>
      </c>
      <c r="AF10" s="212">
        <f ca="1">i_rankYOY_2!CI16</f>
        <v>26.7</v>
      </c>
      <c r="AG10" s="92">
        <f ca="1">i_rankYOY_2!CJ16</f>
        <v>26.7</v>
      </c>
      <c r="AI10" s="49">
        <f ca="1">i_rankYOY_2!CT16</f>
        <v>1</v>
      </c>
      <c r="AJ10" s="191">
        <f ca="1">i_rankYOY_2!CU16</f>
        <v>7</v>
      </c>
      <c r="AK10" s="54" t="str">
        <f ca="1">i_rankYOY_2!CV16</f>
        <v>Guatemala</v>
      </c>
      <c r="AL10" s="53">
        <f ca="1">i_rankYOY_2!CW16</f>
        <v>52.9</v>
      </c>
      <c r="AM10" s="203">
        <f ca="1">i_rankYOY_2!CX16</f>
        <v>33.4</v>
      </c>
      <c r="AN10" s="212">
        <f ca="1">i_rankYOY_2!CY16</f>
        <v>19.5</v>
      </c>
      <c r="AO10" s="92">
        <f ca="1">i_rankYOY_2!CZ16</f>
        <v>19.5</v>
      </c>
      <c r="AQ10" s="49">
        <f ca="1">i_rankYOY_2!DJ16</f>
        <v>1</v>
      </c>
      <c r="AR10" s="191" t="str">
        <f ca="1">i_rankYOY_2!DK16</f>
        <v>=7</v>
      </c>
      <c r="AS10" s="54" t="str">
        <f ca="1">i_rankYOY_2!DL16</f>
        <v>Colombia</v>
      </c>
      <c r="AT10" s="53">
        <f ca="1">i_rankYOY_2!DM16</f>
        <v>55.6</v>
      </c>
      <c r="AU10" s="203">
        <f ca="1">i_rankYOY_2!DN16</f>
        <v>54.2</v>
      </c>
      <c r="AV10" s="212">
        <f ca="1">i_rankYOY_2!DO16</f>
        <v>1.3999999999999986</v>
      </c>
      <c r="AW10" s="92">
        <f ca="1">i_rankYOY_2!DP16</f>
        <v>1.3999999999999986</v>
      </c>
      <c r="AY10" s="49">
        <f ca="1">i_rankYOY_2!DZ16</f>
        <v>1</v>
      </c>
    </row>
    <row r="11" spans="1:51">
      <c r="C11" s="49">
        <f ca="1">i_rankYOY_2!AH17</f>
        <v>1</v>
      </c>
      <c r="D11" s="191">
        <f ca="1">i_rankYOY_2!AI17</f>
        <v>8</v>
      </c>
      <c r="E11" s="54" t="str">
        <f ca="1">i_rankYOY_2!AJ17</f>
        <v>Costa Rica</v>
      </c>
      <c r="F11" s="53">
        <f ca="1">i_rankYOY_2!AK17</f>
        <v>32.299999999999997</v>
      </c>
      <c r="G11" s="203">
        <f ca="1">i_rankYOY_2!AL17</f>
        <v>45.1</v>
      </c>
      <c r="H11" s="212">
        <f ca="1">i_rankYOY_2!AM17</f>
        <v>-12.800000000000004</v>
      </c>
      <c r="I11" s="49">
        <f ca="1">i_rankYOY_2!AN17</f>
        <v>-12.800000000000004</v>
      </c>
      <c r="K11" s="49">
        <f ca="1">i_rankYOY_2!AX17</f>
        <v>1</v>
      </c>
      <c r="L11" s="191">
        <f ca="1">i_rankYOY_2!AY17</f>
        <v>8</v>
      </c>
      <c r="M11" s="54" t="str">
        <f ca="1">i_rankYOY_2!AZ17</f>
        <v>Costa Rica</v>
      </c>
      <c r="N11" s="53">
        <f ca="1">i_rankYOY_2!BA17</f>
        <v>34.4</v>
      </c>
      <c r="O11" s="203">
        <f ca="1">i_rankYOY_2!BB17</f>
        <v>50</v>
      </c>
      <c r="P11" s="212">
        <f ca="1">i_rankYOY_2!BC17</f>
        <v>-15.600000000000001</v>
      </c>
      <c r="Q11" s="92">
        <f ca="1">i_rankYOY_2!BD17</f>
        <v>-15.600000000000001</v>
      </c>
      <c r="S11" s="49">
        <f ca="1">i_rankYOY_2!BN17</f>
        <v>1</v>
      </c>
      <c r="T11" s="191">
        <f ca="1">i_rankYOY_2!BO17</f>
        <v>8</v>
      </c>
      <c r="U11" s="54" t="str">
        <f ca="1">i_rankYOY_2!BP17</f>
        <v>El Salvador</v>
      </c>
      <c r="V11" s="53">
        <f ca="1">i_rankYOY_2!BQ17</f>
        <v>33.299999999999997</v>
      </c>
      <c r="W11" s="203">
        <f ca="1">i_rankYOY_2!BR17</f>
        <v>25</v>
      </c>
      <c r="X11" s="212">
        <f ca="1">i_rankYOY_2!BS17</f>
        <v>8.2999999999999972</v>
      </c>
      <c r="Y11" s="92">
        <f ca="1">i_rankYOY_2!BT17</f>
        <v>8.2999999999999972</v>
      </c>
      <c r="AA11" s="49">
        <f ca="1">i_rankYOY_2!CD17</f>
        <v>1</v>
      </c>
      <c r="AB11" s="191">
        <f ca="1">i_rankYOY_2!CE17</f>
        <v>8</v>
      </c>
      <c r="AC11" s="54" t="str">
        <f ca="1">i_rankYOY_2!CF17</f>
        <v>Honduras</v>
      </c>
      <c r="AD11" s="53">
        <f ca="1">i_rankYOY_2!CG17</f>
        <v>35.1</v>
      </c>
      <c r="AE11" s="203">
        <f ca="1">i_rankYOY_2!CH17</f>
        <v>21.3</v>
      </c>
      <c r="AF11" s="212">
        <f ca="1">i_rankYOY_2!CI17</f>
        <v>13.8</v>
      </c>
      <c r="AG11" s="92">
        <f ca="1">i_rankYOY_2!CJ17</f>
        <v>13.8</v>
      </c>
      <c r="AI11" s="49">
        <f ca="1">i_rankYOY_2!CT17</f>
        <v>1</v>
      </c>
      <c r="AJ11" s="191">
        <f ca="1">i_rankYOY_2!CU17</f>
        <v>8</v>
      </c>
      <c r="AK11" s="54" t="str">
        <f ca="1">i_rankYOY_2!CV17</f>
        <v>Dominican Rep.</v>
      </c>
      <c r="AL11" s="53">
        <f ca="1">i_rankYOY_2!CW17</f>
        <v>49.1</v>
      </c>
      <c r="AM11" s="203">
        <f ca="1">i_rankYOY_2!CX17</f>
        <v>35.799999999999997</v>
      </c>
      <c r="AN11" s="212">
        <f ca="1">i_rankYOY_2!CY17</f>
        <v>13.300000000000004</v>
      </c>
      <c r="AO11" s="92">
        <f ca="1">i_rankYOY_2!CZ17</f>
        <v>13.300000000000004</v>
      </c>
      <c r="AQ11" s="49">
        <f ca="1">i_rankYOY_2!DJ17</f>
        <v>1</v>
      </c>
      <c r="AR11" s="191" t="str">
        <f ca="1">i_rankYOY_2!DK17</f>
        <v>=7</v>
      </c>
      <c r="AS11" s="54" t="str">
        <f ca="1">i_rankYOY_2!DL17</f>
        <v>El Salvador</v>
      </c>
      <c r="AT11" s="53">
        <f ca="1">i_rankYOY_2!DM17</f>
        <v>47.2</v>
      </c>
      <c r="AU11" s="203">
        <f ca="1">i_rankYOY_2!DN17</f>
        <v>45.8</v>
      </c>
      <c r="AV11" s="212">
        <f ca="1">i_rankYOY_2!DO17</f>
        <v>1.4000000000000057</v>
      </c>
      <c r="AW11" s="92">
        <f ca="1">i_rankYOY_2!DP17</f>
        <v>1.4000000000000057</v>
      </c>
      <c r="AY11" s="49">
        <f ca="1">i_rankYOY_2!DZ17</f>
        <v>1</v>
      </c>
    </row>
    <row r="12" spans="1:51">
      <c r="C12" s="49">
        <f ca="1">i_rankYOY_2!AH18</f>
        <v>1</v>
      </c>
      <c r="D12" s="191">
        <f ca="1">i_rankYOY_2!AI18</f>
        <v>9</v>
      </c>
      <c r="E12" s="54" t="str">
        <f ca="1">i_rankYOY_2!AJ18</f>
        <v>Uruguay</v>
      </c>
      <c r="F12" s="53">
        <f ca="1">i_rankYOY_2!AK18</f>
        <v>31.8</v>
      </c>
      <c r="G12" s="203">
        <f ca="1">i_rankYOY_2!AL18</f>
        <v>27.3</v>
      </c>
      <c r="H12" s="212">
        <f ca="1">i_rankYOY_2!AM18</f>
        <v>4.5</v>
      </c>
      <c r="I12" s="49">
        <f ca="1">i_rankYOY_2!AN18</f>
        <v>4.5</v>
      </c>
      <c r="K12" s="49">
        <f ca="1">i_rankYOY_2!AX18</f>
        <v>1</v>
      </c>
      <c r="L12" s="191">
        <f ca="1">i_rankYOY_2!AY18</f>
        <v>9</v>
      </c>
      <c r="M12" s="54" t="str">
        <f ca="1">i_rankYOY_2!AZ18</f>
        <v>Uruguay</v>
      </c>
      <c r="N12" s="53">
        <f ca="1">i_rankYOY_2!BA18</f>
        <v>34.4</v>
      </c>
      <c r="O12" s="203">
        <f ca="1">i_rankYOY_2!BB18</f>
        <v>25</v>
      </c>
      <c r="P12" s="212">
        <f ca="1">i_rankYOY_2!BC18</f>
        <v>9.3999999999999986</v>
      </c>
      <c r="Q12" s="92">
        <f ca="1">i_rankYOY_2!BD18</f>
        <v>9.3999999999999986</v>
      </c>
      <c r="S12" s="49">
        <f ca="1">i_rankYOY_2!BN18</f>
        <v>1</v>
      </c>
      <c r="T12" s="191" t="str">
        <f ca="1">i_rankYOY_2!BO18</f>
        <v>=9</v>
      </c>
      <c r="U12" s="54" t="str">
        <f ca="1">i_rankYOY_2!BP18</f>
        <v>Honduras</v>
      </c>
      <c r="V12" s="53">
        <f ca="1">i_rankYOY_2!BQ18</f>
        <v>33.299999999999997</v>
      </c>
      <c r="W12" s="203">
        <f ca="1">i_rankYOY_2!BR18</f>
        <v>37.5</v>
      </c>
      <c r="X12" s="212">
        <f ca="1">i_rankYOY_2!BS18</f>
        <v>-4.2000000000000028</v>
      </c>
      <c r="Y12" s="92">
        <f ca="1">i_rankYOY_2!BT18</f>
        <v>-4.2000000000000028</v>
      </c>
      <c r="AA12" s="49">
        <f ca="1">i_rankYOY_2!CD18</f>
        <v>1</v>
      </c>
      <c r="AB12" s="191">
        <f ca="1">i_rankYOY_2!CE18</f>
        <v>9</v>
      </c>
      <c r="AC12" s="54" t="str">
        <f ca="1">i_rankYOY_2!CF18</f>
        <v>Ecuador</v>
      </c>
      <c r="AD12" s="53">
        <f ca="1">i_rankYOY_2!CG18</f>
        <v>33</v>
      </c>
      <c r="AE12" s="203">
        <f ca="1">i_rankYOY_2!CH18</f>
        <v>39.4</v>
      </c>
      <c r="AF12" s="212">
        <f ca="1">i_rankYOY_2!CI18</f>
        <v>-6.3999999999999986</v>
      </c>
      <c r="AG12" s="92">
        <f ca="1">i_rankYOY_2!CJ18</f>
        <v>-6.3999999999999986</v>
      </c>
      <c r="AI12" s="49">
        <f ca="1">i_rankYOY_2!CT18</f>
        <v>1</v>
      </c>
      <c r="AJ12" s="191">
        <f ca="1">i_rankYOY_2!CU18</f>
        <v>9</v>
      </c>
      <c r="AK12" s="54" t="str">
        <f ca="1">i_rankYOY_2!CV18</f>
        <v>Honduras</v>
      </c>
      <c r="AL12" s="53">
        <f ca="1">i_rankYOY_2!CW18</f>
        <v>47.1</v>
      </c>
      <c r="AM12" s="203">
        <f ca="1">i_rankYOY_2!CX18</f>
        <v>39.799999999999997</v>
      </c>
      <c r="AN12" s="212">
        <f ca="1">i_rankYOY_2!CY18</f>
        <v>7.3000000000000043</v>
      </c>
      <c r="AO12" s="92">
        <f ca="1">i_rankYOY_2!CZ18</f>
        <v>7.3000000000000043</v>
      </c>
      <c r="AQ12" s="49">
        <f ca="1">i_rankYOY_2!DJ18</f>
        <v>1</v>
      </c>
      <c r="AR12" s="191">
        <f ca="1">i_rankYOY_2!DK18</f>
        <v>9</v>
      </c>
      <c r="AS12" s="54" t="str">
        <f ca="1">i_rankYOY_2!DL18</f>
        <v>Costa Rica</v>
      </c>
      <c r="AT12" s="53">
        <f ca="1">i_rankYOY_2!DM18</f>
        <v>41.7</v>
      </c>
      <c r="AU12" s="203">
        <f ca="1">i_rankYOY_2!DN18</f>
        <v>41.7</v>
      </c>
      <c r="AV12" s="212" t="str">
        <f ca="1">i_rankYOY_2!DO18</f>
        <v>-</v>
      </c>
      <c r="AW12" s="92">
        <f ca="1">i_rankYOY_2!DP18</f>
        <v>0</v>
      </c>
      <c r="AY12" s="49">
        <f ca="1">i_rankYOY_2!DZ18</f>
        <v>1</v>
      </c>
    </row>
    <row r="13" spans="1:51">
      <c r="C13" s="49">
        <f ca="1">i_rankYOY_2!AH19</f>
        <v>1</v>
      </c>
      <c r="D13" s="191">
        <f ca="1">i_rankYOY_2!AI19</f>
        <v>10</v>
      </c>
      <c r="E13" s="54" t="str">
        <f ca="1">i_rankYOY_2!AJ19</f>
        <v>El Salvador</v>
      </c>
      <c r="F13" s="53">
        <f ca="1">i_rankYOY_2!AK19</f>
        <v>30.6</v>
      </c>
      <c r="G13" s="203">
        <f ca="1">i_rankYOY_2!AL19</f>
        <v>23.9</v>
      </c>
      <c r="H13" s="212">
        <f ca="1">i_rankYOY_2!AM19</f>
        <v>6.7000000000000028</v>
      </c>
      <c r="I13" s="49">
        <f ca="1">i_rankYOY_2!AN19</f>
        <v>6.7000000000000028</v>
      </c>
      <c r="K13" s="49">
        <f ca="1">i_rankYOY_2!AX19</f>
        <v>1</v>
      </c>
      <c r="L13" s="191">
        <f ca="1">i_rankYOY_2!AY19</f>
        <v>10</v>
      </c>
      <c r="M13" s="54" t="str">
        <f ca="1">i_rankYOY_2!AZ19</f>
        <v>El Salvador</v>
      </c>
      <c r="N13" s="53">
        <f ca="1">i_rankYOY_2!BA19</f>
        <v>28.1</v>
      </c>
      <c r="O13" s="203">
        <f ca="1">i_rankYOY_2!BB19</f>
        <v>19.399999999999999</v>
      </c>
      <c r="P13" s="212">
        <f ca="1">i_rankYOY_2!BC19</f>
        <v>8.7000000000000028</v>
      </c>
      <c r="Q13" s="92">
        <f ca="1">i_rankYOY_2!BD19</f>
        <v>8.7000000000000028</v>
      </c>
      <c r="S13" s="49">
        <f ca="1">i_rankYOY_2!BN19</f>
        <v>1</v>
      </c>
      <c r="T13" s="191" t="str">
        <f ca="1">i_rankYOY_2!BO19</f>
        <v>=9</v>
      </c>
      <c r="U13" s="54" t="str">
        <f ca="1">i_rankYOY_2!BP19</f>
        <v>Uruguay</v>
      </c>
      <c r="V13" s="53">
        <f ca="1">i_rankYOY_2!BQ19</f>
        <v>33.299999999999997</v>
      </c>
      <c r="W13" s="203">
        <f ca="1">i_rankYOY_2!BR19</f>
        <v>37.5</v>
      </c>
      <c r="X13" s="212">
        <f ca="1">i_rankYOY_2!BS19</f>
        <v>-4.2000000000000028</v>
      </c>
      <c r="Y13" s="92">
        <f ca="1">i_rankYOY_2!BT19</f>
        <v>-4.2000000000000028</v>
      </c>
      <c r="AA13" s="49">
        <f ca="1">i_rankYOY_2!CD19</f>
        <v>1</v>
      </c>
      <c r="AB13" s="191">
        <f ca="1">i_rankYOY_2!CE19</f>
        <v>10</v>
      </c>
      <c r="AC13" s="54" t="str">
        <f ca="1">i_rankYOY_2!CF19</f>
        <v>Jamaica</v>
      </c>
      <c r="AD13" s="53">
        <f ca="1">i_rankYOY_2!CG19</f>
        <v>25.3</v>
      </c>
      <c r="AE13" s="203">
        <f ca="1">i_rankYOY_2!CH19</f>
        <v>17</v>
      </c>
      <c r="AF13" s="212">
        <f ca="1">i_rankYOY_2!CI19</f>
        <v>8.3000000000000007</v>
      </c>
      <c r="AG13" s="92">
        <f ca="1">i_rankYOY_2!CJ19</f>
        <v>8.3000000000000007</v>
      </c>
      <c r="AI13" s="49">
        <f ca="1">i_rankYOY_2!CT19</f>
        <v>1</v>
      </c>
      <c r="AJ13" s="191">
        <f ca="1">i_rankYOY_2!CU19</f>
        <v>10</v>
      </c>
      <c r="AK13" s="54" t="str">
        <f ca="1">i_rankYOY_2!CV19</f>
        <v>Uruguay</v>
      </c>
      <c r="AL13" s="53">
        <f ca="1">i_rankYOY_2!CW19</f>
        <v>43.7</v>
      </c>
      <c r="AM13" s="203">
        <f ca="1">i_rankYOY_2!CX19</f>
        <v>76.2</v>
      </c>
      <c r="AN13" s="212">
        <f ca="1">i_rankYOY_2!CY19</f>
        <v>-32.5</v>
      </c>
      <c r="AO13" s="92">
        <f ca="1">i_rankYOY_2!CZ19</f>
        <v>-32.5</v>
      </c>
      <c r="AQ13" s="49">
        <f ca="1">i_rankYOY_2!DJ19</f>
        <v>1</v>
      </c>
      <c r="AR13" s="191">
        <f ca="1">i_rankYOY_2!DK19</f>
        <v>10</v>
      </c>
      <c r="AS13" s="54" t="str">
        <f ca="1">i_rankYOY_2!DL19</f>
        <v>Argentina</v>
      </c>
      <c r="AT13" s="53">
        <f ca="1">i_rankYOY_2!DM19</f>
        <v>33.299999999999997</v>
      </c>
      <c r="AU13" s="203">
        <f ca="1">i_rankYOY_2!DN19</f>
        <v>20.8</v>
      </c>
      <c r="AV13" s="212">
        <f ca="1">i_rankYOY_2!DO19</f>
        <v>12.499999999999996</v>
      </c>
      <c r="AW13" s="92">
        <f ca="1">i_rankYOY_2!DP19</f>
        <v>12.499999999999996</v>
      </c>
      <c r="AY13" s="49">
        <f ca="1">i_rankYOY_2!DZ19</f>
        <v>1</v>
      </c>
    </row>
    <row r="14" spans="1:51">
      <c r="C14" s="49">
        <f ca="1">i_rankYOY_2!AH20</f>
        <v>1</v>
      </c>
      <c r="D14" s="191">
        <f ca="1">i_rankYOY_2!AI20</f>
        <v>11</v>
      </c>
      <c r="E14" s="54" t="str">
        <f ca="1">i_rankYOY_2!AJ20</f>
        <v>Trinidad &amp; Tobago</v>
      </c>
      <c r="F14" s="53">
        <f ca="1">i_rankYOY_2!AK20</f>
        <v>29.9</v>
      </c>
      <c r="G14" s="203">
        <f ca="1">i_rankYOY_2!AL20</f>
        <v>22.9</v>
      </c>
      <c r="H14" s="212">
        <f ca="1">i_rankYOY_2!AM20</f>
        <v>7</v>
      </c>
      <c r="I14" s="49">
        <f ca="1">i_rankYOY_2!AN20</f>
        <v>7</v>
      </c>
      <c r="K14" s="49">
        <f ca="1">i_rankYOY_2!AX20</f>
        <v>1</v>
      </c>
      <c r="L14" s="191" t="str">
        <f ca="1">i_rankYOY_2!AY20</f>
        <v>=11</v>
      </c>
      <c r="M14" s="54" t="str">
        <f ca="1">i_rankYOY_2!AZ20</f>
        <v>Jamaica</v>
      </c>
      <c r="N14" s="53">
        <f ca="1">i_rankYOY_2!BA20</f>
        <v>25</v>
      </c>
      <c r="O14" s="203">
        <f ca="1">i_rankYOY_2!BB20</f>
        <v>25</v>
      </c>
      <c r="P14" s="212" t="str">
        <f ca="1">i_rankYOY_2!BC20</f>
        <v>-</v>
      </c>
      <c r="Q14" s="92">
        <f ca="1">i_rankYOY_2!BD20</f>
        <v>0</v>
      </c>
      <c r="S14" s="49">
        <f ca="1">i_rankYOY_2!BN20</f>
        <v>1</v>
      </c>
      <c r="T14" s="191">
        <f ca="1">i_rankYOY_2!BO20</f>
        <v>11</v>
      </c>
      <c r="U14" s="54" t="str">
        <f ca="1">i_rankYOY_2!BP20</f>
        <v>Costa Rica</v>
      </c>
      <c r="V14" s="53">
        <f ca="1">i_rankYOY_2!BQ20</f>
        <v>25</v>
      </c>
      <c r="W14" s="203">
        <f ca="1">i_rankYOY_2!BR20</f>
        <v>25</v>
      </c>
      <c r="X14" s="212" t="str">
        <f ca="1">i_rankYOY_2!BS20</f>
        <v>-</v>
      </c>
      <c r="Y14" s="92">
        <f ca="1">i_rankYOY_2!BT20</f>
        <v>0</v>
      </c>
      <c r="AA14" s="49">
        <f ca="1">i_rankYOY_2!CD20</f>
        <v>1</v>
      </c>
      <c r="AB14" s="191">
        <f ca="1">i_rankYOY_2!CE20</f>
        <v>11</v>
      </c>
      <c r="AC14" s="54" t="str">
        <f ca="1">i_rankYOY_2!CF20</f>
        <v>El Salvador</v>
      </c>
      <c r="AD14" s="53">
        <f ca="1">i_rankYOY_2!CG20</f>
        <v>25.1</v>
      </c>
      <c r="AE14" s="203">
        <f ca="1">i_rankYOY_2!CH20</f>
        <v>20.8</v>
      </c>
      <c r="AF14" s="212">
        <f ca="1">i_rankYOY_2!CI20</f>
        <v>4.3000000000000007</v>
      </c>
      <c r="AG14" s="92">
        <f ca="1">i_rankYOY_2!CJ20</f>
        <v>4.3000000000000007</v>
      </c>
      <c r="AI14" s="49">
        <f ca="1">i_rankYOY_2!CT20</f>
        <v>1</v>
      </c>
      <c r="AJ14" s="191">
        <f ca="1">i_rankYOY_2!CU20</f>
        <v>11</v>
      </c>
      <c r="AK14" s="54" t="str">
        <f ca="1">i_rankYOY_2!CV20</f>
        <v>Costa Rica</v>
      </c>
      <c r="AL14" s="53">
        <f ca="1">i_rankYOY_2!CW20</f>
        <v>40.700000000000003</v>
      </c>
      <c r="AM14" s="203">
        <f ca="1">i_rankYOY_2!CX20</f>
        <v>61.3</v>
      </c>
      <c r="AN14" s="212">
        <f ca="1">i_rankYOY_2!CY20</f>
        <v>-20.599999999999994</v>
      </c>
      <c r="AO14" s="92">
        <f ca="1">i_rankYOY_2!CZ20</f>
        <v>-20.599999999999994</v>
      </c>
      <c r="AQ14" s="49">
        <f ca="1">i_rankYOY_2!DJ20</f>
        <v>1</v>
      </c>
      <c r="AR14" s="191">
        <f ca="1">i_rankYOY_2!DK20</f>
        <v>11</v>
      </c>
      <c r="AS14" s="54" t="str">
        <f ca="1">i_rankYOY_2!DL20</f>
        <v>Dominican Rep.</v>
      </c>
      <c r="AT14" s="53">
        <f ca="1">i_rankYOY_2!DM20</f>
        <v>30.6</v>
      </c>
      <c r="AU14" s="203">
        <f ca="1">i_rankYOY_2!DN20</f>
        <v>20.8</v>
      </c>
      <c r="AV14" s="212">
        <f ca="1">i_rankYOY_2!DO20</f>
        <v>9.8000000000000007</v>
      </c>
      <c r="AW14" s="92">
        <f ca="1">i_rankYOY_2!DP20</f>
        <v>9.8000000000000007</v>
      </c>
      <c r="AY14" s="49">
        <f ca="1">i_rankYOY_2!DZ20</f>
        <v>1</v>
      </c>
    </row>
    <row r="15" spans="1:51">
      <c r="C15" s="49">
        <f ca="1">i_rankYOY_2!AH21</f>
        <v>1</v>
      </c>
      <c r="D15" s="191">
        <f ca="1">i_rankYOY_2!AI21</f>
        <v>12</v>
      </c>
      <c r="E15" s="54" t="str">
        <f ca="1">i_rankYOY_2!AJ21</f>
        <v>Argentina</v>
      </c>
      <c r="F15" s="53">
        <f ca="1">i_rankYOY_2!AK21</f>
        <v>27.5</v>
      </c>
      <c r="G15" s="203">
        <f ca="1">i_rankYOY_2!AL21</f>
        <v>21.9</v>
      </c>
      <c r="H15" s="212">
        <f ca="1">i_rankYOY_2!AM21</f>
        <v>5.6000000000000014</v>
      </c>
      <c r="I15" s="49">
        <f ca="1">i_rankYOY_2!AN21</f>
        <v>5.6000000000000014</v>
      </c>
      <c r="K15" s="49">
        <f ca="1">i_rankYOY_2!AX21</f>
        <v>1</v>
      </c>
      <c r="L15" s="191" t="str">
        <f ca="1">i_rankYOY_2!AY21</f>
        <v>=11</v>
      </c>
      <c r="M15" s="54" t="str">
        <f ca="1">i_rankYOY_2!AZ21</f>
        <v>Paraguay</v>
      </c>
      <c r="N15" s="53">
        <f ca="1">i_rankYOY_2!BA21</f>
        <v>25</v>
      </c>
      <c r="O15" s="203">
        <f ca="1">i_rankYOY_2!BB21</f>
        <v>25</v>
      </c>
      <c r="P15" s="212" t="str">
        <f ca="1">i_rankYOY_2!BC21</f>
        <v>-</v>
      </c>
      <c r="Q15" s="92">
        <f ca="1">i_rankYOY_2!BD21</f>
        <v>0</v>
      </c>
      <c r="S15" s="49">
        <f ca="1">i_rankYOY_2!BN21</f>
        <v>1</v>
      </c>
      <c r="T15" s="191">
        <f ca="1">i_rankYOY_2!BO21</f>
        <v>12</v>
      </c>
      <c r="U15" s="54" t="str">
        <f ca="1">i_rankYOY_2!BP21</f>
        <v>Jamaica</v>
      </c>
      <c r="V15" s="53">
        <f ca="1">i_rankYOY_2!BQ21</f>
        <v>25</v>
      </c>
      <c r="W15" s="203">
        <f ca="1">i_rankYOY_2!BR21</f>
        <v>37.5</v>
      </c>
      <c r="X15" s="212">
        <f ca="1">i_rankYOY_2!BS21</f>
        <v>-12.5</v>
      </c>
      <c r="Y15" s="92">
        <f ca="1">i_rankYOY_2!BT21</f>
        <v>-12.5</v>
      </c>
      <c r="AA15" s="49">
        <f ca="1">i_rankYOY_2!CD21</f>
        <v>1</v>
      </c>
      <c r="AB15" s="191">
        <f ca="1">i_rankYOY_2!CE21</f>
        <v>12</v>
      </c>
      <c r="AC15" s="54" t="str">
        <f ca="1">i_rankYOY_2!CF21</f>
        <v>Uruguay</v>
      </c>
      <c r="AD15" s="53">
        <f ca="1">i_rankYOY_2!CG21</f>
        <v>19.3</v>
      </c>
      <c r="AE15" s="203">
        <f ca="1">i_rankYOY_2!CH21</f>
        <v>13.3</v>
      </c>
      <c r="AF15" s="212">
        <f ca="1">i_rankYOY_2!CI21</f>
        <v>6</v>
      </c>
      <c r="AG15" s="92">
        <f ca="1">i_rankYOY_2!CJ21</f>
        <v>6</v>
      </c>
      <c r="AI15" s="49">
        <f ca="1">i_rankYOY_2!CT21</f>
        <v>1</v>
      </c>
      <c r="AJ15" s="191">
        <f ca="1">i_rankYOY_2!CU21</f>
        <v>12</v>
      </c>
      <c r="AK15" s="54" t="str">
        <f ca="1">i_rankYOY_2!CV21</f>
        <v>El Salvador</v>
      </c>
      <c r="AL15" s="53">
        <f ca="1">i_rankYOY_2!CW21</f>
        <v>40.299999999999997</v>
      </c>
      <c r="AM15" s="203">
        <f ca="1">i_rankYOY_2!CX21</f>
        <v>58.4</v>
      </c>
      <c r="AN15" s="212">
        <f ca="1">i_rankYOY_2!CY21</f>
        <v>-18.100000000000001</v>
      </c>
      <c r="AO15" s="92">
        <f ca="1">i_rankYOY_2!CZ21</f>
        <v>-18.100000000000001</v>
      </c>
      <c r="AQ15" s="49">
        <f ca="1">i_rankYOY_2!DJ21</f>
        <v>1</v>
      </c>
      <c r="AR15" s="191">
        <f ca="1">i_rankYOY_2!DK21</f>
        <v>12</v>
      </c>
      <c r="AS15" s="54" t="str">
        <f ca="1">i_rankYOY_2!DL21</f>
        <v>Uruguay</v>
      </c>
      <c r="AT15" s="53">
        <f ca="1">i_rankYOY_2!DM21</f>
        <v>30.6</v>
      </c>
      <c r="AU15" s="203">
        <f ca="1">i_rankYOY_2!DN21</f>
        <v>25</v>
      </c>
      <c r="AV15" s="212">
        <f ca="1">i_rankYOY_2!DO21</f>
        <v>5.6000000000000014</v>
      </c>
      <c r="AW15" s="92">
        <f ca="1">i_rankYOY_2!DP21</f>
        <v>5.6000000000000014</v>
      </c>
      <c r="AY15" s="49">
        <f ca="1">i_rankYOY_2!DZ21</f>
        <v>1</v>
      </c>
    </row>
    <row r="16" spans="1:51">
      <c r="C16" s="49">
        <f ca="1">i_rankYOY_2!AH22</f>
        <v>1</v>
      </c>
      <c r="D16" s="191">
        <f ca="1">i_rankYOY_2!AI22</f>
        <v>13</v>
      </c>
      <c r="E16" s="54" t="str">
        <f ca="1">i_rankYOY_2!AJ22</f>
        <v>Jamaica</v>
      </c>
      <c r="F16" s="53">
        <f ca="1">i_rankYOY_2!AK22</f>
        <v>25.4</v>
      </c>
      <c r="G16" s="203">
        <f ca="1">i_rankYOY_2!AL22</f>
        <v>25.1</v>
      </c>
      <c r="H16" s="212">
        <f ca="1">i_rankYOY_2!AM22</f>
        <v>0.29999999999999716</v>
      </c>
      <c r="I16" s="49">
        <f ca="1">i_rankYOY_2!AN22</f>
        <v>0.29999999999999716</v>
      </c>
      <c r="K16" s="49">
        <f ca="1">i_rankYOY_2!AX22</f>
        <v>1</v>
      </c>
      <c r="L16" s="191" t="str">
        <f ca="1">i_rankYOY_2!AY22</f>
        <v>=11</v>
      </c>
      <c r="M16" s="54" t="str">
        <f ca="1">i_rankYOY_2!AZ22</f>
        <v>Trinidad &amp; Tobago</v>
      </c>
      <c r="N16" s="53">
        <f ca="1">i_rankYOY_2!BA22</f>
        <v>25</v>
      </c>
      <c r="O16" s="203">
        <f ca="1">i_rankYOY_2!BB22</f>
        <v>25</v>
      </c>
      <c r="P16" s="212" t="str">
        <f ca="1">i_rankYOY_2!BC22</f>
        <v>-</v>
      </c>
      <c r="Q16" s="92">
        <f ca="1">i_rankYOY_2!BD22</f>
        <v>0</v>
      </c>
      <c r="S16" s="49">
        <f ca="1">i_rankYOY_2!BN22</f>
        <v>1</v>
      </c>
      <c r="T16" s="191" t="str">
        <f ca="1">i_rankYOY_2!BO22</f>
        <v>=13</v>
      </c>
      <c r="U16" s="54" t="str">
        <f ca="1">i_rankYOY_2!BP22</f>
        <v>Nicaragua</v>
      </c>
      <c r="V16" s="53">
        <f ca="1">i_rankYOY_2!BQ22</f>
        <v>25</v>
      </c>
      <c r="W16" s="203">
        <f ca="1">i_rankYOY_2!BR22</f>
        <v>12.5</v>
      </c>
      <c r="X16" s="212">
        <f ca="1">i_rankYOY_2!BS22</f>
        <v>12.5</v>
      </c>
      <c r="Y16" s="92">
        <f ca="1">i_rankYOY_2!BT22</f>
        <v>12.5</v>
      </c>
      <c r="AA16" s="49">
        <f ca="1">i_rankYOY_2!CD22</f>
        <v>1</v>
      </c>
      <c r="AB16" s="191">
        <f ca="1">i_rankYOY_2!CE22</f>
        <v>13</v>
      </c>
      <c r="AC16" s="54" t="str">
        <f ca="1">i_rankYOY_2!CF22</f>
        <v>Argentina</v>
      </c>
      <c r="AD16" s="53">
        <f ca="1">i_rankYOY_2!CG22</f>
        <v>16.7</v>
      </c>
      <c r="AE16" s="203">
        <f ca="1">i_rankYOY_2!CH22</f>
        <v>16.8</v>
      </c>
      <c r="AF16" s="212">
        <f ca="1">i_rankYOY_2!CI22</f>
        <v>-0.10000000000000142</v>
      </c>
      <c r="AG16" s="92">
        <f ca="1">i_rankYOY_2!CJ22</f>
        <v>-0.10000000000000142</v>
      </c>
      <c r="AI16" s="49">
        <f ca="1">i_rankYOY_2!CT22</f>
        <v>1</v>
      </c>
      <c r="AJ16" s="191">
        <f ca="1">i_rankYOY_2!CU22</f>
        <v>13</v>
      </c>
      <c r="AK16" s="54" t="str">
        <f ca="1">i_rankYOY_2!CV22</f>
        <v>Trinidad &amp; Tobago</v>
      </c>
      <c r="AL16" s="53">
        <f ca="1">i_rankYOY_2!CW22</f>
        <v>39.9</v>
      </c>
      <c r="AM16" s="203">
        <f ca="1">i_rankYOY_2!CX22</f>
        <v>64.3</v>
      </c>
      <c r="AN16" s="212">
        <f ca="1">i_rankYOY_2!CY22</f>
        <v>-24.4</v>
      </c>
      <c r="AO16" s="92">
        <f ca="1">i_rankYOY_2!CZ22</f>
        <v>-24.4</v>
      </c>
      <c r="AQ16" s="49">
        <f ca="1">i_rankYOY_2!DJ22</f>
        <v>1</v>
      </c>
      <c r="AR16" s="191">
        <f ca="1">i_rankYOY_2!DK22</f>
        <v>13</v>
      </c>
      <c r="AS16" s="54" t="str">
        <f ca="1">i_rankYOY_2!DL22</f>
        <v>Paraguay</v>
      </c>
      <c r="AT16" s="53">
        <f ca="1">i_rankYOY_2!DM22</f>
        <v>25</v>
      </c>
      <c r="AU16" s="203">
        <f ca="1">i_rankYOY_2!DN22</f>
        <v>25</v>
      </c>
      <c r="AV16" s="212" t="str">
        <f ca="1">i_rankYOY_2!DO22</f>
        <v>-</v>
      </c>
      <c r="AW16" s="92">
        <f ca="1">i_rankYOY_2!DP22</f>
        <v>0</v>
      </c>
      <c r="AY16" s="49">
        <f ca="1">i_rankYOY_2!DZ22</f>
        <v>1</v>
      </c>
    </row>
    <row r="17" spans="3:51">
      <c r="C17" s="49">
        <f ca="1">i_rankYOY_2!AH23</f>
        <v>1</v>
      </c>
      <c r="D17" s="191">
        <f ca="1">i_rankYOY_2!AI23</f>
        <v>14</v>
      </c>
      <c r="E17" s="54" t="str">
        <f ca="1">i_rankYOY_2!AJ23</f>
        <v>Honduras</v>
      </c>
      <c r="F17" s="53">
        <f ca="1">i_rankYOY_2!AK23</f>
        <v>24.6</v>
      </c>
      <c r="G17" s="203">
        <f ca="1">i_rankYOY_2!AL23</f>
        <v>23.7</v>
      </c>
      <c r="H17" s="212">
        <f ca="1">i_rankYOY_2!AM23</f>
        <v>0.90000000000000213</v>
      </c>
      <c r="I17" s="49">
        <f ca="1">i_rankYOY_2!AN23</f>
        <v>0.90000000000000213</v>
      </c>
      <c r="K17" s="49">
        <f ca="1">i_rankYOY_2!AX23</f>
        <v>1</v>
      </c>
      <c r="L17" s="191">
        <f ca="1">i_rankYOY_2!AY23</f>
        <v>14</v>
      </c>
      <c r="M17" s="54" t="str">
        <f ca="1">i_rankYOY_2!AZ23</f>
        <v>Argentina</v>
      </c>
      <c r="N17" s="53">
        <f ca="1">i_rankYOY_2!BA23</f>
        <v>21.9</v>
      </c>
      <c r="O17" s="203">
        <f ca="1">i_rankYOY_2!BB23</f>
        <v>27.8</v>
      </c>
      <c r="P17" s="212">
        <f ca="1">i_rankYOY_2!BC23</f>
        <v>-5.9000000000000021</v>
      </c>
      <c r="Q17" s="92">
        <f ca="1">i_rankYOY_2!BD23</f>
        <v>-5.9000000000000021</v>
      </c>
      <c r="S17" s="49">
        <f ca="1">i_rankYOY_2!BN23</f>
        <v>1</v>
      </c>
      <c r="T17" s="191" t="str">
        <f ca="1">i_rankYOY_2!BO23</f>
        <v>=13</v>
      </c>
      <c r="U17" s="54" t="str">
        <f ca="1">i_rankYOY_2!BP23</f>
        <v>Panama</v>
      </c>
      <c r="V17" s="53">
        <f ca="1">i_rankYOY_2!BQ23</f>
        <v>25</v>
      </c>
      <c r="W17" s="203">
        <f ca="1">i_rankYOY_2!BR23</f>
        <v>12.5</v>
      </c>
      <c r="X17" s="212">
        <f ca="1">i_rankYOY_2!BS23</f>
        <v>12.5</v>
      </c>
      <c r="Y17" s="92">
        <f ca="1">i_rankYOY_2!BT23</f>
        <v>12.5</v>
      </c>
      <c r="AA17" s="49">
        <f ca="1">i_rankYOY_2!CD23</f>
        <v>1</v>
      </c>
      <c r="AB17" s="191">
        <f ca="1">i_rankYOY_2!CE23</f>
        <v>14</v>
      </c>
      <c r="AC17" s="54" t="str">
        <f ca="1">i_rankYOY_2!CF23</f>
        <v>Paraguay</v>
      </c>
      <c r="AD17" s="53">
        <f ca="1">i_rankYOY_2!CG23</f>
        <v>15.6</v>
      </c>
      <c r="AE17" s="203">
        <f ca="1">i_rankYOY_2!CH23</f>
        <v>8.5</v>
      </c>
      <c r="AF17" s="212">
        <f ca="1">i_rankYOY_2!CI23</f>
        <v>7.1</v>
      </c>
      <c r="AG17" s="92">
        <f ca="1">i_rankYOY_2!CJ23</f>
        <v>7.1</v>
      </c>
      <c r="AI17" s="49">
        <f ca="1">i_rankYOY_2!CT23</f>
        <v>1</v>
      </c>
      <c r="AJ17" s="191">
        <f ca="1">i_rankYOY_2!CU23</f>
        <v>14</v>
      </c>
      <c r="AK17" s="54" t="str">
        <f ca="1">i_rankYOY_2!CV23</f>
        <v>Jamaica</v>
      </c>
      <c r="AL17" s="53">
        <f ca="1">i_rankYOY_2!CW23</f>
        <v>35.9</v>
      </c>
      <c r="AM17" s="203">
        <f ca="1">i_rankYOY_2!CX23</f>
        <v>13.3</v>
      </c>
      <c r="AN17" s="212">
        <f ca="1">i_rankYOY_2!CY23</f>
        <v>22.599999999999998</v>
      </c>
      <c r="AO17" s="92">
        <f ca="1">i_rankYOY_2!CZ23</f>
        <v>22.599999999999998</v>
      </c>
      <c r="AQ17" s="49">
        <f ca="1">i_rankYOY_2!DJ23</f>
        <v>1</v>
      </c>
      <c r="AR17" s="191">
        <f ca="1">i_rankYOY_2!DK23</f>
        <v>14</v>
      </c>
      <c r="AS17" s="54" t="str">
        <f ca="1">i_rankYOY_2!DL23</f>
        <v>Guatemala</v>
      </c>
      <c r="AT17" s="53">
        <f ca="1">i_rankYOY_2!DM23</f>
        <v>22.2</v>
      </c>
      <c r="AU17" s="203">
        <f ca="1">i_rankYOY_2!DN23</f>
        <v>29.2</v>
      </c>
      <c r="AV17" s="212">
        <f ca="1">i_rankYOY_2!DO23</f>
        <v>-7</v>
      </c>
      <c r="AW17" s="92">
        <f ca="1">i_rankYOY_2!DP23</f>
        <v>-7</v>
      </c>
      <c r="AY17" s="49">
        <f ca="1">i_rankYOY_2!DZ23</f>
        <v>1</v>
      </c>
    </row>
    <row r="18" spans="3:51">
      <c r="C18" s="49">
        <f ca="1">i_rankYOY_2!AH24</f>
        <v>1</v>
      </c>
      <c r="D18" s="191">
        <f ca="1">i_rankYOY_2!AI24</f>
        <v>15</v>
      </c>
      <c r="E18" s="54" t="str">
        <f ca="1">i_rankYOY_2!AJ24</f>
        <v>Paraguay</v>
      </c>
      <c r="F18" s="53">
        <f ca="1">i_rankYOY_2!AK24</f>
        <v>24.5</v>
      </c>
      <c r="G18" s="203">
        <f ca="1">i_rankYOY_2!AL24</f>
        <v>22.3</v>
      </c>
      <c r="H18" s="212">
        <f ca="1">i_rankYOY_2!AM24</f>
        <v>2.1999999999999993</v>
      </c>
      <c r="I18" s="49">
        <f ca="1">i_rankYOY_2!AN24</f>
        <v>2.1999999999999993</v>
      </c>
      <c r="K18" s="49">
        <f ca="1">i_rankYOY_2!AX24</f>
        <v>1</v>
      </c>
      <c r="L18" s="191">
        <f ca="1">i_rankYOY_2!AY24</f>
        <v>15</v>
      </c>
      <c r="M18" s="54" t="str">
        <f ca="1">i_rankYOY_2!AZ24</f>
        <v>Dominican Rep.</v>
      </c>
      <c r="N18" s="53">
        <f ca="1">i_rankYOY_2!BA24</f>
        <v>21.9</v>
      </c>
      <c r="O18" s="203">
        <f ca="1">i_rankYOY_2!BB24</f>
        <v>16.7</v>
      </c>
      <c r="P18" s="212">
        <f ca="1">i_rankYOY_2!BC24</f>
        <v>5.1999999999999993</v>
      </c>
      <c r="Q18" s="92">
        <f ca="1">i_rankYOY_2!BD24</f>
        <v>5.1999999999999993</v>
      </c>
      <c r="S18" s="49">
        <f ca="1">i_rankYOY_2!BN24</f>
        <v>1</v>
      </c>
      <c r="T18" s="191" t="str">
        <f ca="1">i_rankYOY_2!BO24</f>
        <v>=15</v>
      </c>
      <c r="U18" s="54" t="str">
        <f ca="1">i_rankYOY_2!BP24</f>
        <v>Paraguay</v>
      </c>
      <c r="V18" s="53">
        <f ca="1">i_rankYOY_2!BQ24</f>
        <v>25</v>
      </c>
      <c r="W18" s="203">
        <f ca="1">i_rankYOY_2!BR24</f>
        <v>25</v>
      </c>
      <c r="X18" s="212" t="str">
        <f ca="1">i_rankYOY_2!BS24</f>
        <v>-</v>
      </c>
      <c r="Y18" s="92">
        <f ca="1">i_rankYOY_2!BT24</f>
        <v>0</v>
      </c>
      <c r="AA18" s="49">
        <f ca="1">i_rankYOY_2!CD24</f>
        <v>1</v>
      </c>
      <c r="AB18" s="191">
        <f ca="1">i_rankYOY_2!CE24</f>
        <v>15</v>
      </c>
      <c r="AC18" s="54" t="str">
        <f ca="1">i_rankYOY_2!CF24</f>
        <v>Dominican Rep.</v>
      </c>
      <c r="AD18" s="53">
        <f ca="1">i_rankYOY_2!CG24</f>
        <v>14</v>
      </c>
      <c r="AE18" s="203">
        <f ca="1">i_rankYOY_2!CH24</f>
        <v>38.6</v>
      </c>
      <c r="AF18" s="212">
        <f ca="1">i_rankYOY_2!CI24</f>
        <v>-24.6</v>
      </c>
      <c r="AG18" s="92">
        <f ca="1">i_rankYOY_2!CJ24</f>
        <v>-24.6</v>
      </c>
      <c r="AI18" s="49">
        <f ca="1">i_rankYOY_2!CT24</f>
        <v>1</v>
      </c>
      <c r="AJ18" s="191">
        <f ca="1">i_rankYOY_2!CU24</f>
        <v>15</v>
      </c>
      <c r="AK18" s="54" t="str">
        <f ca="1">i_rankYOY_2!CV24</f>
        <v>Paraguay</v>
      </c>
      <c r="AL18" s="53">
        <f ca="1">i_rankYOY_2!CW24</f>
        <v>31.4</v>
      </c>
      <c r="AM18" s="203">
        <f ca="1">i_rankYOY_2!CX24</f>
        <v>59.4</v>
      </c>
      <c r="AN18" s="212">
        <f ca="1">i_rankYOY_2!CY24</f>
        <v>-28</v>
      </c>
      <c r="AO18" s="92">
        <f ca="1">i_rankYOY_2!CZ24</f>
        <v>-28</v>
      </c>
      <c r="AQ18" s="49">
        <f ca="1">i_rankYOY_2!DJ24</f>
        <v>1</v>
      </c>
      <c r="AR18" s="191">
        <f ca="1">i_rankYOY_2!DK24</f>
        <v>15</v>
      </c>
      <c r="AS18" s="54" t="str">
        <f ca="1">i_rankYOY_2!DL24</f>
        <v>Ecuador</v>
      </c>
      <c r="AT18" s="53">
        <f ca="1">i_rankYOY_2!DM24</f>
        <v>16.7</v>
      </c>
      <c r="AU18" s="203">
        <f ca="1">i_rankYOY_2!DN24</f>
        <v>16.7</v>
      </c>
      <c r="AV18" s="212" t="str">
        <f ca="1">i_rankYOY_2!DO24</f>
        <v>-</v>
      </c>
      <c r="AW18" s="92">
        <f ca="1">i_rankYOY_2!DP24</f>
        <v>0</v>
      </c>
      <c r="AY18" s="49">
        <f ca="1">i_rankYOY_2!DZ24</f>
        <v>1</v>
      </c>
    </row>
    <row r="19" spans="3:51">
      <c r="C19" s="49">
        <f ca="1">i_rankYOY_2!AH25</f>
        <v>1</v>
      </c>
      <c r="D19" s="191">
        <f ca="1">i_rankYOY_2!AI25</f>
        <v>16</v>
      </c>
      <c r="E19" s="54" t="str">
        <f ca="1">i_rankYOY_2!AJ25</f>
        <v>Dominican Rep.</v>
      </c>
      <c r="F19" s="53">
        <f ca="1">i_rankYOY_2!AK25</f>
        <v>23.7</v>
      </c>
      <c r="G19" s="203">
        <f ca="1">i_rankYOY_2!AL25</f>
        <v>25.2</v>
      </c>
      <c r="H19" s="212">
        <f ca="1">i_rankYOY_2!AM25</f>
        <v>-1.5</v>
      </c>
      <c r="I19" s="49">
        <f ca="1">i_rankYOY_2!AN25</f>
        <v>-1.5</v>
      </c>
      <c r="K19" s="49">
        <f ca="1">i_rankYOY_2!AX25</f>
        <v>1</v>
      </c>
      <c r="L19" s="191">
        <f ca="1">i_rankYOY_2!AY25</f>
        <v>16</v>
      </c>
      <c r="M19" s="54" t="str">
        <f ca="1">i_rankYOY_2!AZ25</f>
        <v>Nicaragua</v>
      </c>
      <c r="N19" s="53">
        <f ca="1">i_rankYOY_2!BA25</f>
        <v>21.9</v>
      </c>
      <c r="O19" s="203">
        <f ca="1">i_rankYOY_2!BB25</f>
        <v>5.6</v>
      </c>
      <c r="P19" s="212">
        <f ca="1">i_rankYOY_2!BC25</f>
        <v>16.299999999999997</v>
      </c>
      <c r="Q19" s="92">
        <f ca="1">i_rankYOY_2!BD25</f>
        <v>16.299999999999997</v>
      </c>
      <c r="S19" s="49">
        <f ca="1">i_rankYOY_2!BN25</f>
        <v>1</v>
      </c>
      <c r="T19" s="191" t="str">
        <f ca="1">i_rankYOY_2!BO25</f>
        <v>=15</v>
      </c>
      <c r="U19" s="54" t="str">
        <f ca="1">i_rankYOY_2!BP25</f>
        <v>Trinidad &amp; Tobago</v>
      </c>
      <c r="V19" s="53">
        <f ca="1">i_rankYOY_2!BQ25</f>
        <v>25</v>
      </c>
      <c r="W19" s="203">
        <f ca="1">i_rankYOY_2!BR25</f>
        <v>25</v>
      </c>
      <c r="X19" s="212" t="str">
        <f ca="1">i_rankYOY_2!BS25</f>
        <v>-</v>
      </c>
      <c r="Y19" s="92">
        <f ca="1">i_rankYOY_2!BT25</f>
        <v>0</v>
      </c>
      <c r="AA19" s="49">
        <f ca="1">i_rankYOY_2!CD25</f>
        <v>1</v>
      </c>
      <c r="AB19" s="191">
        <f ca="1">i_rankYOY_2!CE25</f>
        <v>16</v>
      </c>
      <c r="AC19" s="54" t="str">
        <f ca="1">i_rankYOY_2!CF25</f>
        <v>Nicaragua</v>
      </c>
      <c r="AD19" s="53">
        <f ca="1">i_rankYOY_2!CG25</f>
        <v>13.1</v>
      </c>
      <c r="AE19" s="203">
        <f ca="1">i_rankYOY_2!CH25</f>
        <v>8.5</v>
      </c>
      <c r="AF19" s="212">
        <f ca="1">i_rankYOY_2!CI25</f>
        <v>4.5999999999999996</v>
      </c>
      <c r="AG19" s="92">
        <f ca="1">i_rankYOY_2!CJ25</f>
        <v>4.5999999999999996</v>
      </c>
      <c r="AI19" s="49">
        <f ca="1">i_rankYOY_2!CT25</f>
        <v>1</v>
      </c>
      <c r="AJ19" s="191">
        <f ca="1">i_rankYOY_2!CU25</f>
        <v>16</v>
      </c>
      <c r="AK19" s="54" t="str">
        <f ca="1">i_rankYOY_2!CV25</f>
        <v>Argentina</v>
      </c>
      <c r="AL19" s="53">
        <f ca="1">i_rankYOY_2!CW25</f>
        <v>19</v>
      </c>
      <c r="AM19" s="203">
        <f ca="1">i_rankYOY_2!CX25</f>
        <v>51.6</v>
      </c>
      <c r="AN19" s="212">
        <f ca="1">i_rankYOY_2!CY25</f>
        <v>-32.6</v>
      </c>
      <c r="AO19" s="92">
        <f ca="1">i_rankYOY_2!CZ25</f>
        <v>-32.6</v>
      </c>
      <c r="AQ19" s="49">
        <f ca="1">i_rankYOY_2!DJ25</f>
        <v>1</v>
      </c>
      <c r="AR19" s="191">
        <f ca="1">i_rankYOY_2!DK25</f>
        <v>16</v>
      </c>
      <c r="AS19" s="54" t="str">
        <f ca="1">i_rankYOY_2!DL25</f>
        <v>Jamaica</v>
      </c>
      <c r="AT19" s="53">
        <f ca="1">i_rankYOY_2!DM25</f>
        <v>16.7</v>
      </c>
      <c r="AU19" s="203">
        <f ca="1">i_rankYOY_2!DN25</f>
        <v>12.5</v>
      </c>
      <c r="AV19" s="212">
        <f ca="1">i_rankYOY_2!DO25</f>
        <v>4.1999999999999993</v>
      </c>
      <c r="AW19" s="92">
        <f ca="1">i_rankYOY_2!DP25</f>
        <v>4.1999999999999993</v>
      </c>
      <c r="AY19" s="49">
        <f ca="1">i_rankYOY_2!DZ25</f>
        <v>1</v>
      </c>
    </row>
    <row r="20" spans="3:51">
      <c r="C20" s="49">
        <f ca="1">i_rankYOY_2!AH26</f>
        <v>1</v>
      </c>
      <c r="D20" s="191">
        <f ca="1">i_rankYOY_2!AI26</f>
        <v>17</v>
      </c>
      <c r="E20" s="54" t="str">
        <f ca="1">i_rankYOY_2!AJ26</f>
        <v>Nicaragua</v>
      </c>
      <c r="F20" s="53">
        <f ca="1">i_rankYOY_2!AK26</f>
        <v>16</v>
      </c>
      <c r="G20" s="203">
        <f ca="1">i_rankYOY_2!AL26</f>
        <v>10</v>
      </c>
      <c r="H20" s="212">
        <f ca="1">i_rankYOY_2!AM26</f>
        <v>6</v>
      </c>
      <c r="I20" s="49">
        <f ca="1">i_rankYOY_2!AN26</f>
        <v>6</v>
      </c>
      <c r="K20" s="49">
        <f ca="1">i_rankYOY_2!AX26</f>
        <v>1</v>
      </c>
      <c r="L20" s="191">
        <f ca="1">i_rankYOY_2!AY26</f>
        <v>17</v>
      </c>
      <c r="M20" s="54" t="str">
        <f ca="1">i_rankYOY_2!AZ26</f>
        <v>Honduras</v>
      </c>
      <c r="N20" s="53">
        <f ca="1">i_rankYOY_2!BA26</f>
        <v>15.6</v>
      </c>
      <c r="O20" s="203">
        <f ca="1">i_rankYOY_2!BB26</f>
        <v>16.7</v>
      </c>
      <c r="P20" s="212">
        <f ca="1">i_rankYOY_2!BC26</f>
        <v>-1.0999999999999996</v>
      </c>
      <c r="Q20" s="92">
        <f ca="1">i_rankYOY_2!BD26</f>
        <v>-1.0999999999999996</v>
      </c>
      <c r="S20" s="49">
        <f ca="1">i_rankYOY_2!BN26</f>
        <v>1</v>
      </c>
      <c r="T20" s="191">
        <f ca="1">i_rankYOY_2!BO26</f>
        <v>17</v>
      </c>
      <c r="U20" s="54" t="str">
        <f ca="1">i_rankYOY_2!BP26</f>
        <v>Dominican Rep.</v>
      </c>
      <c r="V20" s="53">
        <f ca="1">i_rankYOY_2!BQ26</f>
        <v>8.3000000000000007</v>
      </c>
      <c r="W20" s="203">
        <f ca="1">i_rankYOY_2!BR26</f>
        <v>25</v>
      </c>
      <c r="X20" s="212">
        <f ca="1">i_rankYOY_2!BS26</f>
        <v>-16.7</v>
      </c>
      <c r="Y20" s="92">
        <f ca="1">i_rankYOY_2!BT26</f>
        <v>-16.7</v>
      </c>
      <c r="AA20" s="49">
        <f ca="1">i_rankYOY_2!CD26</f>
        <v>1</v>
      </c>
      <c r="AB20" s="191">
        <f ca="1">i_rankYOY_2!CE26</f>
        <v>17</v>
      </c>
      <c r="AC20" s="54" t="str">
        <f ca="1">i_rankYOY_2!CF26</f>
        <v>Panama</v>
      </c>
      <c r="AD20" s="53">
        <f ca="1">i_rankYOY_2!CG26</f>
        <v>13.1</v>
      </c>
      <c r="AE20" s="203">
        <f ca="1">i_rankYOY_2!CH26</f>
        <v>8.8000000000000007</v>
      </c>
      <c r="AF20" s="212">
        <f ca="1">i_rankYOY_2!CI26</f>
        <v>4.2999999999999989</v>
      </c>
      <c r="AG20" s="92">
        <f ca="1">i_rankYOY_2!CJ26</f>
        <v>4.2999999999999989</v>
      </c>
      <c r="AI20" s="49">
        <f ca="1">i_rankYOY_2!CT26</f>
        <v>1</v>
      </c>
      <c r="AJ20" s="191">
        <f ca="1">i_rankYOY_2!CU26</f>
        <v>17</v>
      </c>
      <c r="AK20" s="54" t="str">
        <f ca="1">i_rankYOY_2!CV26</f>
        <v>Ecuador</v>
      </c>
      <c r="AL20" s="53">
        <f ca="1">i_rankYOY_2!CW26</f>
        <v>17.899999999999999</v>
      </c>
      <c r="AM20" s="203">
        <f ca="1">i_rankYOY_2!CX26</f>
        <v>38.4</v>
      </c>
      <c r="AN20" s="212">
        <f ca="1">i_rankYOY_2!CY26</f>
        <v>-20.5</v>
      </c>
      <c r="AO20" s="92">
        <f ca="1">i_rankYOY_2!CZ26</f>
        <v>-20.5</v>
      </c>
      <c r="AQ20" s="49">
        <f ca="1">i_rankYOY_2!DJ26</f>
        <v>1</v>
      </c>
      <c r="AR20" s="191">
        <f ca="1">i_rankYOY_2!DK26</f>
        <v>17</v>
      </c>
      <c r="AS20" s="54" t="str">
        <f ca="1">i_rankYOY_2!DL26</f>
        <v>Venezuela</v>
      </c>
      <c r="AT20" s="53">
        <f ca="1">i_rankYOY_2!DM26</f>
        <v>16.7</v>
      </c>
      <c r="AU20" s="203">
        <f ca="1">i_rankYOY_2!DN26</f>
        <v>20.8</v>
      </c>
      <c r="AV20" s="212">
        <f ca="1">i_rankYOY_2!DO26</f>
        <v>-4.1000000000000014</v>
      </c>
      <c r="AW20" s="92">
        <f ca="1">i_rankYOY_2!DP26</f>
        <v>-4.1000000000000014</v>
      </c>
      <c r="AY20" s="49">
        <f ca="1">i_rankYOY_2!DZ26</f>
        <v>1</v>
      </c>
    </row>
    <row r="21" spans="3:51">
      <c r="C21" s="49">
        <f ca="1">i_rankYOY_2!AH27</f>
        <v>1</v>
      </c>
      <c r="D21" s="191">
        <f ca="1">i_rankYOY_2!AI27</f>
        <v>18</v>
      </c>
      <c r="E21" s="54" t="str">
        <f ca="1">i_rankYOY_2!AJ27</f>
        <v>Ecuador</v>
      </c>
      <c r="F21" s="53">
        <f ca="1">i_rankYOY_2!AK27</f>
        <v>14.2</v>
      </c>
      <c r="G21" s="203">
        <f ca="1">i_rankYOY_2!AL27</f>
        <v>14.5</v>
      </c>
      <c r="H21" s="212">
        <f ca="1">i_rankYOY_2!AM27</f>
        <v>-0.30000000000000071</v>
      </c>
      <c r="I21" s="49">
        <f ca="1">i_rankYOY_2!AN27</f>
        <v>-0.30000000000000071</v>
      </c>
      <c r="K21" s="49">
        <f ca="1">i_rankYOY_2!AX27</f>
        <v>1</v>
      </c>
      <c r="L21" s="191">
        <f ca="1">i_rankYOY_2!AY27</f>
        <v>18</v>
      </c>
      <c r="M21" s="54" t="str">
        <f ca="1">i_rankYOY_2!AZ27</f>
        <v>Ecuador</v>
      </c>
      <c r="N21" s="53">
        <f ca="1">i_rankYOY_2!BA27</f>
        <v>6.3</v>
      </c>
      <c r="O21" s="203">
        <f ca="1">i_rankYOY_2!BB27</f>
        <v>5.6</v>
      </c>
      <c r="P21" s="212">
        <f ca="1">i_rankYOY_2!BC27</f>
        <v>0.70000000000000018</v>
      </c>
      <c r="Q21" s="92">
        <f ca="1">i_rankYOY_2!BD27</f>
        <v>0.70000000000000018</v>
      </c>
      <c r="S21" s="49">
        <f ca="1">i_rankYOY_2!BN27</f>
        <v>1</v>
      </c>
      <c r="T21" s="191" t="str">
        <f ca="1">i_rankYOY_2!BO27</f>
        <v>=18</v>
      </c>
      <c r="U21" s="54" t="str">
        <f ca="1">i_rankYOY_2!BP27</f>
        <v>Ecuador</v>
      </c>
      <c r="V21" s="53">
        <f ca="1">i_rankYOY_2!BQ27</f>
        <v>0</v>
      </c>
      <c r="W21" s="203">
        <f ca="1">i_rankYOY_2!BR27</f>
        <v>0</v>
      </c>
      <c r="X21" s="212" t="str">
        <f ca="1">i_rankYOY_2!BS27</f>
        <v>-</v>
      </c>
      <c r="Y21" s="92">
        <f ca="1">i_rankYOY_2!BT27</f>
        <v>0</v>
      </c>
      <c r="AA21" s="49">
        <f ca="1">i_rankYOY_2!CD27</f>
        <v>1</v>
      </c>
      <c r="AB21" s="191">
        <f ca="1">i_rankYOY_2!CE27</f>
        <v>18</v>
      </c>
      <c r="AC21" s="54" t="str">
        <f ca="1">i_rankYOY_2!CF27</f>
        <v>Trinidad &amp; Tobago</v>
      </c>
      <c r="AD21" s="53">
        <f ca="1">i_rankYOY_2!CG27</f>
        <v>9.5</v>
      </c>
      <c r="AE21" s="203">
        <f ca="1">i_rankYOY_2!CH27</f>
        <v>4.3</v>
      </c>
      <c r="AF21" s="212">
        <f ca="1">i_rankYOY_2!CI27</f>
        <v>5.2</v>
      </c>
      <c r="AG21" s="92">
        <f ca="1">i_rankYOY_2!CJ27</f>
        <v>5.2</v>
      </c>
      <c r="AI21" s="49">
        <f ca="1">i_rankYOY_2!CT27</f>
        <v>1</v>
      </c>
      <c r="AJ21" s="191">
        <f ca="1">i_rankYOY_2!CU27</f>
        <v>18</v>
      </c>
      <c r="AK21" s="54" t="str">
        <f ca="1">i_rankYOY_2!CV27</f>
        <v>Nicaragua</v>
      </c>
      <c r="AL21" s="53">
        <f ca="1">i_rankYOY_2!CW27</f>
        <v>15.6</v>
      </c>
      <c r="AM21" s="203">
        <f ca="1">i_rankYOY_2!CX27</f>
        <v>53.7</v>
      </c>
      <c r="AN21" s="212">
        <f ca="1">i_rankYOY_2!CY27</f>
        <v>-38.1</v>
      </c>
      <c r="AO21" s="92">
        <f ca="1">i_rankYOY_2!CZ27</f>
        <v>-38.1</v>
      </c>
      <c r="AQ21" s="49">
        <f ca="1">i_rankYOY_2!DJ27</f>
        <v>1</v>
      </c>
      <c r="AR21" s="191">
        <f ca="1">i_rankYOY_2!DK27</f>
        <v>18</v>
      </c>
      <c r="AS21" s="54" t="str">
        <f ca="1">i_rankYOY_2!DL27</f>
        <v>Honduras</v>
      </c>
      <c r="AT21" s="53">
        <f ca="1">i_rankYOY_2!DM27</f>
        <v>11.1</v>
      </c>
      <c r="AU21" s="203">
        <f ca="1">i_rankYOY_2!DN27</f>
        <v>8.3000000000000007</v>
      </c>
      <c r="AV21" s="212">
        <f ca="1">i_rankYOY_2!DO27</f>
        <v>2.7999999999999989</v>
      </c>
      <c r="AW21" s="92">
        <f ca="1">i_rankYOY_2!DP27</f>
        <v>2.7999999999999989</v>
      </c>
      <c r="AY21" s="49">
        <f ca="1">i_rankYOY_2!DZ27</f>
        <v>1</v>
      </c>
    </row>
    <row r="22" spans="3:51">
      <c r="C22" s="49">
        <f ca="1">i_rankYOY_2!AH28</f>
        <v>1</v>
      </c>
      <c r="D22" s="191">
        <f ca="1">i_rankYOY_2!AI28</f>
        <v>19</v>
      </c>
      <c r="E22" s="54" t="str">
        <f ca="1">i_rankYOY_2!AJ28</f>
        <v>Venezuela</v>
      </c>
      <c r="F22" s="53">
        <f ca="1">i_rankYOY_2!AK28</f>
        <v>4.2</v>
      </c>
      <c r="G22" s="203">
        <f ca="1">i_rankYOY_2!AL28</f>
        <v>7.1</v>
      </c>
      <c r="H22" s="212">
        <f ca="1">i_rankYOY_2!AM28</f>
        <v>-2.8999999999999995</v>
      </c>
      <c r="I22" s="49">
        <f ca="1">i_rankYOY_2!AN28</f>
        <v>-2.8999999999999995</v>
      </c>
      <c r="K22" s="49">
        <f ca="1">i_rankYOY_2!AX28</f>
        <v>1</v>
      </c>
      <c r="L22" s="191">
        <f ca="1">i_rankYOY_2!AY28</f>
        <v>19</v>
      </c>
      <c r="M22" s="54" t="str">
        <f ca="1">i_rankYOY_2!AZ28</f>
        <v>Venezuela</v>
      </c>
      <c r="N22" s="53">
        <f ca="1">i_rankYOY_2!BA28</f>
        <v>0</v>
      </c>
      <c r="O22" s="203">
        <f ca="1">i_rankYOY_2!BB28</f>
        <v>8.3000000000000007</v>
      </c>
      <c r="P22" s="212">
        <f ca="1">i_rankYOY_2!BC28</f>
        <v>-8.3000000000000007</v>
      </c>
      <c r="Q22" s="92">
        <f ca="1">i_rankYOY_2!BD28</f>
        <v>-8.3000000000000007</v>
      </c>
      <c r="S22" s="49">
        <f ca="1">i_rankYOY_2!BN28</f>
        <v>1</v>
      </c>
      <c r="T22" s="191" t="str">
        <f ca="1">i_rankYOY_2!BO28</f>
        <v>=18</v>
      </c>
      <c r="U22" s="54" t="str">
        <f ca="1">i_rankYOY_2!BP28</f>
        <v>Venezuela</v>
      </c>
      <c r="V22" s="53">
        <f ca="1">i_rankYOY_2!BQ28</f>
        <v>0</v>
      </c>
      <c r="W22" s="203">
        <f ca="1">i_rankYOY_2!BR28</f>
        <v>0</v>
      </c>
      <c r="X22" s="212" t="str">
        <f ca="1">i_rankYOY_2!BS28</f>
        <v>-</v>
      </c>
      <c r="Y22" s="92">
        <f ca="1">i_rankYOY_2!BT28</f>
        <v>0</v>
      </c>
      <c r="AA22" s="49">
        <f ca="1">i_rankYOY_2!CD28</f>
        <v>1</v>
      </c>
      <c r="AB22" s="191">
        <f ca="1">i_rankYOY_2!CE28</f>
        <v>19</v>
      </c>
      <c r="AC22" s="54" t="str">
        <f ca="1">i_rankYOY_2!CF28</f>
        <v>Venezuela</v>
      </c>
      <c r="AD22" s="53">
        <f ca="1">i_rankYOY_2!CG28</f>
        <v>0.6</v>
      </c>
      <c r="AE22" s="203">
        <f ca="1">i_rankYOY_2!CH28</f>
        <v>4.8</v>
      </c>
      <c r="AF22" s="212">
        <f ca="1">i_rankYOY_2!CI28</f>
        <v>-4.2</v>
      </c>
      <c r="AG22" s="92">
        <f ca="1">i_rankYOY_2!CJ28</f>
        <v>-4.2</v>
      </c>
      <c r="AI22" s="49">
        <f ca="1">i_rankYOY_2!CT28</f>
        <v>1</v>
      </c>
      <c r="AJ22" s="191">
        <f ca="1">i_rankYOY_2!CU28</f>
        <v>19</v>
      </c>
      <c r="AK22" s="54" t="str">
        <f ca="1">i_rankYOY_2!CV28</f>
        <v>Venezuela</v>
      </c>
      <c r="AL22" s="53">
        <f ca="1">i_rankYOY_2!CW28</f>
        <v>10.5</v>
      </c>
      <c r="AM22" s="203">
        <f ca="1">i_rankYOY_2!CX28</f>
        <v>37.1</v>
      </c>
      <c r="AN22" s="212">
        <f ca="1">i_rankYOY_2!CY28</f>
        <v>-26.6</v>
      </c>
      <c r="AO22" s="92">
        <f ca="1">i_rankYOY_2!CZ28</f>
        <v>-26.6</v>
      </c>
      <c r="AQ22" s="49">
        <f ca="1">i_rankYOY_2!DJ28</f>
        <v>1</v>
      </c>
      <c r="AR22" s="191">
        <f ca="1">i_rankYOY_2!DK28</f>
        <v>19</v>
      </c>
      <c r="AS22" s="54" t="str">
        <f ca="1">i_rankYOY_2!DL28</f>
        <v>Nicaragua</v>
      </c>
      <c r="AT22" s="53">
        <f ca="1">i_rankYOY_2!DM28</f>
        <v>8.3000000000000007</v>
      </c>
      <c r="AU22" s="203">
        <f ca="1">i_rankYOY_2!DN28</f>
        <v>4.2</v>
      </c>
      <c r="AV22" s="212">
        <f ca="1">i_rankYOY_2!DO28</f>
        <v>4.1000000000000005</v>
      </c>
      <c r="AW22" s="92">
        <f ca="1">i_rankYOY_2!DP28</f>
        <v>4.1000000000000005</v>
      </c>
      <c r="AY22" s="49">
        <f ca="1">i_rankYOY_2!DZ28</f>
        <v>1</v>
      </c>
    </row>
    <row r="23" spans="3:51" ht="12.75" customHeight="1"/>
    <row r="24" spans="3:51" ht="15" customHeight="1">
      <c r="L24" s="49" t="s">
        <v>13</v>
      </c>
      <c r="N24" s="198">
        <f>Scores2009!Q8</f>
        <v>0.25</v>
      </c>
      <c r="T24" s="49" t="s">
        <v>13</v>
      </c>
      <c r="V24" s="198">
        <f>Scores2009!Q13</f>
        <v>0.19999999999999998</v>
      </c>
      <c r="AB24" s="49" t="s">
        <v>13</v>
      </c>
      <c r="AD24" s="198">
        <f>Scores2009!Q16</f>
        <v>0.15</v>
      </c>
      <c r="AJ24" s="49" t="s">
        <v>13</v>
      </c>
      <c r="AL24" s="198">
        <f>Scores2009!Q26</f>
        <v>0.15</v>
      </c>
      <c r="AR24" s="49" t="s">
        <v>13</v>
      </c>
      <c r="AT24" s="198">
        <f>Scores2009!Q26</f>
        <v>0.15</v>
      </c>
    </row>
    <row r="25" spans="3:51" ht="15" customHeight="1">
      <c r="L25" s="49" t="s">
        <v>333</v>
      </c>
      <c r="N25" s="198">
        <f>Scores2008!Q8</f>
        <v>0.41666666666666669</v>
      </c>
      <c r="T25" s="49" t="s">
        <v>333</v>
      </c>
      <c r="V25" s="198">
        <f>Scores2008!Q13</f>
        <v>0.25</v>
      </c>
      <c r="AB25" s="49" t="s">
        <v>333</v>
      </c>
      <c r="AD25" s="198">
        <f>Scores2008!Q16</f>
        <v>0.25</v>
      </c>
      <c r="AJ25" s="49" t="s">
        <v>333</v>
      </c>
      <c r="AL25" s="198">
        <f>Scores2008!Q22</f>
        <v>4.1666666666666664E-2</v>
      </c>
      <c r="AR25" s="49" t="s">
        <v>333</v>
      </c>
      <c r="AT25" s="198">
        <f>Scores2008!Q26</f>
        <v>4.1666666666666664E-2</v>
      </c>
    </row>
    <row r="26" spans="3:51" ht="14.25" customHeight="1"/>
    <row r="27" spans="3:51">
      <c r="D27" s="145"/>
      <c r="E27" s="146" t="s">
        <v>833</v>
      </c>
      <c r="F27" s="147"/>
      <c r="G27" s="147"/>
      <c r="H27" s="147"/>
      <c r="I27" s="147"/>
      <c r="J27" s="147"/>
      <c r="K27" s="147"/>
      <c r="L27" s="147"/>
      <c r="M27" s="147"/>
      <c r="N27" s="147"/>
      <c r="O27" s="147"/>
      <c r="P27" s="147"/>
      <c r="Q27" s="147"/>
      <c r="R27" s="147"/>
      <c r="S27" s="147"/>
      <c r="T27" s="147"/>
      <c r="U27" s="147"/>
      <c r="V27" s="147"/>
      <c r="W27" s="147"/>
      <c r="X27" s="148"/>
      <c r="Y27" s="150"/>
      <c r="AA27" s="29"/>
    </row>
    <row r="28" spans="3:51">
      <c r="D28" s="149"/>
      <c r="E28" s="150"/>
      <c r="F28" s="150"/>
      <c r="G28" s="150"/>
      <c r="H28" s="150"/>
      <c r="I28" s="150"/>
      <c r="J28" s="150"/>
      <c r="K28" s="150"/>
      <c r="L28" s="150"/>
      <c r="M28" s="150"/>
      <c r="N28" s="150"/>
      <c r="O28" s="150"/>
      <c r="P28" s="150"/>
      <c r="Q28" s="150"/>
      <c r="R28" s="150"/>
      <c r="S28" s="150"/>
      <c r="T28" s="150"/>
      <c r="U28" s="150"/>
      <c r="V28" s="150"/>
      <c r="W28" s="150"/>
      <c r="X28" s="151"/>
      <c r="Y28" s="150"/>
      <c r="AA28" s="29"/>
    </row>
    <row r="29" spans="3:51" ht="11.25" customHeight="1">
      <c r="D29" s="149"/>
      <c r="E29" s="150"/>
      <c r="F29" s="150"/>
      <c r="G29" s="150"/>
      <c r="H29" s="150"/>
      <c r="I29" s="150"/>
      <c r="J29" s="150"/>
      <c r="K29" s="150"/>
      <c r="L29" s="150"/>
      <c r="M29" s="150"/>
      <c r="N29" s="150"/>
      <c r="O29" s="150"/>
      <c r="P29" s="150"/>
      <c r="Q29" s="150"/>
      <c r="R29" s="150"/>
      <c r="S29" s="150"/>
      <c r="T29" s="150"/>
      <c r="U29" s="150"/>
      <c r="V29" s="150"/>
      <c r="W29" s="150"/>
      <c r="X29" s="151"/>
      <c r="Y29" s="150"/>
      <c r="AA29" s="29"/>
    </row>
    <row r="30" spans="3:51">
      <c r="D30" s="149"/>
      <c r="E30" s="152" t="s">
        <v>828</v>
      </c>
      <c r="F30" s="150"/>
      <c r="G30" s="150"/>
      <c r="H30" s="150"/>
      <c r="I30" s="150"/>
      <c r="J30" s="150"/>
      <c r="K30" s="150"/>
      <c r="L30" s="150"/>
      <c r="M30" s="150"/>
      <c r="N30" s="150"/>
      <c r="O30" s="150"/>
      <c r="P30" s="150"/>
      <c r="Q30" s="150"/>
      <c r="R30" s="150"/>
      <c r="S30" s="150"/>
      <c r="T30" s="150"/>
      <c r="U30" s="150"/>
      <c r="V30" s="150"/>
      <c r="W30" s="150"/>
      <c r="X30" s="151"/>
      <c r="Y30" s="150"/>
      <c r="AA30" s="29"/>
    </row>
    <row r="31" spans="3:51">
      <c r="D31" s="149"/>
      <c r="E31" s="150"/>
      <c r="F31" s="150"/>
      <c r="G31" s="150"/>
      <c r="H31" s="150"/>
      <c r="I31" s="150"/>
      <c r="J31" s="150"/>
      <c r="K31" s="150"/>
      <c r="L31" s="150"/>
      <c r="M31" s="150"/>
      <c r="N31" s="150"/>
      <c r="O31" s="150"/>
      <c r="P31" s="150"/>
      <c r="Q31" s="150"/>
      <c r="R31" s="150"/>
      <c r="S31" s="150"/>
      <c r="T31" s="150"/>
      <c r="U31" s="150"/>
      <c r="V31" s="150"/>
      <c r="W31" s="150"/>
      <c r="X31" s="151"/>
      <c r="Y31" s="150"/>
      <c r="AA31" s="29"/>
    </row>
    <row r="32" spans="3:51" ht="18.75" customHeight="1">
      <c r="D32" s="149"/>
      <c r="E32" s="152" t="s">
        <v>834</v>
      </c>
      <c r="F32" s="150"/>
      <c r="G32" s="150"/>
      <c r="H32" s="150"/>
      <c r="I32" s="150"/>
      <c r="J32" s="150"/>
      <c r="K32" s="150"/>
      <c r="L32" s="150"/>
      <c r="M32" s="150"/>
      <c r="N32" s="150"/>
      <c r="O32" s="150"/>
      <c r="P32" s="150"/>
      <c r="Q32" s="150"/>
      <c r="R32" s="150"/>
      <c r="S32" s="150"/>
      <c r="T32" s="150"/>
      <c r="U32" s="150"/>
      <c r="V32" s="150"/>
      <c r="W32" s="150"/>
      <c r="X32" s="151"/>
      <c r="Y32" s="150"/>
      <c r="AA32" s="29"/>
    </row>
    <row r="33" spans="4:27">
      <c r="D33" s="149"/>
      <c r="E33" s="150"/>
      <c r="F33" s="150"/>
      <c r="G33" s="150"/>
      <c r="H33" s="150"/>
      <c r="I33" s="150"/>
      <c r="J33" s="150"/>
      <c r="K33" s="150"/>
      <c r="L33" s="150"/>
      <c r="M33" s="150"/>
      <c r="N33" s="150"/>
      <c r="O33" s="150"/>
      <c r="P33" s="150"/>
      <c r="Q33" s="150"/>
      <c r="R33" s="150"/>
      <c r="S33" s="150"/>
      <c r="T33" s="150"/>
      <c r="U33" s="150"/>
      <c r="V33" s="150"/>
      <c r="W33" s="150"/>
      <c r="X33" s="151"/>
      <c r="Y33" s="150"/>
      <c r="AA33" s="29"/>
    </row>
    <row r="34" spans="4:27">
      <c r="D34" s="153"/>
      <c r="E34" s="106"/>
      <c r="F34" s="106"/>
      <c r="G34" s="106"/>
      <c r="H34" s="106"/>
      <c r="I34" s="106"/>
      <c r="J34" s="106"/>
      <c r="K34" s="106"/>
      <c r="L34" s="106"/>
      <c r="M34" s="106"/>
      <c r="N34" s="106"/>
      <c r="O34" s="106"/>
      <c r="P34" s="106"/>
      <c r="Q34" s="106"/>
      <c r="R34" s="106"/>
      <c r="S34" s="106"/>
      <c r="T34" s="106"/>
      <c r="U34" s="106"/>
      <c r="V34" s="106"/>
      <c r="W34" s="106"/>
      <c r="X34" s="154"/>
      <c r="Y34" s="150"/>
      <c r="AA34" s="29"/>
    </row>
  </sheetData>
  <sheetProtection password="CD4E" sheet="1" objects="1" scenarios="1" selectLockedCells="1" selectUnlockedCells="1"/>
  <mergeCells count="1">
    <mergeCell ref="A1:AT1"/>
  </mergeCells>
  <phoneticPr fontId="61" type="noConversion"/>
  <conditionalFormatting sqref="D4:D22 L4:L22 T4:T22 AB4:AB22 AJ4:AJ22 AR4:AR22">
    <cfRule type="expression" dxfId="13" priority="8" stopIfTrue="1">
      <formula>C4=3</formula>
    </cfRule>
    <cfRule type="expression" dxfId="12" priority="9" stopIfTrue="1">
      <formula>C4=2</formula>
    </cfRule>
  </conditionalFormatting>
  <conditionalFormatting sqref="E4:E22 M4:M22 U4:U22 AC4:AC22 AK4:AK22 AS4:AS22">
    <cfRule type="expression" dxfId="11" priority="6" stopIfTrue="1">
      <formula>C4=3</formula>
    </cfRule>
    <cfRule type="expression" dxfId="10" priority="7" stopIfTrue="1">
      <formula>C4=2</formula>
    </cfRule>
  </conditionalFormatting>
  <conditionalFormatting sqref="F4:F22 N4:N22 AL4:AL22 V4:V22 AD4:AD22 AT4:AT22">
    <cfRule type="expression" dxfId="9" priority="4" stopIfTrue="1">
      <formula>C4=3</formula>
    </cfRule>
    <cfRule type="expression" dxfId="8" priority="5" stopIfTrue="1">
      <formula>C4=2</formula>
    </cfRule>
  </conditionalFormatting>
  <conditionalFormatting sqref="H4:H22 X4:X22 AF4:AF22 AN4:AN22 AV4:AV22 P4:P22">
    <cfRule type="expression" dxfId="7" priority="1" stopIfTrue="1">
      <formula>C4=3</formula>
    </cfRule>
    <cfRule type="expression" dxfId="6" priority="2" stopIfTrue="1">
      <formula>C4=2</formula>
    </cfRule>
  </conditionalFormatting>
  <conditionalFormatting sqref="G4:G22 O4:O22 W4:W22 AE4:AE22 AM4:AM22 AU4:AU22">
    <cfRule type="expression" dxfId="5" priority="19" stopIfTrue="1">
      <formula>C4=3</formula>
    </cfRule>
    <cfRule type="expression" dxfId="4" priority="20" stopIfTrue="1">
      <formula>C4=2</formula>
    </cfRule>
  </conditionalFormatting>
  <pageMargins left="0.7" right="0.7" top="0.75" bottom="0.75" header="0.3" footer="0.3"/>
  <pageSetup orientation="portrait" horizontalDpi="1200" verticalDpi="1200" r:id="rId1"/>
  <drawing r:id="rId2"/>
  <legacyDrawing r:id="rId3"/>
</worksheet>
</file>

<file path=xl/worksheets/sheet19.xml><?xml version="1.0" encoding="utf-8"?>
<worksheet xmlns="http://schemas.openxmlformats.org/spreadsheetml/2006/main" xmlns:r="http://schemas.openxmlformats.org/officeDocument/2006/relationships">
  <sheetPr codeName="Sheet9"/>
  <dimension ref="A1:AC124"/>
  <sheetViews>
    <sheetView showGridLines="0" showRowColHeaders="0" topLeftCell="C1" zoomScaleNormal="100" workbookViewId="0">
      <pane ySplit="3" topLeftCell="A4" activePane="bottomLeft" state="frozen"/>
      <selection activeCell="H4" sqref="H4"/>
      <selection pane="bottomLeft" activeCell="C28" sqref="C28"/>
    </sheetView>
  </sheetViews>
  <sheetFormatPr defaultRowHeight="15"/>
  <cols>
    <col min="1" max="1" width="3.85546875" customWidth="1"/>
    <col min="2" max="2" width="9.140625" hidden="1" customWidth="1"/>
    <col min="3" max="3" width="69.140625" customWidth="1"/>
    <col min="9" max="9" width="9.140625" style="184"/>
    <col min="12" max="12" width="9.7109375" customWidth="1"/>
    <col min="14" max="14" width="9.140625" style="29"/>
    <col min="16" max="16" width="9.140625" style="184"/>
    <col min="18" max="22" width="9.140625" style="184"/>
  </cols>
  <sheetData>
    <row r="1" spans="1:22" s="72" customFormat="1" ht="21.75" customHeight="1">
      <c r="A1" s="72" t="s">
        <v>836</v>
      </c>
    </row>
    <row r="2" spans="1:22" s="49" customFormat="1"/>
    <row r="3" spans="1:22" ht="25.5" customHeight="1">
      <c r="B3" s="29"/>
      <c r="C3" s="99"/>
      <c r="D3" s="99" t="s">
        <v>912</v>
      </c>
      <c r="E3" s="31" t="s">
        <v>914</v>
      </c>
      <c r="F3" s="30" t="s">
        <v>917</v>
      </c>
      <c r="G3" s="30" t="s">
        <v>920</v>
      </c>
      <c r="H3" s="30" t="s">
        <v>922</v>
      </c>
      <c r="I3" s="31" t="s">
        <v>925</v>
      </c>
      <c r="J3" s="30" t="s">
        <v>927</v>
      </c>
      <c r="K3" s="30" t="s">
        <v>930</v>
      </c>
      <c r="L3" s="30" t="s">
        <v>933</v>
      </c>
      <c r="M3" s="30" t="s">
        <v>936</v>
      </c>
      <c r="N3" s="30" t="s">
        <v>938</v>
      </c>
      <c r="O3" s="30" t="s">
        <v>940</v>
      </c>
      <c r="P3" s="30" t="s">
        <v>943</v>
      </c>
      <c r="Q3" s="30" t="s">
        <v>946</v>
      </c>
      <c r="R3" s="30" t="s">
        <v>949</v>
      </c>
      <c r="S3" s="30" t="s">
        <v>951</v>
      </c>
      <c r="T3" s="30" t="s">
        <v>953</v>
      </c>
      <c r="U3" s="30" t="s">
        <v>956</v>
      </c>
      <c r="V3" s="30" t="s">
        <v>959</v>
      </c>
    </row>
    <row r="4" spans="1:22" ht="7.5" customHeight="1">
      <c r="C4" s="86"/>
      <c r="D4" s="86"/>
      <c r="E4" s="86"/>
      <c r="F4" s="86"/>
      <c r="G4" s="86"/>
      <c r="H4" s="86"/>
      <c r="I4" s="183"/>
      <c r="J4" s="86"/>
      <c r="K4" s="86"/>
      <c r="L4" s="86"/>
      <c r="M4" s="86"/>
      <c r="N4" s="183"/>
      <c r="O4" s="86"/>
      <c r="P4" s="183"/>
      <c r="Q4" s="86"/>
      <c r="R4" s="183"/>
      <c r="S4" s="183"/>
      <c r="T4" s="183"/>
      <c r="U4" s="183"/>
      <c r="V4" s="183"/>
    </row>
    <row r="5" spans="1:22">
      <c r="B5" s="27" t="str">
        <f>tblIndicators!A3</f>
        <v>LEGF</v>
      </c>
      <c r="C5" s="27" t="str">
        <f>tblIndicators!H3</f>
        <v>Regulatory framework</v>
      </c>
      <c r="D5" s="23"/>
      <c r="E5" s="23"/>
      <c r="F5" s="23"/>
      <c r="G5" s="23"/>
      <c r="H5" s="23"/>
      <c r="I5" s="23"/>
      <c r="J5" s="23"/>
      <c r="K5" s="23"/>
      <c r="L5" s="23"/>
      <c r="M5" s="23"/>
      <c r="N5" s="23"/>
      <c r="O5" s="23"/>
      <c r="P5" s="23"/>
      <c r="Q5" s="23"/>
      <c r="R5" s="23"/>
      <c r="S5" s="23"/>
      <c r="T5" s="23"/>
      <c r="U5" s="23"/>
      <c r="V5" s="23"/>
    </row>
    <row r="6" spans="1:22">
      <c r="B6" s="24" t="str">
        <f>tblIndicators!A4</f>
        <v>LEGF01</v>
      </c>
      <c r="C6" s="24" t="str">
        <f>tblIndicators!H4</f>
        <v>Consistency and quality of PPP regulations</v>
      </c>
      <c r="D6" s="164">
        <v>2</v>
      </c>
      <c r="E6" s="164">
        <v>3</v>
      </c>
      <c r="F6" s="164">
        <v>4</v>
      </c>
      <c r="G6" s="164">
        <v>2</v>
      </c>
      <c r="H6" s="164">
        <v>1</v>
      </c>
      <c r="I6" s="164">
        <v>1</v>
      </c>
      <c r="J6" s="164">
        <v>0</v>
      </c>
      <c r="K6" s="164">
        <v>1</v>
      </c>
      <c r="L6" s="164">
        <v>3</v>
      </c>
      <c r="M6" s="164">
        <v>1</v>
      </c>
      <c r="N6" s="164">
        <v>1</v>
      </c>
      <c r="O6" s="164">
        <v>2</v>
      </c>
      <c r="P6" s="164">
        <v>1</v>
      </c>
      <c r="Q6" s="164">
        <v>2</v>
      </c>
      <c r="R6" s="164">
        <v>1</v>
      </c>
      <c r="S6" s="164">
        <v>3</v>
      </c>
      <c r="T6" s="164">
        <v>1</v>
      </c>
      <c r="U6" s="164">
        <v>1</v>
      </c>
      <c r="V6" s="164">
        <v>0</v>
      </c>
    </row>
    <row r="7" spans="1:22">
      <c r="B7" s="24" t="str">
        <f>tblIndicators!A5</f>
        <v>LEGF02</v>
      </c>
      <c r="C7" s="24" t="str">
        <f>tblIndicators!H5</f>
        <v>Effective PPP selection and decision making</v>
      </c>
      <c r="D7" s="164">
        <v>0</v>
      </c>
      <c r="E7" s="164">
        <v>3</v>
      </c>
      <c r="F7" s="164">
        <v>3</v>
      </c>
      <c r="G7" s="164">
        <v>2</v>
      </c>
      <c r="H7" s="164">
        <v>2</v>
      </c>
      <c r="I7" s="164">
        <v>1</v>
      </c>
      <c r="J7" s="164">
        <v>0</v>
      </c>
      <c r="K7" s="164">
        <v>1</v>
      </c>
      <c r="L7" s="164">
        <v>1</v>
      </c>
      <c r="M7" s="164">
        <v>0</v>
      </c>
      <c r="N7" s="164">
        <v>1</v>
      </c>
      <c r="O7" s="164">
        <v>2</v>
      </c>
      <c r="P7" s="164">
        <v>1</v>
      </c>
      <c r="Q7" s="164">
        <v>1</v>
      </c>
      <c r="R7" s="164">
        <v>1</v>
      </c>
      <c r="S7" s="164">
        <v>3</v>
      </c>
      <c r="T7" s="164">
        <v>1</v>
      </c>
      <c r="U7" s="164">
        <v>2</v>
      </c>
      <c r="V7" s="164">
        <v>0</v>
      </c>
    </row>
    <row r="8" spans="1:22">
      <c r="B8" s="24" t="str">
        <f>tblIndicators!A6</f>
        <v>LEGF03</v>
      </c>
      <c r="C8" s="24" t="str">
        <f>tblIndicators!H6</f>
        <v>Fairness/openness of bids, contract changes</v>
      </c>
      <c r="D8" s="164">
        <v>1</v>
      </c>
      <c r="E8" s="164">
        <v>2</v>
      </c>
      <c r="F8" s="164">
        <v>3</v>
      </c>
      <c r="G8" s="164">
        <v>2</v>
      </c>
      <c r="H8" s="164">
        <v>2</v>
      </c>
      <c r="I8" s="164">
        <v>0</v>
      </c>
      <c r="J8" s="164">
        <v>0</v>
      </c>
      <c r="K8" s="164">
        <v>2</v>
      </c>
      <c r="L8" s="164">
        <v>2</v>
      </c>
      <c r="M8" s="164">
        <v>0</v>
      </c>
      <c r="N8" s="164">
        <v>1</v>
      </c>
      <c r="O8" s="164">
        <v>2</v>
      </c>
      <c r="P8" s="164">
        <v>0</v>
      </c>
      <c r="Q8" s="215">
        <v>2</v>
      </c>
      <c r="R8" s="164">
        <v>1</v>
      </c>
      <c r="S8" s="164">
        <v>3</v>
      </c>
      <c r="T8" s="164">
        <v>1</v>
      </c>
      <c r="U8" s="164">
        <v>2</v>
      </c>
      <c r="V8" s="164">
        <v>0</v>
      </c>
    </row>
    <row r="9" spans="1:22">
      <c r="B9" s="24" t="str">
        <f>tblIndicators!A7</f>
        <v>LEGF04</v>
      </c>
      <c r="C9" s="24" t="str">
        <f>tblIndicators!H7</f>
        <v>Dispute resolution mechanisms</v>
      </c>
      <c r="D9" s="206">
        <v>0</v>
      </c>
      <c r="E9" s="164">
        <v>3</v>
      </c>
      <c r="F9" s="164">
        <v>3</v>
      </c>
      <c r="G9" s="164">
        <v>2</v>
      </c>
      <c r="H9" s="164">
        <v>1</v>
      </c>
      <c r="I9" s="164">
        <v>1</v>
      </c>
      <c r="J9" s="164">
        <v>1</v>
      </c>
      <c r="K9" s="164">
        <v>1</v>
      </c>
      <c r="L9" s="164">
        <v>2</v>
      </c>
      <c r="M9" s="164">
        <v>1</v>
      </c>
      <c r="N9" s="164">
        <v>1</v>
      </c>
      <c r="O9" s="164">
        <v>3</v>
      </c>
      <c r="P9" s="164">
        <v>1</v>
      </c>
      <c r="Q9" s="164">
        <v>1</v>
      </c>
      <c r="R9" s="164">
        <v>1</v>
      </c>
      <c r="S9" s="164">
        <v>3</v>
      </c>
      <c r="T9" s="164">
        <v>1</v>
      </c>
      <c r="U9" s="164">
        <v>1</v>
      </c>
      <c r="V9" s="164">
        <v>0</v>
      </c>
    </row>
    <row r="10" spans="1:22">
      <c r="B10" s="28" t="str">
        <f>tblIndicators!A8</f>
        <v>INST</v>
      </c>
      <c r="C10" s="28" t="str">
        <f>tblIndicators!H8</f>
        <v>Institutional framework</v>
      </c>
      <c r="D10" s="206"/>
      <c r="E10" s="164"/>
      <c r="F10" s="164"/>
      <c r="G10" s="164"/>
      <c r="H10" s="164"/>
      <c r="I10" s="164"/>
      <c r="J10" s="164"/>
      <c r="K10" s="164"/>
      <c r="L10" s="164"/>
      <c r="M10" s="164"/>
      <c r="N10" s="164"/>
      <c r="O10" s="164"/>
      <c r="P10" s="164"/>
      <c r="Q10" s="164"/>
      <c r="R10" s="164"/>
      <c r="S10" s="164"/>
      <c r="T10" s="164"/>
      <c r="U10" s="164"/>
      <c r="V10" s="164"/>
    </row>
    <row r="11" spans="1:22">
      <c r="B11" s="24" t="str">
        <f>tblIndicators!A9</f>
        <v>INST01</v>
      </c>
      <c r="C11" s="24" t="str">
        <f>tblIndicators!H9</f>
        <v>Quality of institutional design</v>
      </c>
      <c r="D11" s="206">
        <v>2</v>
      </c>
      <c r="E11" s="164">
        <v>3</v>
      </c>
      <c r="F11" s="164">
        <v>3</v>
      </c>
      <c r="G11" s="164">
        <v>2</v>
      </c>
      <c r="H11" s="164">
        <v>1</v>
      </c>
      <c r="I11" s="164">
        <v>0</v>
      </c>
      <c r="J11" s="164">
        <v>0</v>
      </c>
      <c r="K11" s="164">
        <v>1</v>
      </c>
      <c r="L11" s="164">
        <v>2</v>
      </c>
      <c r="M11" s="164">
        <v>1</v>
      </c>
      <c r="N11" s="164">
        <v>1</v>
      </c>
      <c r="O11" s="164">
        <v>2</v>
      </c>
      <c r="P11" s="164">
        <v>1</v>
      </c>
      <c r="Q11" s="164">
        <v>1</v>
      </c>
      <c r="R11" s="164">
        <v>1</v>
      </c>
      <c r="S11" s="164">
        <v>3</v>
      </c>
      <c r="T11" s="164">
        <v>1</v>
      </c>
      <c r="U11" s="164">
        <v>1</v>
      </c>
      <c r="V11" s="164">
        <v>0</v>
      </c>
    </row>
    <row r="12" spans="1:22">
      <c r="B12" s="24" t="str">
        <f>tblIndicators!A10</f>
        <v>INST02</v>
      </c>
      <c r="C12" s="24" t="str">
        <f>tblIndicators!H10</f>
        <v>PPP contract, hold-up and expropriation risk</v>
      </c>
      <c r="D12" s="206">
        <v>0</v>
      </c>
      <c r="E12" s="164">
        <v>3</v>
      </c>
      <c r="F12" s="164">
        <v>3</v>
      </c>
      <c r="G12" s="164">
        <v>2</v>
      </c>
      <c r="H12" s="164">
        <v>1</v>
      </c>
      <c r="I12" s="164">
        <v>1</v>
      </c>
      <c r="J12" s="164">
        <v>0</v>
      </c>
      <c r="K12" s="164">
        <v>2</v>
      </c>
      <c r="L12" s="164">
        <v>2</v>
      </c>
      <c r="M12" s="164">
        <v>2</v>
      </c>
      <c r="N12" s="164">
        <v>1</v>
      </c>
      <c r="O12" s="164">
        <v>3</v>
      </c>
      <c r="P12" s="164">
        <v>1</v>
      </c>
      <c r="Q12" s="164">
        <v>1</v>
      </c>
      <c r="R12" s="164">
        <v>1</v>
      </c>
      <c r="S12" s="164">
        <v>3</v>
      </c>
      <c r="T12" s="164">
        <v>1</v>
      </c>
      <c r="U12" s="164">
        <v>2</v>
      </c>
      <c r="V12" s="164">
        <v>0</v>
      </c>
    </row>
    <row r="13" spans="1:22">
      <c r="B13" s="28" t="str">
        <f>tblIndicators!A11</f>
        <v>OPER</v>
      </c>
      <c r="C13" s="28" t="str">
        <f>tblIndicators!H11</f>
        <v>Operational maturity</v>
      </c>
      <c r="D13" s="206"/>
      <c r="E13" s="164"/>
      <c r="F13" s="164"/>
      <c r="G13" s="164"/>
      <c r="H13" s="164"/>
      <c r="I13" s="164"/>
      <c r="J13" s="164"/>
      <c r="K13" s="164"/>
      <c r="L13" s="164"/>
      <c r="M13" s="164"/>
      <c r="N13" s="164"/>
      <c r="O13" s="164"/>
      <c r="P13" s="164"/>
      <c r="Q13" s="164"/>
      <c r="R13" s="164"/>
      <c r="S13" s="164"/>
      <c r="T13" s="164"/>
      <c r="U13" s="164"/>
      <c r="V13" s="164"/>
    </row>
    <row r="14" spans="1:22">
      <c r="B14" s="24" t="str">
        <f>tblIndicators!A12</f>
        <v>OPER01</v>
      </c>
      <c r="C14" s="24" t="str">
        <f>tblIndicators!H12</f>
        <v>Public capacity to plan and oversee PPPs</v>
      </c>
      <c r="D14" s="206">
        <v>1</v>
      </c>
      <c r="E14" s="164">
        <v>3</v>
      </c>
      <c r="F14" s="164">
        <v>3</v>
      </c>
      <c r="G14" s="164">
        <v>2</v>
      </c>
      <c r="H14" s="164">
        <v>1</v>
      </c>
      <c r="I14" s="164">
        <v>0</v>
      </c>
      <c r="J14" s="164">
        <v>1</v>
      </c>
      <c r="K14" s="164">
        <v>2</v>
      </c>
      <c r="L14" s="164">
        <v>0</v>
      </c>
      <c r="M14" s="164">
        <v>1</v>
      </c>
      <c r="N14" s="164">
        <v>2</v>
      </c>
      <c r="O14" s="164">
        <v>2</v>
      </c>
      <c r="P14" s="164">
        <v>1</v>
      </c>
      <c r="Q14" s="164">
        <v>0</v>
      </c>
      <c r="R14" s="164">
        <v>1</v>
      </c>
      <c r="S14" s="164">
        <v>2</v>
      </c>
      <c r="T14" s="164">
        <v>1</v>
      </c>
      <c r="U14" s="164">
        <v>2</v>
      </c>
      <c r="V14" s="164">
        <v>0</v>
      </c>
    </row>
    <row r="15" spans="1:22">
      <c r="B15" s="24" t="str">
        <f>tblIndicators!A13</f>
        <v>OPER02</v>
      </c>
      <c r="C15" s="24" t="str">
        <f>tblIndicators!H13</f>
        <v xml:space="preserve">Methods and criteria for awarding projects </v>
      </c>
      <c r="D15" s="206">
        <v>0</v>
      </c>
      <c r="E15" s="164">
        <v>3</v>
      </c>
      <c r="F15" s="164">
        <v>4</v>
      </c>
      <c r="G15" s="164">
        <v>2</v>
      </c>
      <c r="H15" s="164">
        <v>2</v>
      </c>
      <c r="I15" s="164">
        <v>0</v>
      </c>
      <c r="J15" s="164">
        <v>0</v>
      </c>
      <c r="K15" s="164">
        <v>1</v>
      </c>
      <c r="L15" s="164">
        <v>1</v>
      </c>
      <c r="M15" s="164">
        <v>0</v>
      </c>
      <c r="N15" s="164">
        <v>1</v>
      </c>
      <c r="O15" s="164">
        <v>2</v>
      </c>
      <c r="P15" s="164">
        <v>0</v>
      </c>
      <c r="Q15" s="164">
        <v>1</v>
      </c>
      <c r="R15" s="164">
        <v>1</v>
      </c>
      <c r="S15" s="164">
        <v>3</v>
      </c>
      <c r="T15" s="164">
        <v>1</v>
      </c>
      <c r="U15" s="164">
        <v>1</v>
      </c>
      <c r="V15" s="164">
        <v>0</v>
      </c>
    </row>
    <row r="16" spans="1:22">
      <c r="B16" s="24" t="str">
        <f>tblIndicators!A14</f>
        <v>OPER03</v>
      </c>
      <c r="C16" s="24" t="str">
        <f>tblIndicators!H14</f>
        <v>Regulators' risk allocation record</v>
      </c>
      <c r="D16" s="206">
        <v>0</v>
      </c>
      <c r="E16" s="164">
        <v>3</v>
      </c>
      <c r="F16" s="164">
        <v>3</v>
      </c>
      <c r="G16" s="164">
        <v>1</v>
      </c>
      <c r="H16" s="164">
        <v>1</v>
      </c>
      <c r="I16" s="164">
        <v>0</v>
      </c>
      <c r="J16" s="164">
        <v>0</v>
      </c>
      <c r="K16" s="164">
        <v>1</v>
      </c>
      <c r="L16" s="164">
        <v>2</v>
      </c>
      <c r="M16" s="164">
        <v>1</v>
      </c>
      <c r="N16" s="164">
        <v>1</v>
      </c>
      <c r="O16" s="164">
        <v>2</v>
      </c>
      <c r="P16" s="164">
        <v>0</v>
      </c>
      <c r="Q16" s="164">
        <v>1</v>
      </c>
      <c r="R16" s="164">
        <v>0</v>
      </c>
      <c r="S16" s="164">
        <v>3</v>
      </c>
      <c r="T16" s="164">
        <v>0</v>
      </c>
      <c r="U16" s="164">
        <v>1</v>
      </c>
      <c r="V16" s="164">
        <v>0</v>
      </c>
    </row>
    <row r="17" spans="2:22">
      <c r="B17" s="24" t="str">
        <f>tblIndicators!A15</f>
        <v>OPER04</v>
      </c>
      <c r="C17" s="24" t="str">
        <f>tblIndicators!H15</f>
        <v>Experience in PPP projects (concessions)</v>
      </c>
      <c r="D17" s="206">
        <v>28</v>
      </c>
      <c r="E17" s="164">
        <v>168</v>
      </c>
      <c r="F17" s="164">
        <v>44</v>
      </c>
      <c r="G17" s="164">
        <v>41</v>
      </c>
      <c r="H17" s="164">
        <v>10</v>
      </c>
      <c r="I17" s="164">
        <v>10</v>
      </c>
      <c r="J17" s="164">
        <v>12</v>
      </c>
      <c r="K17" s="164">
        <v>1</v>
      </c>
      <c r="L17" s="164">
        <v>7</v>
      </c>
      <c r="M17" s="164">
        <v>5</v>
      </c>
      <c r="N17" s="164">
        <v>2</v>
      </c>
      <c r="O17" s="164">
        <v>69</v>
      </c>
      <c r="P17" s="164">
        <v>4</v>
      </c>
      <c r="Q17" s="164">
        <v>4</v>
      </c>
      <c r="R17" s="164">
        <v>0</v>
      </c>
      <c r="S17" s="164">
        <v>24</v>
      </c>
      <c r="T17" s="164">
        <v>1</v>
      </c>
      <c r="U17" s="164">
        <v>4</v>
      </c>
      <c r="V17" s="164">
        <v>4</v>
      </c>
    </row>
    <row r="18" spans="2:22">
      <c r="B18" s="24" t="str">
        <f>tblIndicators!A16</f>
        <v>OPER05</v>
      </c>
      <c r="C18" s="24" t="str">
        <f>tblIndicators!H16</f>
        <v>Quality of PPP projects (concessions)</v>
      </c>
      <c r="D18" s="206">
        <v>1</v>
      </c>
      <c r="E18" s="164">
        <v>4</v>
      </c>
      <c r="F18" s="164">
        <v>4</v>
      </c>
      <c r="G18" s="164">
        <v>3</v>
      </c>
      <c r="H18" s="164">
        <v>4</v>
      </c>
      <c r="I18" s="164">
        <v>2</v>
      </c>
      <c r="J18" s="164">
        <v>4</v>
      </c>
      <c r="K18" s="164">
        <v>1</v>
      </c>
      <c r="L18" s="164">
        <v>4</v>
      </c>
      <c r="M18" s="164">
        <v>4</v>
      </c>
      <c r="N18" s="164">
        <v>1</v>
      </c>
      <c r="O18" s="164">
        <v>3</v>
      </c>
      <c r="P18" s="164">
        <v>1</v>
      </c>
      <c r="Q18" s="164">
        <v>1</v>
      </c>
      <c r="R18" s="164">
        <v>1</v>
      </c>
      <c r="S18" s="164">
        <v>3</v>
      </c>
      <c r="T18" s="164">
        <v>0</v>
      </c>
      <c r="U18" s="164">
        <v>0</v>
      </c>
      <c r="V18" s="164">
        <v>0</v>
      </c>
    </row>
    <row r="19" spans="2:22">
      <c r="B19" s="28" t="str">
        <f>tblIndicators!A17</f>
        <v>INVT</v>
      </c>
      <c r="C19" s="28" t="str">
        <f>tblIndicators!H17</f>
        <v>Investment climate</v>
      </c>
      <c r="D19" s="206"/>
      <c r="E19" s="164"/>
      <c r="F19" s="164"/>
      <c r="G19" s="164"/>
      <c r="H19" s="164"/>
      <c r="I19" s="164"/>
      <c r="J19" s="164"/>
      <c r="K19" s="164"/>
      <c r="L19" s="164"/>
      <c r="M19" s="164"/>
      <c r="N19" s="164"/>
      <c r="O19" s="164"/>
      <c r="P19" s="164"/>
      <c r="Q19" s="164"/>
      <c r="R19" s="164"/>
      <c r="S19" s="164"/>
      <c r="T19" s="164"/>
      <c r="U19" s="164"/>
      <c r="V19" s="164"/>
    </row>
    <row r="20" spans="2:22">
      <c r="B20" s="24" t="str">
        <f>tblIndicators!A18</f>
        <v>INVT01</v>
      </c>
      <c r="C20" s="25" t="str">
        <f>tblIndicators!H18</f>
        <v>Political distortion</v>
      </c>
      <c r="D20" s="206">
        <v>34.301009490404844</v>
      </c>
      <c r="E20" s="164">
        <v>41.897202495915479</v>
      </c>
      <c r="F20" s="164">
        <v>73.744616053998584</v>
      </c>
      <c r="G20" s="164">
        <v>35.644584446000017</v>
      </c>
      <c r="H20" s="164">
        <v>55.087153315921555</v>
      </c>
      <c r="I20" s="164">
        <v>23.729844425408608</v>
      </c>
      <c r="J20" s="164">
        <v>15.452525079230291</v>
      </c>
      <c r="K20" s="164">
        <v>39.882535696536515</v>
      </c>
      <c r="L20" s="164">
        <v>23.292085012720779</v>
      </c>
      <c r="M20" s="164">
        <v>16.300960598541245</v>
      </c>
      <c r="N20" s="164">
        <v>39.834574188822558</v>
      </c>
      <c r="O20" s="164">
        <v>39.712987885642164</v>
      </c>
      <c r="P20" s="164">
        <v>18.848606283801153</v>
      </c>
      <c r="Q20" s="164">
        <v>37.528681877845983</v>
      </c>
      <c r="R20" s="164">
        <v>25.871628037437148</v>
      </c>
      <c r="S20" s="164">
        <v>33.21549273719917</v>
      </c>
      <c r="T20" s="164">
        <v>38.288550849935135</v>
      </c>
      <c r="U20" s="164">
        <v>55.755211307958795</v>
      </c>
      <c r="V20" s="164">
        <v>13.745995807127882</v>
      </c>
    </row>
    <row r="21" spans="2:22">
      <c r="B21" s="24" t="str">
        <f>tblIndicators!A19</f>
        <v>INVT02</v>
      </c>
      <c r="C21" s="25" t="str">
        <f>tblIndicators!H19</f>
        <v>Business environment</v>
      </c>
      <c r="D21" s="206">
        <v>41.625638688798539</v>
      </c>
      <c r="E21" s="164">
        <v>59.879816412486079</v>
      </c>
      <c r="F21" s="164">
        <v>67.807589292777578</v>
      </c>
      <c r="G21" s="164">
        <v>54.145149813385004</v>
      </c>
      <c r="H21" s="164">
        <v>40.92744288535151</v>
      </c>
      <c r="I21" s="164">
        <v>39.383985973515962</v>
      </c>
      <c r="J21" s="164">
        <v>56.07629548647521</v>
      </c>
      <c r="K21" s="164">
        <v>54.831717056299865</v>
      </c>
      <c r="L21" s="164">
        <v>54.942661429214233</v>
      </c>
      <c r="M21" s="164">
        <v>38.86506139373671</v>
      </c>
      <c r="N21" s="164">
        <v>37.057866802849723</v>
      </c>
      <c r="O21" s="164">
        <v>51.514425598440624</v>
      </c>
      <c r="P21" s="164">
        <v>43.378678051840637</v>
      </c>
      <c r="Q21" s="164">
        <v>61.541496681046851</v>
      </c>
      <c r="R21" s="164">
        <v>32.92723867271112</v>
      </c>
      <c r="S21" s="164">
        <v>67.4160856550956</v>
      </c>
      <c r="T21" s="164">
        <v>54.701220023268661</v>
      </c>
      <c r="U21" s="164">
        <v>52.228001596161221</v>
      </c>
      <c r="V21" s="164">
        <v>28.421976137748572</v>
      </c>
    </row>
    <row r="22" spans="2:22">
      <c r="B22" s="24" t="str">
        <f>tblIndicators!A20</f>
        <v>INVT03</v>
      </c>
      <c r="C22" s="25" t="str">
        <f>tblIndicators!H20</f>
        <v>Political will</v>
      </c>
      <c r="D22" s="206">
        <v>0</v>
      </c>
      <c r="E22" s="164">
        <v>2</v>
      </c>
      <c r="F22" s="164">
        <v>3</v>
      </c>
      <c r="G22" s="164">
        <v>3</v>
      </c>
      <c r="H22" s="164">
        <v>1</v>
      </c>
      <c r="I22" s="164">
        <v>2</v>
      </c>
      <c r="J22" s="164">
        <v>0</v>
      </c>
      <c r="K22" s="164">
        <v>1</v>
      </c>
      <c r="L22" s="164">
        <v>2</v>
      </c>
      <c r="M22" s="164">
        <v>2</v>
      </c>
      <c r="N22" s="164">
        <v>1</v>
      </c>
      <c r="O22" s="164">
        <v>2</v>
      </c>
      <c r="P22" s="164">
        <v>0</v>
      </c>
      <c r="Q22" s="164">
        <v>2</v>
      </c>
      <c r="R22" s="164">
        <v>1</v>
      </c>
      <c r="S22" s="164">
        <v>3</v>
      </c>
      <c r="T22" s="164">
        <v>1</v>
      </c>
      <c r="U22" s="164">
        <v>1</v>
      </c>
      <c r="V22" s="164">
        <v>0</v>
      </c>
    </row>
    <row r="23" spans="2:22">
      <c r="B23" s="28" t="str">
        <f>tblIndicators!A21</f>
        <v>FINC</v>
      </c>
      <c r="C23" s="185" t="str">
        <f>tblIndicators!H21</f>
        <v>Financial facilities</v>
      </c>
      <c r="D23" s="206"/>
      <c r="E23" s="164"/>
      <c r="F23" s="164"/>
      <c r="G23" s="164"/>
      <c r="H23" s="164"/>
      <c r="I23" s="164"/>
      <c r="J23" s="164"/>
      <c r="K23" s="164"/>
      <c r="L23" s="164"/>
      <c r="M23" s="164"/>
      <c r="N23" s="164"/>
      <c r="O23" s="164"/>
      <c r="P23" s="164"/>
      <c r="Q23" s="164"/>
      <c r="R23" s="164"/>
      <c r="S23" s="164"/>
      <c r="T23" s="164"/>
      <c r="U23" s="164"/>
      <c r="V23" s="164"/>
    </row>
    <row r="24" spans="2:22">
      <c r="B24" s="24" t="str">
        <f>tblIndicators!A22</f>
        <v>FINC01</v>
      </c>
      <c r="C24" s="25" t="str">
        <f>tblIndicators!H22</f>
        <v>Government payment risk</v>
      </c>
      <c r="D24" s="206">
        <v>1</v>
      </c>
      <c r="E24" s="164">
        <v>3</v>
      </c>
      <c r="F24" s="164">
        <v>4</v>
      </c>
      <c r="G24" s="164">
        <v>2</v>
      </c>
      <c r="H24" s="164">
        <v>2</v>
      </c>
      <c r="I24" s="164">
        <v>2</v>
      </c>
      <c r="J24" s="164">
        <v>0</v>
      </c>
      <c r="K24" s="164">
        <v>2</v>
      </c>
      <c r="L24" s="164">
        <v>2</v>
      </c>
      <c r="M24" s="164">
        <v>0</v>
      </c>
      <c r="N24" s="164">
        <v>0</v>
      </c>
      <c r="O24" s="164">
        <v>3</v>
      </c>
      <c r="P24" s="164">
        <v>0</v>
      </c>
      <c r="Q24" s="164">
        <v>3</v>
      </c>
      <c r="R24" s="164">
        <v>1</v>
      </c>
      <c r="S24" s="164">
        <v>3</v>
      </c>
      <c r="T24" s="164">
        <v>3</v>
      </c>
      <c r="U24" s="164">
        <v>2</v>
      </c>
      <c r="V24" s="164">
        <v>0</v>
      </c>
    </row>
    <row r="25" spans="2:22">
      <c r="B25" s="24" t="str">
        <f>tblIndicators!A23</f>
        <v>FINC02</v>
      </c>
      <c r="C25" s="25" t="str">
        <f>tblIndicators!H23</f>
        <v>Capital market: private infrastructure finance</v>
      </c>
      <c r="D25" s="206">
        <v>1</v>
      </c>
      <c r="E25" s="164">
        <v>3</v>
      </c>
      <c r="F25" s="164">
        <v>4</v>
      </c>
      <c r="G25" s="164">
        <v>2</v>
      </c>
      <c r="H25" s="164">
        <v>1</v>
      </c>
      <c r="I25" s="164">
        <v>1</v>
      </c>
      <c r="J25" s="164">
        <v>1</v>
      </c>
      <c r="K25" s="164">
        <v>2</v>
      </c>
      <c r="L25" s="164">
        <v>0</v>
      </c>
      <c r="M25" s="164">
        <v>0</v>
      </c>
      <c r="N25" s="164">
        <v>0</v>
      </c>
      <c r="O25" s="164">
        <v>3</v>
      </c>
      <c r="P25" s="164">
        <v>0</v>
      </c>
      <c r="Q25" s="164">
        <v>2</v>
      </c>
      <c r="R25" s="164">
        <v>1</v>
      </c>
      <c r="S25" s="164">
        <v>2</v>
      </c>
      <c r="T25" s="164">
        <v>2</v>
      </c>
      <c r="U25" s="164">
        <v>1</v>
      </c>
      <c r="V25" s="164">
        <v>1</v>
      </c>
    </row>
    <row r="26" spans="2:22">
      <c r="B26" s="24" t="str">
        <f>tblIndicators!A24</f>
        <v>FINC03</v>
      </c>
      <c r="C26" s="25" t="str">
        <f>tblIndicators!H24</f>
        <v>Marketable debt</v>
      </c>
      <c r="D26" s="206">
        <v>3</v>
      </c>
      <c r="E26" s="164">
        <v>3</v>
      </c>
      <c r="F26" s="164">
        <v>4</v>
      </c>
      <c r="G26" s="164">
        <v>3</v>
      </c>
      <c r="H26" s="164">
        <v>3</v>
      </c>
      <c r="I26" s="164">
        <v>1</v>
      </c>
      <c r="J26" s="164">
        <v>1</v>
      </c>
      <c r="K26" s="164">
        <v>2</v>
      </c>
      <c r="L26" s="164">
        <v>1</v>
      </c>
      <c r="M26" s="164">
        <v>1</v>
      </c>
      <c r="N26" s="164">
        <v>2</v>
      </c>
      <c r="O26" s="164">
        <v>3</v>
      </c>
      <c r="P26" s="164">
        <v>1</v>
      </c>
      <c r="Q26" s="164">
        <v>4</v>
      </c>
      <c r="R26" s="164">
        <v>1</v>
      </c>
      <c r="S26" s="164">
        <v>3</v>
      </c>
      <c r="T26" s="164">
        <v>3</v>
      </c>
      <c r="U26" s="164">
        <v>1</v>
      </c>
      <c r="V26" s="164">
        <v>1</v>
      </c>
    </row>
    <row r="27" spans="2:22">
      <c r="B27" s="24" t="str">
        <f>tblIndicators!A25</f>
        <v>FINC04</v>
      </c>
      <c r="C27" s="25" t="str">
        <f>tblIndicators!H25</f>
        <v>Government support and affordability for low income users</v>
      </c>
      <c r="D27" s="206">
        <v>0</v>
      </c>
      <c r="E27" s="164">
        <v>2</v>
      </c>
      <c r="F27" s="164">
        <v>3</v>
      </c>
      <c r="G27" s="164">
        <v>2</v>
      </c>
      <c r="H27" s="164">
        <v>1</v>
      </c>
      <c r="I27" s="164">
        <v>1</v>
      </c>
      <c r="J27" s="164">
        <v>0</v>
      </c>
      <c r="K27" s="164">
        <v>1</v>
      </c>
      <c r="L27" s="164">
        <v>2</v>
      </c>
      <c r="M27" s="224">
        <v>2</v>
      </c>
      <c r="N27" s="164">
        <v>2</v>
      </c>
      <c r="O27" s="164">
        <v>2</v>
      </c>
      <c r="P27" s="164">
        <v>1</v>
      </c>
      <c r="Q27" s="164">
        <v>1</v>
      </c>
      <c r="R27" s="164">
        <v>1</v>
      </c>
      <c r="S27" s="164">
        <v>2</v>
      </c>
      <c r="T27" s="164">
        <v>1</v>
      </c>
      <c r="U27" s="164">
        <v>1</v>
      </c>
      <c r="V27" s="164">
        <v>0</v>
      </c>
    </row>
    <row r="28" spans="2:22">
      <c r="B28" s="28" t="str">
        <f>tblIndicators!A26</f>
        <v>NEWSEC</v>
      </c>
      <c r="C28" s="185" t="str">
        <f>tblIndicators!H26</f>
        <v>Subnational adjustment</v>
      </c>
      <c r="D28" s="206"/>
      <c r="E28" s="164"/>
      <c r="F28" s="164"/>
      <c r="G28" s="164"/>
      <c r="H28" s="164"/>
      <c r="I28" s="164"/>
      <c r="J28" s="164"/>
      <c r="K28" s="164"/>
      <c r="L28" s="164"/>
      <c r="M28" s="164"/>
      <c r="N28" s="164"/>
      <c r="O28" s="164"/>
      <c r="P28" s="164"/>
      <c r="Q28" s="164"/>
      <c r="R28" s="164"/>
      <c r="S28" s="164"/>
      <c r="T28" s="164"/>
      <c r="U28" s="164"/>
      <c r="V28" s="164"/>
    </row>
    <row r="29" spans="2:22">
      <c r="B29" s="24" t="str">
        <f>tblIndicators!A27</f>
        <v>NEWSEC01</v>
      </c>
      <c r="C29" s="25" t="str">
        <f>tblIndicators!H27</f>
        <v>Subnational adjustment factor</v>
      </c>
      <c r="D29" s="206">
        <v>2</v>
      </c>
      <c r="E29" s="164">
        <v>3</v>
      </c>
      <c r="F29" s="164">
        <v>2</v>
      </c>
      <c r="G29" s="164">
        <v>2</v>
      </c>
      <c r="H29" s="164">
        <v>0</v>
      </c>
      <c r="I29" s="164">
        <v>1</v>
      </c>
      <c r="J29" s="164">
        <v>1</v>
      </c>
      <c r="K29" s="164">
        <v>0</v>
      </c>
      <c r="L29" s="164">
        <v>1</v>
      </c>
      <c r="M29" s="164">
        <v>0</v>
      </c>
      <c r="N29" s="164">
        <v>1</v>
      </c>
      <c r="O29" s="164">
        <v>2</v>
      </c>
      <c r="P29" s="164">
        <v>0</v>
      </c>
      <c r="Q29" s="164">
        <v>0</v>
      </c>
      <c r="R29" s="164">
        <v>1</v>
      </c>
      <c r="S29" s="164">
        <v>2</v>
      </c>
      <c r="T29" s="164">
        <v>1</v>
      </c>
      <c r="U29" s="164">
        <v>1</v>
      </c>
      <c r="V29" s="164">
        <v>0</v>
      </c>
    </row>
    <row r="30" spans="2:22" s="201" customFormat="1">
      <c r="B30" s="199" t="str">
        <f>tblIndicators!A28</f>
        <v>DEPE</v>
      </c>
      <c r="C30" s="200" t="str">
        <f>tblIndicators!H28</f>
        <v>Dependent variables</v>
      </c>
      <c r="D30" s="207"/>
      <c r="I30" s="202"/>
      <c r="N30" s="202"/>
      <c r="P30" s="202"/>
      <c r="R30" s="202"/>
      <c r="S30" s="202"/>
      <c r="T30" s="202"/>
      <c r="U30" s="202"/>
      <c r="V30" s="202"/>
    </row>
    <row r="31" spans="2:22">
      <c r="B31" s="24" t="str">
        <f>tblIndicators!A29</f>
        <v>DEPE01</v>
      </c>
      <c r="C31" s="25" t="str">
        <f>tblIndicators!H29</f>
        <v>EIU Transport and Power Infrastructure score</v>
      </c>
      <c r="D31" s="206">
        <v>2</v>
      </c>
      <c r="E31" s="164">
        <v>2.8</v>
      </c>
      <c r="F31" s="164">
        <v>1.2</v>
      </c>
      <c r="G31" s="164">
        <v>2.4</v>
      </c>
      <c r="H31" s="164">
        <v>2.6</v>
      </c>
      <c r="I31" s="164">
        <v>3</v>
      </c>
      <c r="J31" s="164">
        <v>3</v>
      </c>
      <c r="K31" s="164">
        <v>2.4</v>
      </c>
      <c r="L31" s="164">
        <v>2.6</v>
      </c>
      <c r="M31" s="164">
        <v>2.8</v>
      </c>
      <c r="N31" s="164">
        <v>1.4</v>
      </c>
      <c r="O31" s="164">
        <v>1.6</v>
      </c>
      <c r="P31" s="164">
        <v>3</v>
      </c>
      <c r="Q31" s="164">
        <v>1</v>
      </c>
      <c r="R31" s="164">
        <v>2.8</v>
      </c>
      <c r="S31" s="164">
        <v>2</v>
      </c>
      <c r="T31" s="164">
        <v>2.2000000000000002</v>
      </c>
      <c r="U31" s="164">
        <v>2</v>
      </c>
      <c r="V31" s="164">
        <v>2.8</v>
      </c>
    </row>
    <row r="32" spans="2:22">
      <c r="B32" s="24" t="str">
        <f>tblIndicators!A30</f>
        <v>DEPE02</v>
      </c>
      <c r="C32" s="25" t="str">
        <f>tblIndicators!H30</f>
        <v>WEF Transport Infrastructure score</v>
      </c>
      <c r="D32" s="206">
        <v>3.05</v>
      </c>
      <c r="E32" s="164">
        <v>2.8250000000000002</v>
      </c>
      <c r="F32" s="164">
        <v>4.8250000000000002</v>
      </c>
      <c r="G32" s="164">
        <v>2.95</v>
      </c>
      <c r="H32" s="164">
        <v>2.8</v>
      </c>
      <c r="I32" s="164">
        <v>3.7250000000000001</v>
      </c>
      <c r="J32" s="164">
        <v>2.9249999999999998</v>
      </c>
      <c r="K32" s="164">
        <v>4.125</v>
      </c>
      <c r="L32" s="164">
        <v>3.6749999999999998</v>
      </c>
      <c r="M32" s="164">
        <v>3.6749999999999998</v>
      </c>
      <c r="N32" s="164">
        <v>3.9249999999999998</v>
      </c>
      <c r="O32" s="164">
        <v>3.7250000000000001</v>
      </c>
      <c r="P32" s="164">
        <v>2.8250000000000002</v>
      </c>
      <c r="Q32" s="164">
        <v>4.375</v>
      </c>
      <c r="R32" s="164">
        <v>2.2250000000000001</v>
      </c>
      <c r="S32" s="164">
        <v>2.875</v>
      </c>
      <c r="T32" s="164">
        <v>4.4000000000000004</v>
      </c>
      <c r="U32" s="164">
        <v>3.6</v>
      </c>
      <c r="V32" s="164">
        <v>2.65</v>
      </c>
    </row>
    <row r="33" spans="2:29">
      <c r="B33" s="24" t="str">
        <f>tblIndicators!A31</f>
        <v>DEPE03</v>
      </c>
      <c r="C33" s="25" t="str">
        <f>tblIndicators!H31</f>
        <v>Domestic credit to private sector, 2008</v>
      </c>
      <c r="D33" s="206">
        <v>13.707642213597101</v>
      </c>
      <c r="E33" s="164">
        <v>55.713786444881002</v>
      </c>
      <c r="F33" s="164">
        <v>97.721618936660704</v>
      </c>
      <c r="G33" s="164">
        <v>34.163950063127899</v>
      </c>
      <c r="H33" s="164">
        <v>50.7603886103308</v>
      </c>
      <c r="I33" s="164">
        <v>20.9188743081959</v>
      </c>
      <c r="J33" s="164">
        <v>26.074243916816499</v>
      </c>
      <c r="K33" s="164">
        <v>41.303938786457799</v>
      </c>
      <c r="L33" s="164">
        <v>27.196099316182199</v>
      </c>
      <c r="M33" s="164">
        <v>51.408932297973301</v>
      </c>
      <c r="N33" s="164">
        <v>28.322047619428901</v>
      </c>
      <c r="O33" s="164">
        <v>21.086578332133602</v>
      </c>
      <c r="P33" s="164">
        <v>36.358726040852503</v>
      </c>
      <c r="Q33" s="164">
        <v>89.747834739993706</v>
      </c>
      <c r="R33" s="164">
        <v>24.4953277914267</v>
      </c>
      <c r="S33" s="164">
        <v>24.763543348940999</v>
      </c>
      <c r="T33" s="164">
        <v>28.940796186048502</v>
      </c>
      <c r="U33" s="164">
        <v>26.269399728517801</v>
      </c>
      <c r="V33" s="164">
        <v>21.515149703311899</v>
      </c>
    </row>
    <row r="34" spans="2:29">
      <c r="B34" s="24" t="str">
        <f>tblIndicators!A32</f>
        <v>DEPE04</v>
      </c>
      <c r="C34" s="25" t="str">
        <f>tblIndicators!H32</f>
        <v>Ease of doing business rank</v>
      </c>
      <c r="D34" s="206">
        <v>118</v>
      </c>
      <c r="E34" s="164">
        <v>129</v>
      </c>
      <c r="F34" s="164">
        <v>49</v>
      </c>
      <c r="G34" s="164">
        <v>37</v>
      </c>
      <c r="H34" s="164">
        <v>121</v>
      </c>
      <c r="I34" s="164">
        <v>86</v>
      </c>
      <c r="J34" s="164">
        <v>138</v>
      </c>
      <c r="K34" s="164">
        <v>84</v>
      </c>
      <c r="L34" s="164">
        <v>110</v>
      </c>
      <c r="M34" s="164">
        <v>141</v>
      </c>
      <c r="N34" s="164">
        <v>75</v>
      </c>
      <c r="O34" s="164">
        <v>51</v>
      </c>
      <c r="P34" s="164">
        <v>117</v>
      </c>
      <c r="Q34" s="164">
        <v>77</v>
      </c>
      <c r="R34" s="164">
        <v>124</v>
      </c>
      <c r="S34" s="164">
        <v>56</v>
      </c>
      <c r="T34" s="164">
        <v>81</v>
      </c>
      <c r="U34" s="164">
        <v>114</v>
      </c>
      <c r="V34" s="164">
        <v>177</v>
      </c>
    </row>
    <row r="35" spans="2:29">
      <c r="B35" s="24" t="str">
        <f>tblIndicators!A33</f>
        <v>DEPE05</v>
      </c>
      <c r="C35" s="25" t="str">
        <f>tblIndicators!H33</f>
        <v>Nominal GDP , 2009</v>
      </c>
      <c r="D35" s="206">
        <v>308.73989999999998</v>
      </c>
      <c r="E35" s="164">
        <v>1573.4087</v>
      </c>
      <c r="F35" s="164">
        <v>163.30510000000001</v>
      </c>
      <c r="G35" s="164">
        <v>230.67150000000001</v>
      </c>
      <c r="H35" s="164">
        <v>29.303100000000001</v>
      </c>
      <c r="I35" s="164">
        <v>45.959000000000003</v>
      </c>
      <c r="J35" s="164">
        <v>52.021900000000002</v>
      </c>
      <c r="K35" s="164">
        <v>21.469799999999999</v>
      </c>
      <c r="L35" s="164">
        <v>37.301000000000002</v>
      </c>
      <c r="M35" s="164">
        <v>14.4085</v>
      </c>
      <c r="N35" s="164">
        <v>12.337999999999999</v>
      </c>
      <c r="O35" s="164">
        <v>874.90350000000001</v>
      </c>
      <c r="P35" s="164">
        <v>6.149</v>
      </c>
      <c r="Q35" s="164">
        <v>24.594999999999999</v>
      </c>
      <c r="R35" s="164">
        <v>13.98</v>
      </c>
      <c r="S35" s="164">
        <v>126.73779999999999</v>
      </c>
      <c r="T35" s="164">
        <v>25.257999999999999</v>
      </c>
      <c r="U35" s="164">
        <v>31.510899999999999</v>
      </c>
      <c r="V35" s="164">
        <v>326.13299999999998</v>
      </c>
    </row>
    <row r="36" spans="2:29">
      <c r="B36" s="24" t="str">
        <f>tblIndicators!A34</f>
        <v>DEPE06</v>
      </c>
      <c r="C36" s="25" t="str">
        <f>tblIndicators!H34</f>
        <v>GDP per capita (PPP), 2009</v>
      </c>
      <c r="D36" s="206">
        <v>14560</v>
      </c>
      <c r="E36" s="164">
        <v>10360</v>
      </c>
      <c r="F36" s="164">
        <v>14390</v>
      </c>
      <c r="G36" s="164">
        <v>8700</v>
      </c>
      <c r="H36" s="164">
        <v>10251.4</v>
      </c>
      <c r="I36" s="164">
        <v>10650</v>
      </c>
      <c r="J36" s="164">
        <v>7890</v>
      </c>
      <c r="K36" s="164">
        <v>4840</v>
      </c>
      <c r="L36" s="164">
        <v>9310</v>
      </c>
      <c r="M36" s="164">
        <v>3740</v>
      </c>
      <c r="N36" s="164">
        <v>4790</v>
      </c>
      <c r="O36" s="164">
        <v>14916.9</v>
      </c>
      <c r="P36" s="164">
        <v>2940</v>
      </c>
      <c r="Q36" s="164">
        <v>15330</v>
      </c>
      <c r="R36" s="164">
        <v>4510</v>
      </c>
      <c r="S36" s="164">
        <v>8510</v>
      </c>
      <c r="T36" s="164">
        <v>13890</v>
      </c>
      <c r="U36" s="164">
        <v>13160</v>
      </c>
      <c r="V36" s="164">
        <v>12390</v>
      </c>
    </row>
    <row r="37" spans="2:29">
      <c r="B37" s="24" t="str">
        <f>tblIndicators!A35</f>
        <v>DEPE07</v>
      </c>
      <c r="C37" s="25" t="str">
        <f>tblIndicators!H35</f>
        <v>Electricity, water and gas sector value (% GDP),  2008</v>
      </c>
      <c r="D37" s="206">
        <v>2.7003275506342619</v>
      </c>
      <c r="E37" s="164">
        <v>1.4887246606848268</v>
      </c>
      <c r="F37" s="164">
        <v>1.0860391149673807</v>
      </c>
      <c r="G37" s="164">
        <v>1.5157758175884632</v>
      </c>
      <c r="H37" s="164">
        <v>1.7362141806571363</v>
      </c>
      <c r="I37" s="164">
        <v>1.3686108938817472</v>
      </c>
      <c r="J37" s="164">
        <v>0.41535921488327476</v>
      </c>
      <c r="K37" s="164">
        <v>1.3986520106753517</v>
      </c>
      <c r="L37" s="164">
        <v>1.5243757553149904</v>
      </c>
      <c r="M37" s="164">
        <v>1.7018281091434044</v>
      </c>
      <c r="N37" s="164">
        <v>2.1716172088802508</v>
      </c>
      <c r="O37" s="164">
        <v>0.85837989969813278</v>
      </c>
      <c r="P37" s="164">
        <v>2.5186462875121776</v>
      </c>
      <c r="Q37" s="164">
        <v>1.9427034412091193</v>
      </c>
      <c r="R37" s="164">
        <v>1.3895669808840649</v>
      </c>
      <c r="S37" s="164">
        <v>1.4713781196044577</v>
      </c>
      <c r="T37" s="164">
        <v>0.83144906268730745</v>
      </c>
      <c r="U37" s="164">
        <v>1.1277327311916248</v>
      </c>
      <c r="V37" s="164">
        <v>1.1337779054840635</v>
      </c>
    </row>
    <row r="38" spans="2:29">
      <c r="B38" s="24" t="str">
        <f>tblIndicators!A36</f>
        <v>DEPE08</v>
      </c>
      <c r="C38" s="25" t="str">
        <f>tblIndicators!H36</f>
        <v>Transport, storage and communications sector value (% of GDP) in 2008</v>
      </c>
      <c r="D38" s="206">
        <v>13.16773642996904</v>
      </c>
      <c r="E38" s="164">
        <v>3.8713576532636651</v>
      </c>
      <c r="F38" s="164">
        <v>6.553963647686686</v>
      </c>
      <c r="G38" s="164">
        <v>3.8469135234439449</v>
      </c>
      <c r="H38" s="164">
        <v>9.0487039202350594</v>
      </c>
      <c r="I38" s="164">
        <v>11.549597124957165</v>
      </c>
      <c r="J38" s="164">
        <v>4.6451571248051504</v>
      </c>
      <c r="K38" s="164">
        <v>7.1936038358890855</v>
      </c>
      <c r="L38" s="164">
        <v>6.2860858523274556</v>
      </c>
      <c r="M38" s="164">
        <v>8.399296771150464</v>
      </c>
      <c r="N38" s="164">
        <v>7.5630041943251571</v>
      </c>
      <c r="O38" s="164">
        <v>5.76303147172466</v>
      </c>
      <c r="P38" s="164">
        <v>4.6151757622219032</v>
      </c>
      <c r="Q38" s="164">
        <v>15.469046195884212</v>
      </c>
      <c r="R38" s="164">
        <v>4.8950313591467305</v>
      </c>
      <c r="S38" s="164">
        <v>6.0746664573850255</v>
      </c>
      <c r="T38" s="164">
        <v>4.1294669615360764</v>
      </c>
      <c r="U38" s="164">
        <v>9.6852547983167412</v>
      </c>
      <c r="V38" s="164">
        <v>4.9853341329975249</v>
      </c>
    </row>
    <row r="39" spans="2:29">
      <c r="B39" s="24" t="str">
        <f>tblIndicators!A37</f>
        <v>DEPE09</v>
      </c>
      <c r="C39" s="25" t="str">
        <f>tblIndicators!H37</f>
        <v>Electric power production, 2007</v>
      </c>
      <c r="D39" s="206">
        <v>2914.1464908048056</v>
      </c>
      <c r="E39" s="164">
        <v>2341.3739307114961</v>
      </c>
      <c r="F39" s="164">
        <v>3516.982760719362</v>
      </c>
      <c r="G39" s="164">
        <v>1246.9497758594591</v>
      </c>
      <c r="H39" s="164">
        <v>2029.7022819236286</v>
      </c>
      <c r="I39" s="164">
        <v>1512.0720186074834</v>
      </c>
      <c r="J39" s="164">
        <v>1299.2982889811785</v>
      </c>
      <c r="K39" s="164">
        <v>950.74950534333993</v>
      </c>
      <c r="L39" s="164">
        <v>655.62014739059816</v>
      </c>
      <c r="M39" s="164">
        <v>880.38561893715598</v>
      </c>
      <c r="N39" s="164">
        <v>2908.2891097989386</v>
      </c>
      <c r="O39" s="164">
        <v>2445.4192590016719</v>
      </c>
      <c r="P39" s="164">
        <v>573.54248003414443</v>
      </c>
      <c r="Q39" s="164">
        <v>1936.9845911619545</v>
      </c>
      <c r="R39" s="164">
        <v>8769.0763114482106</v>
      </c>
      <c r="S39" s="164">
        <v>1049.898098744721</v>
      </c>
      <c r="T39" s="164">
        <v>5768.640040475344</v>
      </c>
      <c r="U39" s="164">
        <v>2835.8202668787867</v>
      </c>
      <c r="V39" s="164">
        <v>4179.0197576683768</v>
      </c>
    </row>
    <row r="40" spans="2:29">
      <c r="B40" s="24" t="str">
        <f>tblIndicators!A38</f>
        <v>DEPE10</v>
      </c>
      <c r="C40" s="25" t="str">
        <f>tblIndicators!H38</f>
        <v>Improved water source, urban (% of urban population with access), 2006</v>
      </c>
      <c r="D40" s="206">
        <v>98</v>
      </c>
      <c r="E40" s="164">
        <v>97</v>
      </c>
      <c r="F40" s="164">
        <v>98</v>
      </c>
      <c r="G40" s="164">
        <v>99</v>
      </c>
      <c r="H40" s="164">
        <v>99</v>
      </c>
      <c r="I40" s="164">
        <v>97</v>
      </c>
      <c r="J40" s="164">
        <v>98</v>
      </c>
      <c r="K40" s="164">
        <v>94</v>
      </c>
      <c r="L40" s="164">
        <v>99</v>
      </c>
      <c r="M40" s="164">
        <v>95</v>
      </c>
      <c r="N40" s="164">
        <v>97</v>
      </c>
      <c r="O40" s="164">
        <v>98</v>
      </c>
      <c r="P40" s="164">
        <v>90</v>
      </c>
      <c r="Q40" s="164">
        <v>96</v>
      </c>
      <c r="R40" s="164">
        <v>94</v>
      </c>
      <c r="S40" s="164">
        <v>92</v>
      </c>
      <c r="T40" s="164">
        <v>97</v>
      </c>
      <c r="U40" s="164">
        <v>100</v>
      </c>
      <c r="V40" s="209">
        <v>0</v>
      </c>
    </row>
    <row r="41" spans="2:29">
      <c r="B41" s="24" t="str">
        <f>tblIndicators!A39</f>
        <v>DEPE11</v>
      </c>
      <c r="C41" s="25" t="str">
        <f>tblIndicators!H39</f>
        <v>Improved water source, rural (% of rural population with access), 2006</v>
      </c>
      <c r="D41" s="206">
        <v>80</v>
      </c>
      <c r="E41" s="164">
        <v>58</v>
      </c>
      <c r="F41" s="164">
        <v>72</v>
      </c>
      <c r="G41" s="164">
        <v>77</v>
      </c>
      <c r="H41" s="164">
        <v>96</v>
      </c>
      <c r="I41" s="164">
        <v>91</v>
      </c>
      <c r="J41" s="164">
        <v>91</v>
      </c>
      <c r="K41" s="164">
        <v>68</v>
      </c>
      <c r="L41" s="164">
        <v>94</v>
      </c>
      <c r="M41" s="164">
        <v>74</v>
      </c>
      <c r="N41" s="164">
        <v>88</v>
      </c>
      <c r="O41" s="164">
        <v>85</v>
      </c>
      <c r="P41" s="164">
        <v>63</v>
      </c>
      <c r="Q41" s="164">
        <v>81</v>
      </c>
      <c r="R41" s="164">
        <v>52</v>
      </c>
      <c r="S41" s="164">
        <v>63</v>
      </c>
      <c r="T41" s="164">
        <v>93</v>
      </c>
      <c r="U41" s="164">
        <v>100</v>
      </c>
      <c r="V41" s="209">
        <v>0</v>
      </c>
    </row>
    <row r="42" spans="2:29">
      <c r="C42" s="183"/>
      <c r="D42" s="183"/>
      <c r="E42" s="183"/>
      <c r="F42" s="183"/>
      <c r="G42" s="183"/>
      <c r="H42" s="183"/>
      <c r="I42" s="183"/>
      <c r="J42" s="183"/>
      <c r="K42" s="183"/>
      <c r="L42" s="183"/>
      <c r="M42" s="183"/>
      <c r="N42" s="183"/>
      <c r="O42" s="183"/>
      <c r="P42" s="183"/>
      <c r="Q42" s="183"/>
      <c r="R42" s="183"/>
      <c r="S42" s="183"/>
      <c r="T42" s="183"/>
      <c r="U42" s="183"/>
      <c r="V42" s="183"/>
      <c r="W42" s="86"/>
      <c r="X42" s="86"/>
      <c r="Y42" s="86"/>
      <c r="Z42" s="86"/>
      <c r="AA42" s="86"/>
      <c r="AB42" s="86"/>
      <c r="AC42" s="86"/>
    </row>
    <row r="43" spans="2:29">
      <c r="C43" s="183"/>
      <c r="D43" s="183"/>
      <c r="E43" s="183"/>
      <c r="F43" s="183"/>
      <c r="G43" s="183"/>
      <c r="H43" s="183"/>
      <c r="I43" s="183"/>
      <c r="J43" s="183"/>
      <c r="K43" s="183"/>
      <c r="L43" s="183"/>
      <c r="M43" s="183"/>
      <c r="N43" s="183"/>
      <c r="O43" s="183"/>
      <c r="P43" s="183"/>
      <c r="Q43" s="183"/>
      <c r="R43" s="183"/>
      <c r="S43" s="183"/>
      <c r="T43" s="183"/>
      <c r="U43" s="183"/>
      <c r="V43" s="183"/>
      <c r="W43" s="86"/>
      <c r="X43" s="86"/>
      <c r="Y43" s="86"/>
      <c r="Z43" s="86"/>
      <c r="AA43" s="86"/>
      <c r="AB43" s="86"/>
      <c r="AC43" s="86"/>
    </row>
    <row r="44" spans="2:29">
      <c r="C44" s="183"/>
      <c r="D44" s="183"/>
      <c r="E44" s="183"/>
      <c r="F44" s="183"/>
      <c r="G44" s="183"/>
      <c r="H44" s="183"/>
      <c r="I44" s="183"/>
      <c r="J44" s="183"/>
      <c r="K44" s="183"/>
      <c r="L44" s="183"/>
      <c r="M44" s="183"/>
      <c r="N44" s="183"/>
      <c r="O44" s="183"/>
      <c r="P44" s="183"/>
      <c r="Q44" s="183"/>
      <c r="R44" s="183"/>
      <c r="S44" s="183"/>
      <c r="T44" s="183"/>
      <c r="U44" s="183"/>
      <c r="V44" s="183"/>
      <c r="W44" s="86"/>
      <c r="X44" s="86"/>
      <c r="Y44" s="86"/>
      <c r="Z44" s="86"/>
      <c r="AA44" s="86"/>
      <c r="AB44" s="86"/>
      <c r="AC44" s="86"/>
    </row>
    <row r="45" spans="2:29">
      <c r="C45" s="183"/>
      <c r="D45" s="183"/>
      <c r="E45" s="183"/>
      <c r="F45" s="183"/>
      <c r="G45" s="183"/>
      <c r="H45" s="183"/>
      <c r="I45" s="183"/>
      <c r="J45" s="183"/>
      <c r="K45" s="183"/>
      <c r="L45" s="183"/>
      <c r="M45" s="183"/>
      <c r="N45" s="183"/>
      <c r="O45" s="183"/>
      <c r="P45" s="183"/>
      <c r="Q45" s="183"/>
      <c r="R45" s="183"/>
      <c r="S45" s="183"/>
      <c r="T45" s="183"/>
      <c r="U45" s="183"/>
      <c r="V45" s="183"/>
      <c r="W45" s="86"/>
      <c r="X45" s="86"/>
      <c r="Y45" s="86"/>
      <c r="Z45" s="86"/>
      <c r="AA45" s="86"/>
      <c r="AB45" s="86"/>
      <c r="AC45" s="86"/>
    </row>
    <row r="46" spans="2:29">
      <c r="C46" s="183"/>
      <c r="D46" s="183"/>
      <c r="E46" s="183"/>
      <c r="F46" s="183"/>
      <c r="G46" s="183"/>
      <c r="H46" s="183"/>
      <c r="I46" s="183"/>
      <c r="J46" s="183"/>
      <c r="K46" s="183"/>
      <c r="L46" s="183"/>
      <c r="M46" s="183"/>
      <c r="N46" s="183"/>
      <c r="O46" s="183"/>
      <c r="P46" s="183"/>
      <c r="Q46" s="183"/>
      <c r="R46" s="183"/>
      <c r="S46" s="183"/>
      <c r="T46" s="183"/>
      <c r="U46" s="183"/>
      <c r="V46" s="183"/>
      <c r="W46" s="86"/>
      <c r="X46" s="86"/>
      <c r="Y46" s="86"/>
      <c r="Z46" s="86"/>
      <c r="AA46" s="86"/>
      <c r="AB46" s="86"/>
      <c r="AC46" s="86"/>
    </row>
    <row r="47" spans="2:29">
      <c r="C47" s="183"/>
      <c r="D47" s="183"/>
      <c r="E47" s="183"/>
      <c r="F47" s="183"/>
      <c r="G47" s="183"/>
      <c r="H47" s="183"/>
      <c r="I47" s="183"/>
      <c r="J47" s="183"/>
      <c r="K47" s="183"/>
      <c r="L47" s="183"/>
      <c r="M47" s="183"/>
      <c r="N47" s="183"/>
      <c r="O47" s="183"/>
      <c r="P47" s="183"/>
      <c r="Q47" s="183"/>
      <c r="R47" s="183"/>
      <c r="S47" s="183"/>
      <c r="T47" s="183"/>
      <c r="U47" s="183"/>
      <c r="V47" s="183"/>
      <c r="W47" s="86"/>
      <c r="X47" s="86"/>
      <c r="Y47" s="86"/>
      <c r="Z47" s="86"/>
      <c r="AA47" s="86"/>
      <c r="AB47" s="86"/>
      <c r="AC47" s="86"/>
    </row>
    <row r="48" spans="2:29">
      <c r="C48" s="183"/>
      <c r="D48" s="183"/>
      <c r="E48" s="183"/>
      <c r="F48" s="183"/>
      <c r="G48" s="183"/>
      <c r="H48" s="183"/>
      <c r="I48" s="183"/>
      <c r="J48" s="183"/>
      <c r="K48" s="183"/>
      <c r="L48" s="183"/>
      <c r="M48" s="183"/>
      <c r="N48" s="183"/>
      <c r="O48" s="183"/>
      <c r="P48" s="183"/>
      <c r="Q48" s="183"/>
      <c r="R48" s="183"/>
      <c r="S48" s="183"/>
      <c r="T48" s="183"/>
      <c r="U48" s="183"/>
      <c r="V48" s="183"/>
      <c r="W48" s="86"/>
      <c r="X48" s="86"/>
      <c r="Y48" s="86"/>
      <c r="Z48" s="86"/>
      <c r="AA48" s="86"/>
      <c r="AB48" s="86"/>
      <c r="AC48" s="86"/>
    </row>
    <row r="49" spans="3:29">
      <c r="C49" s="183"/>
      <c r="D49" s="183"/>
      <c r="E49" s="183"/>
      <c r="F49" s="183"/>
      <c r="G49" s="183"/>
      <c r="H49" s="183"/>
      <c r="I49" s="183"/>
      <c r="J49" s="183"/>
      <c r="K49" s="183"/>
      <c r="L49" s="183"/>
      <c r="M49" s="183"/>
      <c r="N49" s="183"/>
      <c r="O49" s="183"/>
      <c r="P49" s="183"/>
      <c r="Q49" s="183"/>
      <c r="R49" s="183"/>
      <c r="S49" s="183"/>
      <c r="T49" s="183"/>
      <c r="U49" s="183"/>
      <c r="V49" s="183"/>
      <c r="W49" s="86"/>
      <c r="X49" s="86"/>
      <c r="Y49" s="86"/>
      <c r="Z49" s="86"/>
      <c r="AA49" s="86"/>
      <c r="AB49" s="86"/>
      <c r="AC49" s="86"/>
    </row>
    <row r="50" spans="3:29">
      <c r="C50" s="183"/>
      <c r="D50" s="183"/>
      <c r="E50" s="183"/>
      <c r="F50" s="183"/>
      <c r="G50" s="183"/>
      <c r="H50" s="183"/>
      <c r="I50" s="183"/>
      <c r="J50" s="183"/>
      <c r="K50" s="183"/>
      <c r="L50" s="183"/>
      <c r="M50" s="183"/>
      <c r="N50" s="183"/>
      <c r="O50" s="183"/>
      <c r="P50" s="183"/>
      <c r="Q50" s="183"/>
      <c r="R50" s="183"/>
      <c r="S50" s="183"/>
      <c r="T50" s="183"/>
      <c r="U50" s="183"/>
      <c r="V50" s="183"/>
      <c r="W50" s="86"/>
      <c r="X50" s="86"/>
      <c r="Y50" s="86"/>
      <c r="Z50" s="86"/>
      <c r="AA50" s="86"/>
      <c r="AB50" s="86"/>
      <c r="AC50" s="86"/>
    </row>
    <row r="51" spans="3:29">
      <c r="C51" s="183"/>
      <c r="D51" s="183"/>
      <c r="E51" s="183"/>
      <c r="F51" s="183"/>
      <c r="G51" s="183"/>
      <c r="H51" s="183"/>
      <c r="I51" s="183"/>
      <c r="J51" s="183"/>
      <c r="K51" s="183"/>
      <c r="L51" s="183"/>
      <c r="M51" s="183"/>
      <c r="N51" s="183"/>
      <c r="O51" s="183"/>
      <c r="P51" s="183"/>
      <c r="Q51" s="183"/>
      <c r="R51" s="183"/>
      <c r="S51" s="183"/>
      <c r="T51" s="183"/>
      <c r="U51" s="183"/>
      <c r="V51" s="183"/>
      <c r="W51" s="86"/>
      <c r="X51" s="86"/>
      <c r="Y51" s="86"/>
      <c r="Z51" s="86"/>
      <c r="AA51" s="86"/>
      <c r="AB51" s="86"/>
      <c r="AC51" s="86"/>
    </row>
    <row r="52" spans="3:29">
      <c r="C52" s="183"/>
      <c r="D52" s="183"/>
      <c r="E52" s="183"/>
      <c r="F52" s="183"/>
      <c r="G52" s="183"/>
      <c r="H52" s="183"/>
      <c r="I52" s="183"/>
      <c r="J52" s="183"/>
      <c r="K52" s="183"/>
      <c r="L52" s="183"/>
      <c r="M52" s="183"/>
      <c r="N52" s="183"/>
      <c r="O52" s="183"/>
      <c r="P52" s="183"/>
      <c r="Q52" s="183"/>
      <c r="R52" s="183"/>
      <c r="S52" s="183"/>
      <c r="T52" s="183"/>
      <c r="U52" s="183"/>
      <c r="V52" s="183"/>
      <c r="W52" s="86"/>
      <c r="X52" s="86"/>
      <c r="Y52" s="86"/>
      <c r="Z52" s="86"/>
      <c r="AA52" s="86"/>
      <c r="AB52" s="86"/>
      <c r="AC52" s="86"/>
    </row>
    <row r="53" spans="3:29">
      <c r="C53" s="183"/>
      <c r="D53" s="183"/>
      <c r="E53" s="183"/>
      <c r="F53" s="183"/>
      <c r="G53" s="183"/>
      <c r="H53" s="183"/>
      <c r="I53" s="183"/>
      <c r="J53" s="183"/>
      <c r="K53" s="183"/>
      <c r="L53" s="183"/>
      <c r="M53" s="183"/>
      <c r="N53" s="183"/>
      <c r="O53" s="183"/>
      <c r="P53" s="183"/>
      <c r="Q53" s="183"/>
      <c r="R53" s="183"/>
      <c r="S53" s="183"/>
      <c r="T53" s="183"/>
      <c r="U53" s="183"/>
      <c r="V53" s="183"/>
      <c r="W53" s="86"/>
      <c r="X53" s="86"/>
      <c r="Y53" s="86"/>
      <c r="Z53" s="86"/>
      <c r="AA53" s="86"/>
      <c r="AB53" s="86"/>
      <c r="AC53" s="86"/>
    </row>
    <row r="54" spans="3:29">
      <c r="C54" s="183"/>
      <c r="D54" s="183"/>
      <c r="E54" s="183"/>
      <c r="F54" s="183"/>
      <c r="G54" s="183"/>
      <c r="H54" s="183"/>
      <c r="I54" s="183"/>
      <c r="J54" s="183"/>
      <c r="K54" s="183"/>
      <c r="L54" s="183"/>
      <c r="M54" s="183"/>
      <c r="N54" s="183"/>
      <c r="O54" s="183"/>
      <c r="P54" s="183"/>
      <c r="Q54" s="183"/>
      <c r="R54" s="183"/>
      <c r="S54" s="183"/>
      <c r="T54" s="183"/>
      <c r="U54" s="183"/>
      <c r="V54" s="183"/>
      <c r="W54" s="86"/>
      <c r="X54" s="86"/>
      <c r="Y54" s="86"/>
      <c r="Z54" s="86"/>
      <c r="AA54" s="86"/>
      <c r="AB54" s="86"/>
      <c r="AC54" s="86"/>
    </row>
    <row r="55" spans="3:29">
      <c r="C55" s="86"/>
      <c r="D55" s="86"/>
      <c r="E55" s="86"/>
      <c r="F55" s="86"/>
      <c r="G55" s="86"/>
      <c r="H55" s="86"/>
      <c r="I55" s="183"/>
      <c r="J55" s="86"/>
      <c r="K55" s="86"/>
      <c r="L55" s="86"/>
      <c r="M55" s="86"/>
      <c r="N55" s="183"/>
      <c r="O55" s="86"/>
      <c r="P55" s="183"/>
      <c r="Q55" s="86"/>
      <c r="R55" s="183"/>
      <c r="S55" s="183"/>
      <c r="T55" s="183"/>
      <c r="U55" s="183"/>
      <c r="V55" s="183"/>
      <c r="W55" s="86"/>
      <c r="X55" s="86"/>
      <c r="Y55" s="86"/>
      <c r="Z55" s="86"/>
      <c r="AA55" s="86"/>
      <c r="AB55" s="86"/>
      <c r="AC55" s="86"/>
    </row>
    <row r="56" spans="3:29">
      <c r="C56" s="86"/>
      <c r="D56" s="86"/>
      <c r="E56" s="86"/>
      <c r="F56" s="86"/>
      <c r="G56" s="86"/>
      <c r="H56" s="86"/>
      <c r="I56" s="183"/>
      <c r="J56" s="86"/>
      <c r="K56" s="86"/>
      <c r="L56" s="86"/>
      <c r="M56" s="86"/>
      <c r="N56" s="183"/>
      <c r="O56" s="86"/>
      <c r="P56" s="183"/>
      <c r="Q56" s="86"/>
      <c r="R56" s="183"/>
      <c r="S56" s="183"/>
      <c r="T56" s="183"/>
      <c r="U56" s="183"/>
      <c r="V56" s="183"/>
      <c r="W56" s="86"/>
      <c r="X56" s="86"/>
      <c r="Y56" s="86"/>
      <c r="Z56" s="86"/>
      <c r="AA56" s="86"/>
      <c r="AB56" s="86"/>
      <c r="AC56" s="86"/>
    </row>
    <row r="57" spans="3:29">
      <c r="C57" s="86"/>
      <c r="D57" s="86"/>
      <c r="E57" s="86"/>
      <c r="F57" s="86"/>
      <c r="G57" s="86"/>
      <c r="H57" s="86"/>
      <c r="I57" s="183"/>
      <c r="J57" s="86"/>
      <c r="K57" s="86"/>
      <c r="L57" s="86"/>
      <c r="M57" s="86"/>
      <c r="N57" s="183"/>
      <c r="O57" s="86"/>
      <c r="P57" s="183"/>
      <c r="Q57" s="86"/>
      <c r="R57" s="183"/>
      <c r="S57" s="183"/>
      <c r="T57" s="183"/>
      <c r="U57" s="183"/>
      <c r="V57" s="183"/>
      <c r="W57" s="86"/>
      <c r="X57" s="86"/>
      <c r="Y57" s="86"/>
      <c r="Z57" s="86"/>
      <c r="AA57" s="86"/>
      <c r="AB57" s="86"/>
      <c r="AC57" s="86"/>
    </row>
    <row r="58" spans="3:29">
      <c r="C58" s="86"/>
      <c r="D58" s="86"/>
      <c r="E58" s="86"/>
      <c r="F58" s="86"/>
      <c r="G58" s="86"/>
      <c r="H58" s="86"/>
      <c r="I58" s="183"/>
      <c r="J58" s="86"/>
      <c r="K58" s="86"/>
      <c r="L58" s="86"/>
      <c r="M58" s="86"/>
      <c r="N58" s="183"/>
      <c r="O58" s="86"/>
      <c r="P58" s="183"/>
      <c r="Q58" s="86"/>
      <c r="R58" s="183"/>
      <c r="S58" s="183"/>
      <c r="T58" s="183"/>
      <c r="U58" s="183"/>
      <c r="V58" s="183"/>
      <c r="W58" s="86"/>
      <c r="X58" s="86"/>
      <c r="Y58" s="86"/>
      <c r="Z58" s="86"/>
      <c r="AA58" s="86"/>
      <c r="AB58" s="86"/>
      <c r="AC58" s="86"/>
    </row>
    <row r="59" spans="3:29">
      <c r="C59" s="86"/>
      <c r="D59" s="86"/>
      <c r="E59" s="86"/>
      <c r="F59" s="86"/>
      <c r="G59" s="86"/>
      <c r="H59" s="86"/>
      <c r="I59" s="183"/>
      <c r="J59" s="86"/>
      <c r="K59" s="86"/>
      <c r="L59" s="86"/>
      <c r="M59" s="86"/>
      <c r="N59" s="183"/>
      <c r="O59" s="86"/>
      <c r="P59" s="183"/>
      <c r="Q59" s="86"/>
      <c r="R59" s="183"/>
      <c r="S59" s="183"/>
      <c r="T59" s="183"/>
      <c r="U59" s="183"/>
      <c r="V59" s="183"/>
      <c r="W59" s="86"/>
      <c r="X59" s="86"/>
      <c r="Y59" s="86"/>
      <c r="Z59" s="86"/>
      <c r="AA59" s="86"/>
      <c r="AB59" s="86"/>
      <c r="AC59" s="86"/>
    </row>
    <row r="60" spans="3:29">
      <c r="C60" s="86"/>
      <c r="D60" s="86"/>
      <c r="E60" s="86"/>
      <c r="F60" s="86"/>
      <c r="G60" s="86"/>
      <c r="H60" s="86"/>
      <c r="I60" s="183"/>
      <c r="J60" s="86"/>
      <c r="K60" s="86"/>
      <c r="L60" s="86"/>
      <c r="M60" s="86"/>
      <c r="N60" s="183"/>
      <c r="O60" s="86"/>
      <c r="P60" s="183"/>
      <c r="Q60" s="86"/>
      <c r="R60" s="183"/>
      <c r="S60" s="183"/>
      <c r="T60" s="183"/>
      <c r="U60" s="183"/>
      <c r="V60" s="183"/>
      <c r="W60" s="86"/>
      <c r="X60" s="86"/>
      <c r="Y60" s="86"/>
      <c r="Z60" s="86"/>
      <c r="AA60" s="86"/>
      <c r="AB60" s="86"/>
      <c r="AC60" s="86"/>
    </row>
    <row r="61" spans="3:29">
      <c r="C61" s="86"/>
      <c r="D61" s="86"/>
      <c r="E61" s="86"/>
      <c r="F61" s="86"/>
      <c r="G61" s="86"/>
      <c r="H61" s="86"/>
      <c r="I61" s="183"/>
      <c r="J61" s="86"/>
      <c r="K61" s="86"/>
      <c r="L61" s="86"/>
      <c r="M61" s="86"/>
      <c r="N61" s="183"/>
      <c r="O61" s="86"/>
      <c r="P61" s="183"/>
      <c r="Q61" s="86"/>
      <c r="R61" s="183"/>
      <c r="S61" s="183"/>
      <c r="T61" s="183"/>
      <c r="U61" s="183"/>
      <c r="V61" s="183"/>
      <c r="W61" s="86"/>
      <c r="X61" s="86"/>
      <c r="Y61" s="86"/>
      <c r="Z61" s="86"/>
      <c r="AA61" s="86"/>
      <c r="AB61" s="86"/>
      <c r="AC61" s="86"/>
    </row>
    <row r="62" spans="3:29">
      <c r="C62" s="86"/>
      <c r="D62" s="86"/>
      <c r="E62" s="86"/>
      <c r="F62" s="86"/>
      <c r="G62" s="86"/>
      <c r="H62" s="86"/>
      <c r="I62" s="183"/>
      <c r="J62" s="86"/>
      <c r="K62" s="86"/>
      <c r="L62" s="86"/>
      <c r="M62" s="86"/>
      <c r="N62" s="183"/>
      <c r="O62" s="86"/>
      <c r="P62" s="183"/>
      <c r="Q62" s="86"/>
      <c r="R62" s="183"/>
      <c r="S62" s="183"/>
      <c r="T62" s="183"/>
      <c r="U62" s="183"/>
      <c r="V62" s="183"/>
      <c r="W62" s="86"/>
      <c r="X62" s="86"/>
      <c r="Y62" s="86"/>
      <c r="Z62" s="86"/>
      <c r="AA62" s="86"/>
      <c r="AB62" s="86"/>
      <c r="AC62" s="86"/>
    </row>
    <row r="63" spans="3:29">
      <c r="C63" s="86"/>
      <c r="D63" s="86"/>
      <c r="E63" s="86"/>
      <c r="F63" s="86"/>
      <c r="G63" s="86"/>
      <c r="H63" s="86"/>
      <c r="I63" s="183"/>
      <c r="J63" s="86"/>
      <c r="K63" s="86"/>
      <c r="L63" s="86"/>
      <c r="M63" s="86"/>
      <c r="N63" s="183"/>
      <c r="O63" s="86"/>
      <c r="P63" s="183"/>
      <c r="Q63" s="86"/>
      <c r="R63" s="183"/>
      <c r="S63" s="183"/>
      <c r="T63" s="183"/>
      <c r="U63" s="183"/>
      <c r="V63" s="183"/>
      <c r="W63" s="86"/>
      <c r="X63" s="86"/>
      <c r="Y63" s="86"/>
      <c r="Z63" s="86"/>
      <c r="AA63" s="86"/>
      <c r="AB63" s="86"/>
      <c r="AC63" s="86"/>
    </row>
    <row r="64" spans="3:29">
      <c r="C64" s="86"/>
      <c r="D64" s="86"/>
      <c r="E64" s="86"/>
      <c r="F64" s="86"/>
      <c r="G64" s="86"/>
      <c r="H64" s="86"/>
      <c r="I64" s="183"/>
      <c r="J64" s="86"/>
      <c r="K64" s="86"/>
      <c r="L64" s="86"/>
      <c r="M64" s="86"/>
      <c r="N64" s="183"/>
      <c r="O64" s="86"/>
      <c r="P64" s="183"/>
      <c r="Q64" s="86"/>
      <c r="R64" s="183"/>
      <c r="S64" s="183"/>
      <c r="T64" s="183"/>
      <c r="U64" s="183"/>
      <c r="V64" s="183"/>
      <c r="W64" s="86"/>
      <c r="X64" s="86"/>
      <c r="Y64" s="86"/>
      <c r="Z64" s="86"/>
      <c r="AA64" s="86"/>
      <c r="AB64" s="86"/>
      <c r="AC64" s="86"/>
    </row>
    <row r="65" spans="3:29">
      <c r="C65" s="86"/>
      <c r="D65" s="86"/>
      <c r="E65" s="86"/>
      <c r="F65" s="86"/>
      <c r="G65" s="86"/>
      <c r="H65" s="86"/>
      <c r="I65" s="183"/>
      <c r="J65" s="86"/>
      <c r="K65" s="86"/>
      <c r="L65" s="86"/>
      <c r="M65" s="86"/>
      <c r="N65" s="183"/>
      <c r="O65" s="86"/>
      <c r="P65" s="183"/>
      <c r="Q65" s="86"/>
      <c r="R65" s="183"/>
      <c r="S65" s="183"/>
      <c r="T65" s="183"/>
      <c r="U65" s="183"/>
      <c r="V65" s="183"/>
      <c r="W65" s="86"/>
      <c r="X65" s="86"/>
      <c r="Y65" s="86"/>
      <c r="Z65" s="86"/>
      <c r="AA65" s="86"/>
      <c r="AB65" s="86"/>
      <c r="AC65" s="86"/>
    </row>
    <row r="66" spans="3:29">
      <c r="C66" s="86"/>
      <c r="D66" s="86"/>
      <c r="E66" s="86"/>
      <c r="F66" s="86"/>
      <c r="G66" s="86"/>
      <c r="H66" s="86"/>
      <c r="I66" s="183"/>
      <c r="J66" s="86"/>
      <c r="K66" s="86"/>
      <c r="L66" s="86"/>
      <c r="M66" s="86"/>
      <c r="N66" s="183"/>
      <c r="O66" s="86"/>
      <c r="P66" s="183"/>
      <c r="Q66" s="86"/>
      <c r="R66" s="183"/>
      <c r="S66" s="183"/>
      <c r="T66" s="183"/>
      <c r="U66" s="183"/>
      <c r="V66" s="183"/>
      <c r="W66" s="86"/>
      <c r="X66" s="86"/>
      <c r="Y66" s="86"/>
      <c r="Z66" s="86"/>
      <c r="AA66" s="86"/>
      <c r="AB66" s="86"/>
      <c r="AC66" s="86"/>
    </row>
    <row r="67" spans="3:29">
      <c r="N67" s="184"/>
    </row>
    <row r="68" spans="3:29">
      <c r="N68" s="184"/>
    </row>
    <row r="69" spans="3:29">
      <c r="N69" s="184"/>
    </row>
    <row r="70" spans="3:29">
      <c r="N70" s="184"/>
    </row>
    <row r="71" spans="3:29">
      <c r="N71" s="184"/>
    </row>
    <row r="72" spans="3:29">
      <c r="N72" s="184"/>
    </row>
    <row r="73" spans="3:29">
      <c r="N73" s="184"/>
    </row>
    <row r="74" spans="3:29">
      <c r="N74" s="184"/>
    </row>
    <row r="75" spans="3:29">
      <c r="N75" s="184"/>
    </row>
    <row r="76" spans="3:29">
      <c r="N76" s="184"/>
    </row>
    <row r="77" spans="3:29">
      <c r="N77" s="184"/>
    </row>
    <row r="78" spans="3:29">
      <c r="N78" s="184"/>
    </row>
    <row r="79" spans="3:29">
      <c r="N79" s="184"/>
    </row>
    <row r="80" spans="3:29">
      <c r="N80" s="184"/>
    </row>
    <row r="81" spans="14:14">
      <c r="N81" s="184"/>
    </row>
    <row r="82" spans="14:14">
      <c r="N82" s="184"/>
    </row>
    <row r="83" spans="14:14">
      <c r="N83" s="184"/>
    </row>
    <row r="84" spans="14:14">
      <c r="N84" s="184"/>
    </row>
    <row r="85" spans="14:14">
      <c r="N85" s="184"/>
    </row>
    <row r="86" spans="14:14">
      <c r="N86" s="184"/>
    </row>
    <row r="87" spans="14:14">
      <c r="N87" s="184"/>
    </row>
    <row r="88" spans="14:14">
      <c r="N88" s="184"/>
    </row>
    <row r="89" spans="14:14">
      <c r="N89" s="184"/>
    </row>
    <row r="90" spans="14:14">
      <c r="N90" s="184"/>
    </row>
    <row r="91" spans="14:14">
      <c r="N91" s="184"/>
    </row>
    <row r="92" spans="14:14">
      <c r="N92" s="184"/>
    </row>
    <row r="93" spans="14:14">
      <c r="N93" s="184"/>
    </row>
    <row r="94" spans="14:14">
      <c r="N94" s="184"/>
    </row>
    <row r="95" spans="14:14">
      <c r="N95" s="184"/>
    </row>
    <row r="96" spans="14:14">
      <c r="N96" s="184"/>
    </row>
    <row r="97" spans="14:14">
      <c r="N97" s="184"/>
    </row>
    <row r="98" spans="14:14">
      <c r="N98" s="184"/>
    </row>
    <row r="99" spans="14:14">
      <c r="N99" s="184"/>
    </row>
    <row r="100" spans="14:14">
      <c r="N100" s="184"/>
    </row>
    <row r="101" spans="14:14">
      <c r="N101" s="184"/>
    </row>
    <row r="102" spans="14:14">
      <c r="N102" s="184"/>
    </row>
    <row r="103" spans="14:14">
      <c r="N103" s="184"/>
    </row>
    <row r="104" spans="14:14">
      <c r="N104" s="184"/>
    </row>
    <row r="105" spans="14:14">
      <c r="N105" s="184"/>
    </row>
    <row r="106" spans="14:14">
      <c r="N106" s="184"/>
    </row>
    <row r="107" spans="14:14">
      <c r="N107" s="184"/>
    </row>
    <row r="108" spans="14:14">
      <c r="N108" s="184"/>
    </row>
    <row r="109" spans="14:14">
      <c r="N109" s="184"/>
    </row>
    <row r="110" spans="14:14">
      <c r="N110" s="184"/>
    </row>
    <row r="111" spans="14:14">
      <c r="N111" s="184"/>
    </row>
    <row r="112" spans="14:14">
      <c r="N112" s="184"/>
    </row>
    <row r="113" spans="14:14">
      <c r="N113" s="184"/>
    </row>
    <row r="114" spans="14:14">
      <c r="N114" s="184"/>
    </row>
    <row r="115" spans="14:14">
      <c r="N115" s="184"/>
    </row>
    <row r="116" spans="14:14">
      <c r="N116" s="184"/>
    </row>
    <row r="117" spans="14:14">
      <c r="N117" s="184"/>
    </row>
    <row r="118" spans="14:14">
      <c r="N118" s="184"/>
    </row>
    <row r="119" spans="14:14">
      <c r="N119" s="184"/>
    </row>
    <row r="120" spans="14:14">
      <c r="N120" s="184"/>
    </row>
    <row r="121" spans="14:14">
      <c r="N121" s="184"/>
    </row>
    <row r="122" spans="14:14">
      <c r="N122" s="184"/>
    </row>
    <row r="123" spans="14:14">
      <c r="N123" s="184"/>
    </row>
    <row r="124" spans="14:14">
      <c r="N124" s="184"/>
    </row>
  </sheetData>
  <phoneticPr fontId="0" type="noConversion"/>
  <pageMargins left="0.7" right="0.7" top="0.75" bottom="0.75" header="0.3" footer="0.3"/>
  <pageSetup paperSize="0" orientation="portrait" horizontalDpi="0" verticalDpi="0" copies="0"/>
</worksheet>
</file>

<file path=xl/worksheets/sheet2.xml><?xml version="1.0" encoding="utf-8"?>
<worksheet xmlns="http://schemas.openxmlformats.org/spreadsheetml/2006/main" xmlns:r="http://schemas.openxmlformats.org/officeDocument/2006/relationships">
  <sheetPr codeName="Sheet7"/>
  <dimension ref="A2:B8"/>
  <sheetViews>
    <sheetView workbookViewId="0">
      <selection activeCell="D16" sqref="D16"/>
    </sheetView>
  </sheetViews>
  <sheetFormatPr defaultRowHeight="15"/>
  <sheetData>
    <row r="2" spans="1:2">
      <c r="A2" s="34" t="s">
        <v>981</v>
      </c>
      <c r="B2" s="34" t="s">
        <v>983</v>
      </c>
    </row>
    <row r="3" spans="1:2">
      <c r="A3" s="8" t="s">
        <v>987</v>
      </c>
      <c r="B3" s="35" t="s">
        <v>988</v>
      </c>
    </row>
    <row r="4" spans="1:2">
      <c r="A4" s="8" t="s">
        <v>1009</v>
      </c>
      <c r="B4" s="8" t="s">
        <v>1010</v>
      </c>
    </row>
    <row r="5" spans="1:2">
      <c r="A5" s="8" t="s">
        <v>1021</v>
      </c>
      <c r="B5" s="8" t="s">
        <v>1022</v>
      </c>
    </row>
    <row r="6" spans="1:2">
      <c r="A6" s="8" t="s">
        <v>794</v>
      </c>
      <c r="B6" s="8" t="s">
        <v>795</v>
      </c>
    </row>
    <row r="7" spans="1:2">
      <c r="A7" s="8" t="s">
        <v>807</v>
      </c>
      <c r="B7" s="8" t="s">
        <v>808</v>
      </c>
    </row>
    <row r="8" spans="1:2">
      <c r="A8" s="8" t="s">
        <v>1047</v>
      </c>
      <c r="B8" s="8" t="s">
        <v>1061</v>
      </c>
    </row>
  </sheetData>
  <phoneticPr fontId="0" type="noConversion"/>
  <pageMargins left="0.7" right="0.7" top="0.75" bottom="0.75" header="0.3" footer="0.3"/>
</worksheet>
</file>

<file path=xl/worksheets/sheet20.xml><?xml version="1.0" encoding="utf-8"?>
<worksheet xmlns="http://schemas.openxmlformats.org/spreadsheetml/2006/main" xmlns:r="http://schemas.openxmlformats.org/officeDocument/2006/relationships">
  <sheetPr codeName="Sheet10"/>
  <dimension ref="A1:AK47"/>
  <sheetViews>
    <sheetView showGridLines="0" showRowColHeaders="0" workbookViewId="0">
      <selection activeCell="H4" sqref="H4"/>
    </sheetView>
  </sheetViews>
  <sheetFormatPr defaultRowHeight="15"/>
  <cols>
    <col min="1" max="1" width="1.140625" customWidth="1"/>
    <col min="2" max="2" width="10" hidden="1" customWidth="1"/>
    <col min="3" max="3" width="9.42578125" hidden="1" customWidth="1"/>
    <col min="4" max="13" width="5.28515625" hidden="1" customWidth="1"/>
    <col min="14" max="14" width="9.85546875" hidden="1" customWidth="1"/>
    <col min="15" max="15" width="5" customWidth="1"/>
    <col min="16" max="16" width="49.5703125" customWidth="1"/>
    <col min="18" max="18" width="1.85546875" customWidth="1"/>
    <col min="27" max="27" width="9.7109375" customWidth="1"/>
  </cols>
  <sheetData>
    <row r="1" spans="1:37" s="72" customFormat="1" ht="21.75" customHeight="1">
      <c r="A1" s="72" t="s">
        <v>837</v>
      </c>
    </row>
    <row r="5" spans="1:37" ht="24">
      <c r="P5" s="99"/>
      <c r="Q5" s="99" t="s">
        <v>1038</v>
      </c>
      <c r="R5" s="30"/>
      <c r="S5" s="31" t="str">
        <f>Data2010!D3</f>
        <v>Argentina</v>
      </c>
      <c r="T5" s="31" t="str">
        <f>Data2010!E3</f>
        <v>Brazil</v>
      </c>
      <c r="U5" s="31" t="str">
        <f>Data2010!F3</f>
        <v xml:space="preserve">Chile </v>
      </c>
      <c r="V5" s="31" t="str">
        <f>Data2010!G3</f>
        <v>Colombia</v>
      </c>
      <c r="W5" s="31" t="str">
        <f>Data2010!H3</f>
        <v>Costa Rica</v>
      </c>
      <c r="X5" s="31" t="str">
        <f>Data2010!I3</f>
        <v>Dominican Rep.</v>
      </c>
      <c r="Y5" s="31" t="str">
        <f>Data2010!J3</f>
        <v>Ecuador</v>
      </c>
      <c r="Z5" s="31" t="str">
        <f>Data2010!K3</f>
        <v>El Salvador</v>
      </c>
      <c r="AA5" s="31" t="str">
        <f>Data2010!L3</f>
        <v>Guatemala</v>
      </c>
      <c r="AB5" s="31" t="str">
        <f>Data2010!M3</f>
        <v>Honduras</v>
      </c>
      <c r="AC5" s="31" t="str">
        <f>Data2010!N3</f>
        <v>Jamaica</v>
      </c>
      <c r="AD5" s="31" t="str">
        <f>Data2010!O3</f>
        <v>Mexico</v>
      </c>
      <c r="AE5" s="31" t="str">
        <f>Data2010!P3</f>
        <v>Nicaragua</v>
      </c>
      <c r="AF5" s="31" t="str">
        <f>Data2010!Q3</f>
        <v>Panama</v>
      </c>
      <c r="AG5" s="31" t="str">
        <f>Data2010!R3</f>
        <v>Paraguay</v>
      </c>
      <c r="AH5" s="31" t="str">
        <f>Data2010!S3</f>
        <v>Peru</v>
      </c>
      <c r="AI5" s="31" t="str">
        <f>Data2010!T3</f>
        <v>Trinidad &amp; Tobago</v>
      </c>
      <c r="AJ5" s="31" t="str">
        <f>Data2010!U3</f>
        <v>Uruguay</v>
      </c>
      <c r="AK5" s="31" t="str">
        <f>Data2010!V3</f>
        <v>Venezuela</v>
      </c>
    </row>
    <row r="6" spans="1:37">
      <c r="B6" s="32" t="s">
        <v>964</v>
      </c>
      <c r="C6" s="32" t="s">
        <v>965</v>
      </c>
      <c r="D6" s="32" t="s">
        <v>967</v>
      </c>
      <c r="E6" s="32" t="s">
        <v>968</v>
      </c>
      <c r="F6" s="32" t="s">
        <v>969</v>
      </c>
      <c r="G6" s="32" t="s">
        <v>970</v>
      </c>
      <c r="H6" s="32" t="s">
        <v>1032</v>
      </c>
      <c r="I6" s="32" t="s">
        <v>1033</v>
      </c>
      <c r="J6" s="32" t="s">
        <v>1034</v>
      </c>
      <c r="K6" s="33" t="s">
        <v>1035</v>
      </c>
      <c r="L6" s="33"/>
      <c r="M6" s="32" t="s">
        <v>1036</v>
      </c>
      <c r="N6" s="32" t="s">
        <v>1037</v>
      </c>
      <c r="Q6" s="100"/>
    </row>
    <row r="7" spans="1:37" s="95" customFormat="1">
      <c r="B7" s="95" t="str">
        <f>tblIndicators!A2</f>
        <v>TOTL</v>
      </c>
      <c r="C7" s="95">
        <f>tblIndicators!B2</f>
        <v>0</v>
      </c>
      <c r="D7" s="95" t="str">
        <f>tblIndicators!D2</f>
        <v>WS</v>
      </c>
      <c r="E7" s="95">
        <f>tblIndicators!E2</f>
        <v>0</v>
      </c>
      <c r="F7" s="95">
        <f>tblIndicators!F2</f>
        <v>0</v>
      </c>
      <c r="G7" s="95">
        <f>tblIndicators!G2</f>
        <v>0</v>
      </c>
      <c r="H7" s="95">
        <f>MIN(Data2010!D4:V4)</f>
        <v>0</v>
      </c>
      <c r="I7" s="95">
        <f>MAX(Data2010!D4:V4)</f>
        <v>0</v>
      </c>
      <c r="J7" s="96">
        <f>I7-H7</f>
        <v>0</v>
      </c>
      <c r="L7" s="95">
        <f>tblIndicators!S2</f>
        <v>1</v>
      </c>
      <c r="P7" s="95" t="str">
        <f>tblIndicators!Q2</f>
        <v>OVERALL SCORE</v>
      </c>
      <c r="Q7" s="101"/>
      <c r="S7" s="97">
        <f>IF($D7="WS",SUMPRODUCT(($C8:$C$32=$B7)*($Q8:$Q$32)*(S8:S$32)),IF($D7="MM",100*ABS(($G7-(Data2010!D4-$H7)/$J7)),IF($D7="XX",ABS((100*$G7)-((Data2010!D4-$E7)*$F7)),"na")))</f>
        <v>27.482665973386791</v>
      </c>
      <c r="T7" s="97">
        <f>IF($D7="WS",SUMPRODUCT(($C8:$C$32=$B7)*($Q8:$Q$32)*(T8:T$32)),IF($D7="MM",100*ABS(($G7-(Data2010!E4-$H7)/$J7)),IF($D7="XX",ABS((100*$G7)-((Data2010!E4-$E7)*$F7)),"na")))</f>
        <v>73.24372154239839</v>
      </c>
      <c r="U7" s="97">
        <f>IF($D7="WS",SUMPRODUCT(($C8:$C$32=$B7)*($Q8:$Q$32)*(U8:U$32)),IF($D7="MM",100*ABS(($G7-(Data2010!F4-$H7)/$J7)),IF($D7="XX",ABS((100*$G7)-((Data2010!F4-$E7)*$F7)),"na")))</f>
        <v>79.311183890980303</v>
      </c>
      <c r="V7" s="97">
        <f>IF($D7="WS",SUMPRODUCT(($C8:$C$32=$B7)*($Q8:$Q$32)*(V8:V$32)),IF($D7="MM",100*ABS(($G7-(Data2010!G4-$H7)/$J7)),IF($D7="XX",ABS((100*$G7)-((Data2010!G4-$E7)*$F7)),"na")))</f>
        <v>53.709376939488834</v>
      </c>
      <c r="W7" s="97">
        <f>IF($D7="WS",SUMPRODUCT(($C8:$C$32=$B7)*($Q8:$Q$32)*(W8:W$32)),IF($D7="MM",100*ABS(($G7-(Data2010!H4-$H7)/$J7)),IF($D7="XX",ABS((100*$G7)-((Data2010!H4-$E7)*$F7)),"na")))</f>
        <v>32.261261643262024</v>
      </c>
      <c r="X7" s="97">
        <f>IF($D7="WS",SUMPRODUCT(($C8:$C$32=$B7)*($Q8:$Q$32)*(X8:X$32)),IF($D7="MM",100*ABS(($G7-(Data2010!I4-$H7)/$J7)),IF($D7="XX",ABS((100*$G7)-((Data2010!I4-$E7)*$F7)),"na")))</f>
        <v>23.683732925673954</v>
      </c>
      <c r="Y7" s="97">
        <f>IF($D7="WS",SUMPRODUCT(($C8:$C$32=$B7)*($Q8:$Q$32)*(Y8:Y$32)),IF($D7="MM",100*ABS(($G7-(Data2010!J4-$H7)/$J7)),IF($D7="XX",ABS((100*$G7)-((Data2010!J4-$E7)*$F7)),"na")))</f>
        <v>14.200187914071098</v>
      </c>
      <c r="Z7" s="97">
        <f>IF($D7="WS",SUMPRODUCT(($C8:$C$32=$B7)*($Q8:$Q$32)*(Z8:Z$32)),IF($D7="MM",100*ABS(($G7-(Data2010!K4-$H7)/$J7)),IF($D7="XX",ABS((100*$G7)-((Data2010!K4-$E7)*$F7)),"na")))</f>
        <v>30.605355906802792</v>
      </c>
      <c r="AA7" s="97">
        <f>IF($D7="WS",SUMPRODUCT(($C8:$C$32=$B7)*($Q8:$Q$32)*(AA8:AA$32)),IF($D7="MM",100*ABS(($G7-(Data2010!L4-$H7)/$J7)),IF($D7="XX",ABS((100*$G7)-((Data2010!L4-$E7)*$F7)),"na")))</f>
        <v>42.360886324905898</v>
      </c>
      <c r="AB7" s="97">
        <f>IF($D7="WS",SUMPRODUCT(($C8:$C$32=$B7)*($Q8:$Q$32)*(AB8:AB$32)),IF($D7="MM",100*ABS(($G7-(Data2010!M4-$H7)/$J7)),IF($D7="XX",ABS((100*$G7)-((Data2010!M4-$E7)*$F7)),"na")))</f>
        <v>24.576166300900898</v>
      </c>
      <c r="AC7" s="97">
        <f>IF($D7="WS",SUMPRODUCT(($C8:$C$32=$B7)*($Q8:$Q$32)*(AC8:AC$32)),IF($D7="MM",100*ABS(($G7-(Data2010!N4-$H7)/$J7)),IF($D7="XX",ABS((100*$G7)-((Data2010!N4-$E7)*$F7)),"na")))</f>
        <v>25.428109394330569</v>
      </c>
      <c r="AD7" s="97">
        <f>IF($D7="WS",SUMPRODUCT(($C8:$C$32=$B7)*($Q8:$Q$32)*(AD8:AD$32)),IF($D7="MM",100*ABS(($G7-(Data2010!O4-$H7)/$J7)),IF($D7="XX",ABS((100*$G7)-((Data2010!O4-$E7)*$F7)),"na")))</f>
        <v>58.086206577081668</v>
      </c>
      <c r="AE7" s="97">
        <f>IF($D7="WS",SUMPRODUCT(($C8:$C$32=$B7)*($Q8:$Q$32)*(AE8:AE$32)),IF($D7="MM",100*ABS(($G7-(Data2010!P4-$H7)/$J7)),IF($D7="XX",ABS((100*$G7)-((Data2010!P4-$E7)*$F7)),"na")))</f>
        <v>16.016558876872281</v>
      </c>
      <c r="AF7" s="97">
        <f>IF($D7="WS",SUMPRODUCT(($C8:$C$32=$B7)*($Q8:$Q$32)*(AF8:AF$32)),IF($D7="MM",100*ABS(($G7-(Data2010!Q4-$H7)/$J7)),IF($D7="XX",ABS((100*$G7)-((Data2010!Q4-$E7)*$F7)),"na")))</f>
        <v>34.637750743577527</v>
      </c>
      <c r="AG7" s="97">
        <f>IF($D7="WS",SUMPRODUCT(($C8:$C$32=$B7)*($Q8:$Q$32)*(AG8:AG$32)),IF($D7="MM",100*ABS(($G7-(Data2010!R4-$H7)/$J7)),IF($D7="XX",ABS((100*$G7)-((Data2010!R4-$E7)*$F7)),"na")))</f>
        <v>24.54870750163056</v>
      </c>
      <c r="AH7" s="97">
        <f>IF($D7="WS",SUMPRODUCT(($C8:$C$32=$B7)*($Q8:$Q$32)*(AH8:AH$32)),IF($D7="MM",100*ABS(($G7-(Data2010!S4-$H7)/$J7)),IF($D7="XX",ABS((100*$G7)-((Data2010!S4-$E7)*$F7)),"na")))</f>
        <v>67.226065142092011</v>
      </c>
      <c r="AI7" s="97">
        <f>IF($D7="WS",SUMPRODUCT(($C8:$C$32=$B7)*($Q8:$Q$32)*(AI8:AI$32)),IF($D7="MM",100*ABS(($G7-(Data2010!T4-$H7)/$J7)),IF($D7="XX",ABS((100*$G7)-((Data2010!T4-$E7)*$F7)),"na")))</f>
        <v>29.915687836316572</v>
      </c>
      <c r="AJ7" s="97">
        <f>IF($D7="WS",SUMPRODUCT(($C8:$C$32=$B7)*($Q8:$Q$32)*(AJ8:AJ$32)),IF($D7="MM",100*ABS(($G7-(Data2010!U4-$H7)/$J7)),IF($D7="XX",ABS((100*$G7)-((Data2010!U4-$E7)*$F7)),"na")))</f>
        <v>31.794906198190212</v>
      </c>
      <c r="AK7" s="97">
        <f>IF($D7="WS",SUMPRODUCT(($C8:$C$32=$B7)*($Q8:$Q$32)*(AK8:AK$32)),IF($D7="MM",100*ABS(($G7-(Data2010!V4-$H7)/$J7)),IF($D7="XX",ABS((100*$G7)-((Data2010!V4-$E7)*$F7)),"na")))</f>
        <v>4.1705846622185803</v>
      </c>
    </row>
    <row r="8" spans="1:37" s="95" customFormat="1">
      <c r="B8" s="95" t="str">
        <f>tblIndicators!A3</f>
        <v>LEGF</v>
      </c>
      <c r="C8" s="95" t="str">
        <f>tblIndicators!B3</f>
        <v>TOTL</v>
      </c>
      <c r="D8" s="95" t="str">
        <f>tblIndicators!D3</f>
        <v>WS</v>
      </c>
      <c r="E8" s="95">
        <f>tblIndicators!E3</f>
        <v>0</v>
      </c>
      <c r="F8" s="95">
        <f>tblIndicators!F3</f>
        <v>0</v>
      </c>
      <c r="G8" s="95">
        <f>tblIndicators!G3</f>
        <v>0</v>
      </c>
      <c r="H8" s="95">
        <f>MIN(Data2010!D5:V5)</f>
        <v>0</v>
      </c>
      <c r="I8" s="95">
        <f>MAX(Data2010!D5:V5)</f>
        <v>0</v>
      </c>
      <c r="J8" s="96">
        <f t="shared" ref="J8:J27" si="0">I8-H8</f>
        <v>0</v>
      </c>
      <c r="K8" s="95">
        <f>MATCH(B8,Weights!C$4:C$36,0)</f>
        <v>1</v>
      </c>
      <c r="L8" s="95">
        <f>tblIndicators!S3</f>
        <v>1</v>
      </c>
      <c r="M8" s="95">
        <f>INDEX(Weights!G$4:G$36,K8)</f>
        <v>1.5</v>
      </c>
      <c r="N8" s="98">
        <f t="shared" ref="N8:N32" si="1">M8/SUMIF(C$8:C$32,C8,M$8:M$32)</f>
        <v>0.25</v>
      </c>
      <c r="P8" s="95" t="str">
        <f>tblIndicators!Q3</f>
        <v>REGULATORY FRAMEWORK</v>
      </c>
      <c r="Q8" s="102">
        <f>N8</f>
        <v>0.25</v>
      </c>
      <c r="S8" s="97">
        <f>IF($D8="WS",SUMPRODUCT(($C9:$C$32=$B8)*($Q9:$Q$32)*(S9:S$32)),IF($D8="MM",100*ABS(($G8-(Data2010!D5-$H8)/$J8)),IF($D8="XX",ABS((100*$G8)-((Data2010!D5-$E8)*$F8)),"na")))</f>
        <v>21.875</v>
      </c>
      <c r="T8" s="97">
        <f>IF($D8="WS",SUMPRODUCT(($C9:$C$32=$B8)*($Q9:$Q$32)*(T9:T$32)),IF($D8="MM",100*ABS(($G8-(Data2010!E5-$H8)/$J8)),IF($D8="XX",ABS((100*$G8)-((Data2010!E5-$E8)*$F8)),"na")))</f>
        <v>71.875</v>
      </c>
      <c r="U8" s="97">
        <f>IF($D8="WS",SUMPRODUCT(($C9:$C$32=$B8)*($Q9:$Q$32)*(U9:U$32)),IF($D8="MM",100*ABS(($G8-(Data2010!F5-$H8)/$J8)),IF($D8="XX",ABS((100*$G8)-((Data2010!F5-$E8)*$F8)),"na")))</f>
        <v>84.375</v>
      </c>
      <c r="V8" s="97">
        <f>IF($D8="WS",SUMPRODUCT(($C9:$C$32=$B8)*($Q9:$Q$32)*(V9:V$32)),IF($D8="MM",100*ABS(($G8-(Data2010!G5-$H8)/$J8)),IF($D8="XX",ABS((100*$G8)-((Data2010!G5-$E8)*$F8)),"na")))</f>
        <v>50</v>
      </c>
      <c r="W8" s="97">
        <f>IF($D8="WS",SUMPRODUCT(($C9:$C$32=$B8)*($Q9:$Q$32)*(W9:W$32)),IF($D8="MM",100*ABS(($G8-(Data2010!H5-$H8)/$J8)),IF($D8="XX",ABS((100*$G8)-((Data2010!H5-$E8)*$F8)),"na")))</f>
        <v>34.375</v>
      </c>
      <c r="X8" s="97">
        <f>IF($D8="WS",SUMPRODUCT(($C9:$C$32=$B8)*($Q9:$Q$32)*(X9:X$32)),IF($D8="MM",100*ABS(($G8-(Data2010!I5-$H8)/$J8)),IF($D8="XX",ABS((100*$G8)-((Data2010!I5-$E8)*$F8)),"na")))</f>
        <v>21.875</v>
      </c>
      <c r="Y8" s="97">
        <f>IF($D8="WS",SUMPRODUCT(($C9:$C$32=$B8)*($Q9:$Q$32)*(Y9:Y$32)),IF($D8="MM",100*ABS(($G8-(Data2010!J5-$H8)/$J8)),IF($D8="XX",ABS((100*$G8)-((Data2010!J5-$E8)*$F8)),"na")))</f>
        <v>6.25</v>
      </c>
      <c r="Z8" s="97">
        <f>IF($D8="WS",SUMPRODUCT(($C9:$C$32=$B8)*($Q9:$Q$32)*(Z9:Z$32)),IF($D8="MM",100*ABS(($G8-(Data2010!K5-$H8)/$J8)),IF($D8="XX",ABS((100*$G8)-((Data2010!K5-$E8)*$F8)),"na")))</f>
        <v>28.125</v>
      </c>
      <c r="AA8" s="97">
        <f>IF($D8="WS",SUMPRODUCT(($C9:$C$32=$B8)*($Q9:$Q$32)*(AA9:AA$32)),IF($D8="MM",100*ABS(($G8-(Data2010!L5-$H8)/$J8)),IF($D8="XX",ABS((100*$G8)-((Data2010!L5-$E8)*$F8)),"na")))</f>
        <v>53.125</v>
      </c>
      <c r="AB8" s="97">
        <f>IF($D8="WS",SUMPRODUCT(($C9:$C$32=$B8)*($Q9:$Q$32)*(AB9:AB$32)),IF($D8="MM",100*ABS(($G8-(Data2010!M5-$H8)/$J8)),IF($D8="XX",ABS((100*$G8)-((Data2010!M5-$E8)*$F8)),"na")))</f>
        <v>15.625</v>
      </c>
      <c r="AC8" s="97">
        <f>IF($D8="WS",SUMPRODUCT(($C9:$C$32=$B8)*($Q9:$Q$32)*(AC9:AC$32)),IF($D8="MM",100*ABS(($G8-(Data2010!N5-$H8)/$J8)),IF($D8="XX",ABS((100*$G8)-((Data2010!N5-$E8)*$F8)),"na")))</f>
        <v>25</v>
      </c>
      <c r="AD8" s="97">
        <f>IF($D8="WS",SUMPRODUCT(($C9:$C$32=$B8)*($Q9:$Q$32)*(AD9:AD$32)),IF($D8="MM",100*ABS(($G8-(Data2010!O5-$H8)/$J8)),IF($D8="XX",ABS((100*$G8)-((Data2010!O5-$E8)*$F8)),"na")))</f>
        <v>56.25</v>
      </c>
      <c r="AE8" s="97">
        <f>IF($D8="WS",SUMPRODUCT(($C9:$C$32=$B8)*($Q9:$Q$32)*(AE9:AE$32)),IF($D8="MM",100*ABS(($G8-(Data2010!P5-$H8)/$J8)),IF($D8="XX",ABS((100*$G8)-((Data2010!P5-$E8)*$F8)),"na")))</f>
        <v>21.875</v>
      </c>
      <c r="AF8" s="97">
        <f>IF($D8="WS",SUMPRODUCT(($C9:$C$32=$B8)*($Q9:$Q$32)*(AF9:AF$32)),IF($D8="MM",100*ABS(($G8-(Data2010!Q5-$H8)/$J8)),IF($D8="XX",ABS((100*$G8)-((Data2010!Q5-$E8)*$F8)),"na")))</f>
        <v>37.5</v>
      </c>
      <c r="AG8" s="97">
        <f>IF($D8="WS",SUMPRODUCT(($C9:$C$32=$B8)*($Q9:$Q$32)*(AG9:AG$32)),IF($D8="MM",100*ABS(($G8-(Data2010!R5-$H8)/$J8)),IF($D8="XX",ABS((100*$G8)-((Data2010!R5-$E8)*$F8)),"na")))</f>
        <v>25</v>
      </c>
      <c r="AH8" s="97">
        <f>IF($D8="WS",SUMPRODUCT(($C9:$C$32=$B8)*($Q9:$Q$32)*(AH9:AH$32)),IF($D8="MM",100*ABS(($G8-(Data2010!S5-$H8)/$J8)),IF($D8="XX",ABS((100*$G8)-((Data2010!S5-$E8)*$F8)),"na")))</f>
        <v>75</v>
      </c>
      <c r="AI8" s="97">
        <f>IF($D8="WS",SUMPRODUCT(($C9:$C$32=$B8)*($Q9:$Q$32)*(AI9:AI$32)),IF($D8="MM",100*ABS(($G8-(Data2010!T5-$H8)/$J8)),IF($D8="XX",ABS((100*$G8)-((Data2010!T5-$E8)*$F8)),"na")))</f>
        <v>25</v>
      </c>
      <c r="AJ8" s="97">
        <f>IF($D8="WS",SUMPRODUCT(($C9:$C$32=$B8)*($Q9:$Q$32)*(AJ9:AJ$32)),IF($D8="MM",100*ABS(($G8-(Data2010!U5-$H8)/$J8)),IF($D8="XX",ABS((100*$G8)-((Data2010!U5-$E8)*$F8)),"na")))</f>
        <v>34.375</v>
      </c>
      <c r="AK8" s="97">
        <f>IF($D8="WS",SUMPRODUCT(($C9:$C$32=$B8)*($Q9:$Q$32)*(AK9:AK$32)),IF($D8="MM",100*ABS(($G8-(Data2010!V5-$H8)/$J8)),IF($D8="XX",ABS((100*$G8)-((Data2010!V5-$E8)*$F8)),"na")))</f>
        <v>0</v>
      </c>
    </row>
    <row r="9" spans="1:37">
      <c r="B9" t="str">
        <f>tblIndicators!A4</f>
        <v>LEGF01</v>
      </c>
      <c r="C9" t="str">
        <f>tblIndicators!B4</f>
        <v>LEGF</v>
      </c>
      <c r="D9" t="str">
        <f>tblIndicators!D4</f>
        <v>XX</v>
      </c>
      <c r="E9">
        <f>tblIndicators!E4</f>
        <v>0</v>
      </c>
      <c r="F9">
        <f>tblIndicators!F4</f>
        <v>25</v>
      </c>
      <c r="G9">
        <f>tblIndicators!G4</f>
        <v>0</v>
      </c>
      <c r="H9">
        <f>MIN(Data2010!D6:V6)</f>
        <v>0</v>
      </c>
      <c r="I9">
        <f>MAX(Data2010!D6:V6)</f>
        <v>4</v>
      </c>
      <c r="J9" s="22">
        <f t="shared" si="0"/>
        <v>4</v>
      </c>
      <c r="K9">
        <f>MATCH(B9,Weights!C$4:C$36,0)</f>
        <v>10</v>
      </c>
      <c r="L9" s="95">
        <f>tblIndicators!S4</f>
        <v>1</v>
      </c>
      <c r="M9">
        <f>INDEX(Weights!G$4:G$36,K9)</f>
        <v>3</v>
      </c>
      <c r="N9" s="36">
        <f t="shared" si="1"/>
        <v>0.375</v>
      </c>
      <c r="P9" t="str">
        <f>tblIndicators!Q4</f>
        <v xml:space="preserve">   Consistency and quality of PPP regulations</v>
      </c>
      <c r="Q9" s="103">
        <f t="shared" ref="Q9:Q29" si="2">N9</f>
        <v>0.375</v>
      </c>
      <c r="S9" s="38">
        <f>IF($D9="WS",SUMPRODUCT(($C10:$C$32=$B9)*($Q10:$Q$32)*(S10:S$32)),IF($D9="MM",100*ABS(($G9-(Data2010!D6-$H9)/$J9)),IF($D9="XX",ABS((100*$G9)-((Data2010!D6-$E9)*$F9)),"na")))</f>
        <v>50</v>
      </c>
      <c r="T9" s="38">
        <f>IF($D9="WS",SUMPRODUCT(($C10:$C$32=$B9)*($Q10:$Q$32)*(T10:T$32)),IF($D9="MM",100*ABS(($G9-(Data2010!E6-$H9)/$J9)),IF($D9="XX",ABS((100*$G9)-((Data2010!E6-$E9)*$F9)),"na")))</f>
        <v>75</v>
      </c>
      <c r="U9" s="38">
        <f>IF($D9="WS",SUMPRODUCT(($C10:$C$32=$B9)*($Q10:$Q$32)*(U10:U$32)),IF($D9="MM",100*ABS(($G9-(Data2010!F6-$H9)/$J9)),IF($D9="XX",ABS((100*$G9)-((Data2010!F6-$E9)*$F9)),"na")))</f>
        <v>100</v>
      </c>
      <c r="V9" s="38">
        <f>IF($D9="WS",SUMPRODUCT(($C10:$C$32=$B9)*($Q10:$Q$32)*(V10:V$32)),IF($D9="MM",100*ABS(($G9-(Data2010!G6-$H9)/$J9)),IF($D9="XX",ABS((100*$G9)-((Data2010!G6-$E9)*$F9)),"na")))</f>
        <v>50</v>
      </c>
      <c r="W9" s="38">
        <f>IF($D9="WS",SUMPRODUCT(($C10:$C$32=$B9)*($Q10:$Q$32)*(W10:W$32)),IF($D9="MM",100*ABS(($G9-(Data2010!H6-$H9)/$J9)),IF($D9="XX",ABS((100*$G9)-((Data2010!H6-$E9)*$F9)),"na")))</f>
        <v>25</v>
      </c>
      <c r="X9" s="38">
        <f>IF($D9="WS",SUMPRODUCT(($C10:$C$32=$B9)*($Q10:$Q$32)*(X10:X$32)),IF($D9="MM",100*ABS(($G9-(Data2010!I6-$H9)/$J9)),IF($D9="XX",ABS((100*$G9)-((Data2010!I6-$E9)*$F9)),"na")))</f>
        <v>25</v>
      </c>
      <c r="Y9" s="38">
        <f>IF($D9="WS",SUMPRODUCT(($C10:$C$32=$B9)*($Q10:$Q$32)*(Y10:Y$32)),IF($D9="MM",100*ABS(($G9-(Data2010!J6-$H9)/$J9)),IF($D9="XX",ABS((100*$G9)-((Data2010!J6-$E9)*$F9)),"na")))</f>
        <v>0</v>
      </c>
      <c r="Z9" s="38">
        <f>IF($D9="WS",SUMPRODUCT(($C10:$C$32=$B9)*($Q10:$Q$32)*(Z10:Z$32)),IF($D9="MM",100*ABS(($G9-(Data2010!K6-$H9)/$J9)),IF($D9="XX",ABS((100*$G9)-((Data2010!K6-$E9)*$F9)),"na")))</f>
        <v>25</v>
      </c>
      <c r="AA9" s="38">
        <f>IF($D9="WS",SUMPRODUCT(($C10:$C$32=$B9)*($Q10:$Q$32)*(AA10:AA$32)),IF($D9="MM",100*ABS(($G9-(Data2010!L6-$H9)/$J9)),IF($D9="XX",ABS((100*$G9)-((Data2010!L6-$E9)*$F9)),"na")))</f>
        <v>75</v>
      </c>
      <c r="AB9" s="38">
        <f>IF($D9="WS",SUMPRODUCT(($C10:$C$32=$B9)*($Q10:$Q$32)*(AB10:AB$32)),IF($D9="MM",100*ABS(($G9-(Data2010!M6-$H9)/$J9)),IF($D9="XX",ABS((100*$G9)-((Data2010!M6-$E9)*$F9)),"na")))</f>
        <v>25</v>
      </c>
      <c r="AC9" s="38">
        <f>IF($D9="WS",SUMPRODUCT(($C10:$C$32=$B9)*($Q10:$Q$32)*(AC10:AC$32)),IF($D9="MM",100*ABS(($G9-(Data2010!N6-$H9)/$J9)),IF($D9="XX",ABS((100*$G9)-((Data2010!N6-$E9)*$F9)),"na")))</f>
        <v>25</v>
      </c>
      <c r="AD9" s="38">
        <f>IF($D9="WS",SUMPRODUCT(($C10:$C$32=$B9)*($Q10:$Q$32)*(AD10:AD$32)),IF($D9="MM",100*ABS(($G9-(Data2010!O6-$H9)/$J9)),IF($D9="XX",ABS((100*$G9)-((Data2010!O6-$E9)*$F9)),"na")))</f>
        <v>50</v>
      </c>
      <c r="AE9" s="38">
        <f>IF($D9="WS",SUMPRODUCT(($C10:$C$32=$B9)*($Q10:$Q$32)*(AE10:AE$32)),IF($D9="MM",100*ABS(($G9-(Data2010!P6-$H9)/$J9)),IF($D9="XX",ABS((100*$G9)-((Data2010!P6-$E9)*$F9)),"na")))</f>
        <v>25</v>
      </c>
      <c r="AF9" s="38">
        <f>IF($D9="WS",SUMPRODUCT(($C10:$C$32=$B9)*($Q10:$Q$32)*(AF10:AF$32)),IF($D9="MM",100*ABS(($G9-(Data2010!Q6-$H9)/$J9)),IF($D9="XX",ABS((100*$G9)-((Data2010!Q6-$E9)*$F9)),"na")))</f>
        <v>50</v>
      </c>
      <c r="AG9" s="38">
        <f>IF($D9="WS",SUMPRODUCT(($C10:$C$32=$B9)*($Q10:$Q$32)*(AG10:AG$32)),IF($D9="MM",100*ABS(($G9-(Data2010!R6-$H9)/$J9)),IF($D9="XX",ABS((100*$G9)-((Data2010!R6-$E9)*$F9)),"na")))</f>
        <v>25</v>
      </c>
      <c r="AH9" s="38">
        <f>IF($D9="WS",SUMPRODUCT(($C10:$C$32=$B9)*($Q10:$Q$32)*(AH10:AH$32)),IF($D9="MM",100*ABS(($G9-(Data2010!S6-$H9)/$J9)),IF($D9="XX",ABS((100*$G9)-((Data2010!S6-$E9)*$F9)),"na")))</f>
        <v>75</v>
      </c>
      <c r="AI9" s="38">
        <f>IF($D9="WS",SUMPRODUCT(($C10:$C$32=$B9)*($Q10:$Q$32)*(AI10:AI$32)),IF($D9="MM",100*ABS(($G9-(Data2010!T6-$H9)/$J9)),IF($D9="XX",ABS((100*$G9)-((Data2010!T6-$E9)*$F9)),"na")))</f>
        <v>25</v>
      </c>
      <c r="AJ9" s="38">
        <f>IF($D9="WS",SUMPRODUCT(($C10:$C$32=$B9)*($Q10:$Q$32)*(AJ10:AJ$32)),IF($D9="MM",100*ABS(($G9-(Data2010!U6-$H9)/$J9)),IF($D9="XX",ABS((100*$G9)-((Data2010!U6-$E9)*$F9)),"na")))</f>
        <v>25</v>
      </c>
      <c r="AK9" s="38">
        <f>IF($D9="WS",SUMPRODUCT(($C10:$C$32=$B9)*($Q10:$Q$32)*(AK10:AK$32)),IF($D9="MM",100*ABS(($G9-(Data2010!V6-$H9)/$J9)),IF($D9="XX",ABS((100*$G9)-((Data2010!V6-$E9)*$F9)),"na")))</f>
        <v>0</v>
      </c>
    </row>
    <row r="10" spans="1:37">
      <c r="B10" t="str">
        <f>tblIndicators!A5</f>
        <v>LEGF02</v>
      </c>
      <c r="C10" t="str">
        <f>tblIndicators!B5</f>
        <v>LEGF</v>
      </c>
      <c r="D10" t="str">
        <f>tblIndicators!D5</f>
        <v>XX</v>
      </c>
      <c r="E10">
        <f>tblIndicators!E5</f>
        <v>0</v>
      </c>
      <c r="F10">
        <f>tblIndicators!F5</f>
        <v>25</v>
      </c>
      <c r="G10">
        <f>tblIndicators!G5</f>
        <v>0</v>
      </c>
      <c r="H10">
        <f>MIN(Data2010!D7:V7)</f>
        <v>0</v>
      </c>
      <c r="I10">
        <f>MAX(Data2010!D7:V7)</f>
        <v>3</v>
      </c>
      <c r="J10" s="22">
        <f t="shared" si="0"/>
        <v>3</v>
      </c>
      <c r="K10">
        <f>MATCH(B10,Weights!C$4:C$36,0)</f>
        <v>11</v>
      </c>
      <c r="L10" s="95">
        <f>tblIndicators!S5</f>
        <v>1</v>
      </c>
      <c r="M10">
        <f>INDEX(Weights!G$4:G$36,K10)</f>
        <v>2</v>
      </c>
      <c r="N10" s="36">
        <f t="shared" si="1"/>
        <v>0.25</v>
      </c>
      <c r="P10" t="str">
        <f>tblIndicators!Q5</f>
        <v xml:space="preserve">   Effective PPP selection and decision making</v>
      </c>
      <c r="Q10" s="103">
        <f t="shared" si="2"/>
        <v>0.25</v>
      </c>
      <c r="S10" s="38">
        <f>IF($D10="WS",SUMPRODUCT(($C11:$C$32=$B10)*($Q11:$Q$32)*(S11:S$32)),IF($D10="MM",100*ABS(($G10-(Data2010!D7-$H10)/$J10)),IF($D10="XX",ABS((100*$G10)-((Data2010!D7-$E10)*$F10)),"na")))</f>
        <v>0</v>
      </c>
      <c r="T10" s="38">
        <f>IF($D10="WS",SUMPRODUCT(($C11:$C$32=$B10)*($Q11:$Q$32)*(T11:T$32)),IF($D10="MM",100*ABS(($G10-(Data2010!E7-$H10)/$J10)),IF($D10="XX",ABS((100*$G10)-((Data2010!E7-$E10)*$F10)),"na")))</f>
        <v>75</v>
      </c>
      <c r="U10" s="38">
        <f>IF($D10="WS",SUMPRODUCT(($C11:$C$32=$B10)*($Q11:$Q$32)*(U11:U$32)),IF($D10="MM",100*ABS(($G10-(Data2010!F7-$H10)/$J10)),IF($D10="XX",ABS((100*$G10)-((Data2010!F7-$E10)*$F10)),"na")))</f>
        <v>75</v>
      </c>
      <c r="V10" s="38">
        <f>IF($D10="WS",SUMPRODUCT(($C11:$C$32=$B10)*($Q11:$Q$32)*(V11:V$32)),IF($D10="MM",100*ABS(($G10-(Data2010!G7-$H10)/$J10)),IF($D10="XX",ABS((100*$G10)-((Data2010!G7-$E10)*$F10)),"na")))</f>
        <v>50</v>
      </c>
      <c r="W10" s="38">
        <f>IF($D10="WS",SUMPRODUCT(($C11:$C$32=$B10)*($Q11:$Q$32)*(W11:W$32)),IF($D10="MM",100*ABS(($G10-(Data2010!H7-$H10)/$J10)),IF($D10="XX",ABS((100*$G10)-((Data2010!H7-$E10)*$F10)),"na")))</f>
        <v>50</v>
      </c>
      <c r="X10" s="38">
        <f>IF($D10="WS",SUMPRODUCT(($C11:$C$32=$B10)*($Q11:$Q$32)*(X11:X$32)),IF($D10="MM",100*ABS(($G10-(Data2010!I7-$H10)/$J10)),IF($D10="XX",ABS((100*$G10)-((Data2010!I7-$E10)*$F10)),"na")))</f>
        <v>25</v>
      </c>
      <c r="Y10" s="38">
        <f>IF($D10="WS",SUMPRODUCT(($C11:$C$32=$B10)*($Q11:$Q$32)*(Y11:Y$32)),IF($D10="MM",100*ABS(($G10-(Data2010!J7-$H10)/$J10)),IF($D10="XX",ABS((100*$G10)-((Data2010!J7-$E10)*$F10)),"na")))</f>
        <v>0</v>
      </c>
      <c r="Z10" s="38">
        <f>IF($D10="WS",SUMPRODUCT(($C11:$C$32=$B10)*($Q11:$Q$32)*(Z11:Z$32)),IF($D10="MM",100*ABS(($G10-(Data2010!K7-$H10)/$J10)),IF($D10="XX",ABS((100*$G10)-((Data2010!K7-$E10)*$F10)),"na")))</f>
        <v>25</v>
      </c>
      <c r="AA10" s="38">
        <f>IF($D10="WS",SUMPRODUCT(($C11:$C$32=$B10)*($Q11:$Q$32)*(AA11:AA$32)),IF($D10="MM",100*ABS(($G10-(Data2010!L7-$H10)/$J10)),IF($D10="XX",ABS((100*$G10)-((Data2010!L7-$E10)*$F10)),"na")))</f>
        <v>25</v>
      </c>
      <c r="AB10" s="38">
        <f>IF($D10="WS",SUMPRODUCT(($C11:$C$32=$B10)*($Q11:$Q$32)*(AB11:AB$32)),IF($D10="MM",100*ABS(($G10-(Data2010!M7-$H10)/$J10)),IF($D10="XX",ABS((100*$G10)-((Data2010!M7-$E10)*$F10)),"na")))</f>
        <v>0</v>
      </c>
      <c r="AC10" s="38">
        <f>IF($D10="WS",SUMPRODUCT(($C11:$C$32=$B10)*($Q11:$Q$32)*(AC11:AC$32)),IF($D10="MM",100*ABS(($G10-(Data2010!N7-$H10)/$J10)),IF($D10="XX",ABS((100*$G10)-((Data2010!N7-$E10)*$F10)),"na")))</f>
        <v>25</v>
      </c>
      <c r="AD10" s="38">
        <f>IF($D10="WS",SUMPRODUCT(($C11:$C$32=$B10)*($Q11:$Q$32)*(AD11:AD$32)),IF($D10="MM",100*ABS(($G10-(Data2010!O7-$H10)/$J10)),IF($D10="XX",ABS((100*$G10)-((Data2010!O7-$E10)*$F10)),"na")))</f>
        <v>50</v>
      </c>
      <c r="AE10" s="38">
        <f>IF($D10="WS",SUMPRODUCT(($C11:$C$32=$B10)*($Q11:$Q$32)*(AE11:AE$32)),IF($D10="MM",100*ABS(($G10-(Data2010!P7-$H10)/$J10)),IF($D10="XX",ABS((100*$G10)-((Data2010!P7-$E10)*$F10)),"na")))</f>
        <v>25</v>
      </c>
      <c r="AF10" s="38">
        <f>IF($D10="WS",SUMPRODUCT(($C11:$C$32=$B10)*($Q11:$Q$32)*(AF11:AF$32)),IF($D10="MM",100*ABS(($G10-(Data2010!Q7-$H10)/$J10)),IF($D10="XX",ABS((100*$G10)-((Data2010!Q7-$E10)*$F10)),"na")))</f>
        <v>25</v>
      </c>
      <c r="AG10" s="38">
        <f>IF($D10="WS",SUMPRODUCT(($C11:$C$32=$B10)*($Q11:$Q$32)*(AG11:AG$32)),IF($D10="MM",100*ABS(($G10-(Data2010!R7-$H10)/$J10)),IF($D10="XX",ABS((100*$G10)-((Data2010!R7-$E10)*$F10)),"na")))</f>
        <v>25</v>
      </c>
      <c r="AH10" s="38">
        <f>IF($D10="WS",SUMPRODUCT(($C11:$C$32=$B10)*($Q11:$Q$32)*(AH11:AH$32)),IF($D10="MM",100*ABS(($G10-(Data2010!S7-$H10)/$J10)),IF($D10="XX",ABS((100*$G10)-((Data2010!S7-$E10)*$F10)),"na")))</f>
        <v>75</v>
      </c>
      <c r="AI10" s="38">
        <f>IF($D10="WS",SUMPRODUCT(($C11:$C$32=$B10)*($Q11:$Q$32)*(AI11:AI$32)),IF($D10="MM",100*ABS(($G10-(Data2010!T7-$H10)/$J10)),IF($D10="XX",ABS((100*$G10)-((Data2010!T7-$E10)*$F10)),"na")))</f>
        <v>25</v>
      </c>
      <c r="AJ10" s="38">
        <f>IF($D10="WS",SUMPRODUCT(($C11:$C$32=$B10)*($Q11:$Q$32)*(AJ11:AJ$32)),IF($D10="MM",100*ABS(($G10-(Data2010!U7-$H10)/$J10)),IF($D10="XX",ABS((100*$G10)-((Data2010!U7-$E10)*$F10)),"na")))</f>
        <v>50</v>
      </c>
      <c r="AK10" s="38">
        <f>IF($D10="WS",SUMPRODUCT(($C11:$C$32=$B10)*($Q11:$Q$32)*(AK11:AK$32)),IF($D10="MM",100*ABS(($G10-(Data2010!V7-$H10)/$J10)),IF($D10="XX",ABS((100*$G10)-((Data2010!V7-$E10)*$F10)),"na")))</f>
        <v>0</v>
      </c>
    </row>
    <row r="11" spans="1:37">
      <c r="B11" t="str">
        <f>tblIndicators!A6</f>
        <v>LEGF03</v>
      </c>
      <c r="C11" t="str">
        <f>tblIndicators!B6</f>
        <v>LEGF</v>
      </c>
      <c r="D11" t="str">
        <f>tblIndicators!D6</f>
        <v>XX</v>
      </c>
      <c r="E11">
        <f>tblIndicators!E6</f>
        <v>0</v>
      </c>
      <c r="F11">
        <f>tblIndicators!F6</f>
        <v>25</v>
      </c>
      <c r="G11">
        <f>tblIndicators!G6</f>
        <v>0</v>
      </c>
      <c r="H11">
        <f>MIN(Data2010!D8:V8)</f>
        <v>0</v>
      </c>
      <c r="I11">
        <f>MAX(Data2010!D8:V8)</f>
        <v>3</v>
      </c>
      <c r="J11" s="22">
        <f t="shared" si="0"/>
        <v>3</v>
      </c>
      <c r="K11">
        <f>MATCH(B11,Weights!C$4:C$36,0)</f>
        <v>12</v>
      </c>
      <c r="L11" s="95">
        <f>tblIndicators!S6</f>
        <v>1</v>
      </c>
      <c r="M11">
        <f>INDEX(Weights!G$4:G$36,K11)</f>
        <v>1</v>
      </c>
      <c r="N11" s="36">
        <f t="shared" si="1"/>
        <v>0.125</v>
      </c>
      <c r="P11" t="str">
        <f>tblIndicators!Q6</f>
        <v xml:space="preserve">   Fairness/openness of bids, contract changes</v>
      </c>
      <c r="Q11" s="103">
        <f t="shared" si="2"/>
        <v>0.125</v>
      </c>
      <c r="S11" s="38">
        <f>IF($D11="WS",SUMPRODUCT(($C12:$C$32=$B11)*($Q12:$Q$32)*(S12:S$32)),IF($D11="MM",100*ABS(($G11-(Data2010!D8-$H11)/$J11)),IF($D11="XX",ABS((100*$G11)-((Data2010!D8-$E11)*$F11)),"na")))</f>
        <v>25</v>
      </c>
      <c r="T11" s="38">
        <f>IF($D11="WS",SUMPRODUCT(($C12:$C$32=$B11)*($Q12:$Q$32)*(T12:T$32)),IF($D11="MM",100*ABS(($G11-(Data2010!E8-$H11)/$J11)),IF($D11="XX",ABS((100*$G11)-((Data2010!E8-$E11)*$F11)),"na")))</f>
        <v>50</v>
      </c>
      <c r="U11" s="38">
        <f>IF($D11="WS",SUMPRODUCT(($C12:$C$32=$B11)*($Q12:$Q$32)*(U12:U$32)),IF($D11="MM",100*ABS(($G11-(Data2010!F8-$H11)/$J11)),IF($D11="XX",ABS((100*$G11)-((Data2010!F8-$E11)*$F11)),"na")))</f>
        <v>75</v>
      </c>
      <c r="V11" s="38">
        <f>IF($D11="WS",SUMPRODUCT(($C12:$C$32=$B11)*($Q12:$Q$32)*(V12:V$32)),IF($D11="MM",100*ABS(($G11-(Data2010!G8-$H11)/$J11)),IF($D11="XX",ABS((100*$G11)-((Data2010!G8-$E11)*$F11)),"na")))</f>
        <v>50</v>
      </c>
      <c r="W11" s="38">
        <f>IF($D11="WS",SUMPRODUCT(($C12:$C$32=$B11)*($Q12:$Q$32)*(W12:W$32)),IF($D11="MM",100*ABS(($G11-(Data2010!H8-$H11)/$J11)),IF($D11="XX",ABS((100*$G11)-((Data2010!H8-$E11)*$F11)),"na")))</f>
        <v>50</v>
      </c>
      <c r="X11" s="38">
        <f>IF($D11="WS",SUMPRODUCT(($C12:$C$32=$B11)*($Q12:$Q$32)*(X12:X$32)),IF($D11="MM",100*ABS(($G11-(Data2010!I8-$H11)/$J11)),IF($D11="XX",ABS((100*$G11)-((Data2010!I8-$E11)*$F11)),"na")))</f>
        <v>0</v>
      </c>
      <c r="Y11" s="38">
        <f>IF($D11="WS",SUMPRODUCT(($C12:$C$32=$B11)*($Q12:$Q$32)*(Y12:Y$32)),IF($D11="MM",100*ABS(($G11-(Data2010!J8-$H11)/$J11)),IF($D11="XX",ABS((100*$G11)-((Data2010!J8-$E11)*$F11)),"na")))</f>
        <v>0</v>
      </c>
      <c r="Z11" s="38">
        <f>IF($D11="WS",SUMPRODUCT(($C12:$C$32=$B11)*($Q12:$Q$32)*(Z12:Z$32)),IF($D11="MM",100*ABS(($G11-(Data2010!K8-$H11)/$J11)),IF($D11="XX",ABS((100*$G11)-((Data2010!K8-$E11)*$F11)),"na")))</f>
        <v>50</v>
      </c>
      <c r="AA11" s="38">
        <f>IF($D11="WS",SUMPRODUCT(($C12:$C$32=$B11)*($Q12:$Q$32)*(AA12:AA$32)),IF($D11="MM",100*ABS(($G11-(Data2010!L8-$H11)/$J11)),IF($D11="XX",ABS((100*$G11)-((Data2010!L8-$E11)*$F11)),"na")))</f>
        <v>50</v>
      </c>
      <c r="AB11" s="38">
        <f>IF($D11="WS",SUMPRODUCT(($C12:$C$32=$B11)*($Q12:$Q$32)*(AB12:AB$32)),IF($D11="MM",100*ABS(($G11-(Data2010!M8-$H11)/$J11)),IF($D11="XX",ABS((100*$G11)-((Data2010!M8-$E11)*$F11)),"na")))</f>
        <v>0</v>
      </c>
      <c r="AC11" s="38">
        <f>IF($D11="WS",SUMPRODUCT(($C12:$C$32=$B11)*($Q12:$Q$32)*(AC12:AC$32)),IF($D11="MM",100*ABS(($G11-(Data2010!N8-$H11)/$J11)),IF($D11="XX",ABS((100*$G11)-((Data2010!N8-$E11)*$F11)),"na")))</f>
        <v>25</v>
      </c>
      <c r="AD11" s="38">
        <f>IF($D11="WS",SUMPRODUCT(($C12:$C$32=$B11)*($Q12:$Q$32)*(AD12:AD$32)),IF($D11="MM",100*ABS(($G11-(Data2010!O8-$H11)/$J11)),IF($D11="XX",ABS((100*$G11)-((Data2010!O8-$E11)*$F11)),"na")))</f>
        <v>50</v>
      </c>
      <c r="AE11" s="38">
        <f>IF($D11="WS",SUMPRODUCT(($C12:$C$32=$B11)*($Q12:$Q$32)*(AE12:AE$32)),IF($D11="MM",100*ABS(($G11-(Data2010!P8-$H11)/$J11)),IF($D11="XX",ABS((100*$G11)-((Data2010!P8-$E11)*$F11)),"na")))</f>
        <v>0</v>
      </c>
      <c r="AF11" s="38">
        <f>IF($D11="WS",SUMPRODUCT(($C12:$C$32=$B11)*($Q12:$Q$32)*(AF12:AF$32)),IF($D11="MM",100*ABS(($G11-(Data2010!Q8-$H11)/$J11)),IF($D11="XX",ABS((100*$G11)-((Data2010!Q8-$E11)*$F11)),"na")))</f>
        <v>50</v>
      </c>
      <c r="AG11" s="38">
        <f>IF($D11="WS",SUMPRODUCT(($C12:$C$32=$B11)*($Q12:$Q$32)*(AG12:AG$32)),IF($D11="MM",100*ABS(($G11-(Data2010!R8-$H11)/$J11)),IF($D11="XX",ABS((100*$G11)-((Data2010!R8-$E11)*$F11)),"na")))</f>
        <v>25</v>
      </c>
      <c r="AH11" s="38">
        <f>IF($D11="WS",SUMPRODUCT(($C12:$C$32=$B11)*($Q12:$Q$32)*(AH12:AH$32)),IF($D11="MM",100*ABS(($G11-(Data2010!S8-$H11)/$J11)),IF($D11="XX",ABS((100*$G11)-((Data2010!S8-$E11)*$F11)),"na")))</f>
        <v>75</v>
      </c>
      <c r="AI11" s="38">
        <f>IF($D11="WS",SUMPRODUCT(($C12:$C$32=$B11)*($Q12:$Q$32)*(AI12:AI$32)),IF($D11="MM",100*ABS(($G11-(Data2010!T8-$H11)/$J11)),IF($D11="XX",ABS((100*$G11)-((Data2010!T8-$E11)*$F11)),"na")))</f>
        <v>25</v>
      </c>
      <c r="AJ11" s="38">
        <f>IF($D11="WS",SUMPRODUCT(($C12:$C$32=$B11)*($Q12:$Q$32)*(AJ12:AJ$32)),IF($D11="MM",100*ABS(($G11-(Data2010!U8-$H11)/$J11)),IF($D11="XX",ABS((100*$G11)-((Data2010!U8-$E11)*$F11)),"na")))</f>
        <v>50</v>
      </c>
      <c r="AK11" s="38">
        <f>IF($D11="WS",SUMPRODUCT(($C12:$C$32=$B11)*($Q12:$Q$32)*(AK12:AK$32)),IF($D11="MM",100*ABS(($G11-(Data2010!V8-$H11)/$J11)),IF($D11="XX",ABS((100*$G11)-((Data2010!V8-$E11)*$F11)),"na")))</f>
        <v>0</v>
      </c>
    </row>
    <row r="12" spans="1:37">
      <c r="B12" t="str">
        <f>tblIndicators!A7</f>
        <v>LEGF04</v>
      </c>
      <c r="C12" t="str">
        <f>tblIndicators!B7</f>
        <v>LEGF</v>
      </c>
      <c r="D12" t="str">
        <f>tblIndicators!D7</f>
        <v>XX</v>
      </c>
      <c r="E12">
        <f>tblIndicators!E7</f>
        <v>0</v>
      </c>
      <c r="F12">
        <f>tblIndicators!F7</f>
        <v>25</v>
      </c>
      <c r="G12">
        <f>tblIndicators!G7</f>
        <v>0</v>
      </c>
      <c r="H12">
        <f>MIN(Data2010!D9:V9)</f>
        <v>0</v>
      </c>
      <c r="I12">
        <f>MAX(Data2010!D9:V9)</f>
        <v>3</v>
      </c>
      <c r="J12" s="22">
        <f t="shared" si="0"/>
        <v>3</v>
      </c>
      <c r="K12">
        <f>MATCH(B12,Weights!C$4:C$36,0)</f>
        <v>13</v>
      </c>
      <c r="L12" s="95">
        <f>tblIndicators!S7</f>
        <v>1</v>
      </c>
      <c r="M12">
        <f>INDEX(Weights!G$4:G$36,K12)</f>
        <v>2</v>
      </c>
      <c r="N12" s="36">
        <f t="shared" si="1"/>
        <v>0.25</v>
      </c>
      <c r="P12" t="str">
        <f>tblIndicators!Q7</f>
        <v xml:space="preserve">   Dispute resolution mechanisms</v>
      </c>
      <c r="Q12" s="103">
        <f t="shared" si="2"/>
        <v>0.25</v>
      </c>
      <c r="S12" s="38">
        <f>IF($D12="WS",SUMPRODUCT(($C13:$C$32=$B12)*($Q13:$Q$32)*(S13:S$32)),IF($D12="MM",100*ABS(($G12-(Data2010!D9-$H12)/$J12)),IF($D12="XX",ABS((100*$G12)-((Data2010!D9-$E12)*$F12)),"na")))</f>
        <v>0</v>
      </c>
      <c r="T12" s="38">
        <f>IF($D12="WS",SUMPRODUCT(($C13:$C$32=$B12)*($Q13:$Q$32)*(T13:T$32)),IF($D12="MM",100*ABS(($G12-(Data2010!E9-$H12)/$J12)),IF($D12="XX",ABS((100*$G12)-((Data2010!E9-$E12)*$F12)),"na")))</f>
        <v>75</v>
      </c>
      <c r="U12" s="38">
        <f>IF($D12="WS",SUMPRODUCT(($C13:$C$32=$B12)*($Q13:$Q$32)*(U13:U$32)),IF($D12="MM",100*ABS(($G12-(Data2010!F9-$H12)/$J12)),IF($D12="XX",ABS((100*$G12)-((Data2010!F9-$E12)*$F12)),"na")))</f>
        <v>75</v>
      </c>
      <c r="V12" s="38">
        <f>IF($D12="WS",SUMPRODUCT(($C13:$C$32=$B12)*($Q13:$Q$32)*(V13:V$32)),IF($D12="MM",100*ABS(($G12-(Data2010!G9-$H12)/$J12)),IF($D12="XX",ABS((100*$G12)-((Data2010!G9-$E12)*$F12)),"na")))</f>
        <v>50</v>
      </c>
      <c r="W12" s="38">
        <f>IF($D12="WS",SUMPRODUCT(($C13:$C$32=$B12)*($Q13:$Q$32)*(W13:W$32)),IF($D12="MM",100*ABS(($G12-(Data2010!H9-$H12)/$J12)),IF($D12="XX",ABS((100*$G12)-((Data2010!H9-$E12)*$F12)),"na")))</f>
        <v>25</v>
      </c>
      <c r="X12" s="38">
        <f>IF($D12="WS",SUMPRODUCT(($C13:$C$32=$B12)*($Q13:$Q$32)*(X13:X$32)),IF($D12="MM",100*ABS(($G12-(Data2010!I9-$H12)/$J12)),IF($D12="XX",ABS((100*$G12)-((Data2010!I9-$E12)*$F12)),"na")))</f>
        <v>25</v>
      </c>
      <c r="Y12" s="38">
        <f>IF($D12="WS",SUMPRODUCT(($C13:$C$32=$B12)*($Q13:$Q$32)*(Y13:Y$32)),IF($D12="MM",100*ABS(($G12-(Data2010!J9-$H12)/$J12)),IF($D12="XX",ABS((100*$G12)-((Data2010!J9-$E12)*$F12)),"na")))</f>
        <v>25</v>
      </c>
      <c r="Z12" s="38">
        <f>IF($D12="WS",SUMPRODUCT(($C13:$C$32=$B12)*($Q13:$Q$32)*(Z13:Z$32)),IF($D12="MM",100*ABS(($G12-(Data2010!K9-$H12)/$J12)),IF($D12="XX",ABS((100*$G12)-((Data2010!K9-$E12)*$F12)),"na")))</f>
        <v>25</v>
      </c>
      <c r="AA12" s="38">
        <f>IF($D12="WS",SUMPRODUCT(($C13:$C$32=$B12)*($Q13:$Q$32)*(AA13:AA$32)),IF($D12="MM",100*ABS(($G12-(Data2010!L9-$H12)/$J12)),IF($D12="XX",ABS((100*$G12)-((Data2010!L9-$E12)*$F12)),"na")))</f>
        <v>50</v>
      </c>
      <c r="AB12" s="38">
        <f>IF($D12="WS",SUMPRODUCT(($C13:$C$32=$B12)*($Q13:$Q$32)*(AB13:AB$32)),IF($D12="MM",100*ABS(($G12-(Data2010!M9-$H12)/$J12)),IF($D12="XX",ABS((100*$G12)-((Data2010!M9-$E12)*$F12)),"na")))</f>
        <v>25</v>
      </c>
      <c r="AC12" s="38">
        <f>IF($D12="WS",SUMPRODUCT(($C13:$C$32=$B12)*($Q13:$Q$32)*(AC13:AC$32)),IF($D12="MM",100*ABS(($G12-(Data2010!N9-$H12)/$J12)),IF($D12="XX",ABS((100*$G12)-((Data2010!N9-$E12)*$F12)),"na")))</f>
        <v>25</v>
      </c>
      <c r="AD12" s="38">
        <f>IF($D12="WS",SUMPRODUCT(($C13:$C$32=$B12)*($Q13:$Q$32)*(AD13:AD$32)),IF($D12="MM",100*ABS(($G12-(Data2010!O9-$H12)/$J12)),IF($D12="XX",ABS((100*$G12)-((Data2010!O9-$E12)*$F12)),"na")))</f>
        <v>75</v>
      </c>
      <c r="AE12" s="38">
        <f>IF($D12="WS",SUMPRODUCT(($C13:$C$32=$B12)*($Q13:$Q$32)*(AE13:AE$32)),IF($D12="MM",100*ABS(($G12-(Data2010!P9-$H12)/$J12)),IF($D12="XX",ABS((100*$G12)-((Data2010!P9-$E12)*$F12)),"na")))</f>
        <v>25</v>
      </c>
      <c r="AF12" s="38">
        <f>IF($D12="WS",SUMPRODUCT(($C13:$C$32=$B12)*($Q13:$Q$32)*(AF13:AF$32)),IF($D12="MM",100*ABS(($G12-(Data2010!Q9-$H12)/$J12)),IF($D12="XX",ABS((100*$G12)-((Data2010!Q9-$E12)*$F12)),"na")))</f>
        <v>25</v>
      </c>
      <c r="AG12" s="38">
        <f>IF($D12="WS",SUMPRODUCT(($C13:$C$32=$B12)*($Q13:$Q$32)*(AG13:AG$32)),IF($D12="MM",100*ABS(($G12-(Data2010!R9-$H12)/$J12)),IF($D12="XX",ABS((100*$G12)-((Data2010!R9-$E12)*$F12)),"na")))</f>
        <v>25</v>
      </c>
      <c r="AH12" s="38">
        <f>IF($D12="WS",SUMPRODUCT(($C13:$C$32=$B12)*($Q13:$Q$32)*(AH13:AH$32)),IF($D12="MM",100*ABS(($G12-(Data2010!S9-$H12)/$J12)),IF($D12="XX",ABS((100*$G12)-((Data2010!S9-$E12)*$F12)),"na")))</f>
        <v>75</v>
      </c>
      <c r="AI12" s="38">
        <f>IF($D12="WS",SUMPRODUCT(($C13:$C$32=$B12)*($Q13:$Q$32)*(AI13:AI$32)),IF($D12="MM",100*ABS(($G12-(Data2010!T9-$H12)/$J12)),IF($D12="XX",ABS((100*$G12)-((Data2010!T9-$E12)*$F12)),"na")))</f>
        <v>25</v>
      </c>
      <c r="AJ12" s="38">
        <f>IF($D12="WS",SUMPRODUCT(($C13:$C$32=$B12)*($Q13:$Q$32)*(AJ13:AJ$32)),IF($D12="MM",100*ABS(($G12-(Data2010!U9-$H12)/$J12)),IF($D12="XX",ABS((100*$G12)-((Data2010!U9-$E12)*$F12)),"na")))</f>
        <v>25</v>
      </c>
      <c r="AK12" s="38">
        <f>IF($D12="WS",SUMPRODUCT(($C13:$C$32=$B12)*($Q13:$Q$32)*(AK13:AK$32)),IF($D12="MM",100*ABS(($G12-(Data2010!V9-$H12)/$J12)),IF($D12="XX",ABS((100*$G12)-((Data2010!V9-$E12)*$F12)),"na")))</f>
        <v>0</v>
      </c>
    </row>
    <row r="13" spans="1:37" s="95" customFormat="1">
      <c r="B13" s="95" t="str">
        <f>tblIndicators!A8</f>
        <v>INST</v>
      </c>
      <c r="C13" s="95" t="str">
        <f>tblIndicators!B8</f>
        <v>TOTL</v>
      </c>
      <c r="D13" s="95" t="str">
        <f>tblIndicators!D8</f>
        <v>WS</v>
      </c>
      <c r="E13" s="95">
        <f>tblIndicators!E8</f>
        <v>0</v>
      </c>
      <c r="F13" s="95">
        <f>tblIndicators!F8</f>
        <v>0</v>
      </c>
      <c r="G13" s="95">
        <f>tblIndicators!G8</f>
        <v>0</v>
      </c>
      <c r="H13" s="95">
        <f>MIN(Data2010!D10:V10)</f>
        <v>0</v>
      </c>
      <c r="I13" s="95">
        <f>MAX(Data2010!D10:V10)</f>
        <v>0</v>
      </c>
      <c r="J13" s="96">
        <f t="shared" si="0"/>
        <v>0</v>
      </c>
      <c r="K13" s="95">
        <f>MATCH(B13,Weights!C$4:C$36,0)</f>
        <v>2</v>
      </c>
      <c r="L13" s="95">
        <f>tblIndicators!S8</f>
        <v>1</v>
      </c>
      <c r="M13" s="95">
        <f>INDEX(Weights!G$4:G$36,K13)</f>
        <v>1.2</v>
      </c>
      <c r="N13" s="98">
        <f t="shared" si="1"/>
        <v>0.19999999999999998</v>
      </c>
      <c r="P13" s="95" t="str">
        <f>tblIndicators!Q8</f>
        <v>INSTITUTIONAL FRAMEWORK</v>
      </c>
      <c r="Q13" s="102">
        <f t="shared" si="2"/>
        <v>0.19999999999999998</v>
      </c>
      <c r="S13" s="97">
        <f>IF($D13="WS",SUMPRODUCT(($C14:$C$32=$B13)*($Q14:$Q$32)*(S14:S$32)),IF($D13="MM",100*ABS(($G13-(Data2010!D10-$H13)/$J13)),IF($D13="XX",ABS((100*$G13)-((Data2010!D10-$E13)*$F13)),"na")))</f>
        <v>33.333333333333329</v>
      </c>
      <c r="T13" s="97">
        <f>IF($D13="WS",SUMPRODUCT(($C14:$C$32=$B13)*($Q14:$Q$32)*(T14:T$32)),IF($D13="MM",100*ABS(($G13-(Data2010!E10-$H13)/$J13)),IF($D13="XX",ABS((100*$G13)-((Data2010!E10-$E13)*$F13)),"na")))</f>
        <v>75</v>
      </c>
      <c r="U13" s="97">
        <f>IF($D13="WS",SUMPRODUCT(($C14:$C$32=$B13)*($Q14:$Q$32)*(U14:U$32)),IF($D13="MM",100*ABS(($G13-(Data2010!F10-$H13)/$J13)),IF($D13="XX",ABS((100*$G13)-((Data2010!F10-$E13)*$F13)),"na")))</f>
        <v>75</v>
      </c>
      <c r="V13" s="97">
        <f>IF($D13="WS",SUMPRODUCT(($C14:$C$32=$B13)*($Q14:$Q$32)*(V14:V$32)),IF($D13="MM",100*ABS(($G13-(Data2010!G10-$H13)/$J13)),IF($D13="XX",ABS((100*$G13)-((Data2010!G10-$E13)*$F13)),"na")))</f>
        <v>49.999999999999993</v>
      </c>
      <c r="W13" s="97">
        <f>IF($D13="WS",SUMPRODUCT(($C14:$C$32=$B13)*($Q14:$Q$32)*(W14:W$32)),IF($D13="MM",100*ABS(($G13-(Data2010!H10-$H13)/$J13)),IF($D13="XX",ABS((100*$G13)-((Data2010!H10-$E13)*$F13)),"na")))</f>
        <v>24.999999999999996</v>
      </c>
      <c r="X13" s="97">
        <f>IF($D13="WS",SUMPRODUCT(($C14:$C$32=$B13)*($Q14:$Q$32)*(X14:X$32)),IF($D13="MM",100*ABS(($G13-(Data2010!I10-$H13)/$J13)),IF($D13="XX",ABS((100*$G13)-((Data2010!I10-$E13)*$F13)),"na")))</f>
        <v>8.3333333333333321</v>
      </c>
      <c r="Y13" s="97">
        <f>IF($D13="WS",SUMPRODUCT(($C14:$C$32=$B13)*($Q14:$Q$32)*(Y14:Y$32)),IF($D13="MM",100*ABS(($G13-(Data2010!J10-$H13)/$J13)),IF($D13="XX",ABS((100*$G13)-((Data2010!J10-$E13)*$F13)),"na")))</f>
        <v>0</v>
      </c>
      <c r="Z13" s="97">
        <f>IF($D13="WS",SUMPRODUCT(($C14:$C$32=$B13)*($Q14:$Q$32)*(Z14:Z$32)),IF($D13="MM",100*ABS(($G13-(Data2010!K10-$H13)/$J13)),IF($D13="XX",ABS((100*$G13)-((Data2010!K10-$E13)*$F13)),"na")))</f>
        <v>33.333333333333329</v>
      </c>
      <c r="AA13" s="97">
        <f>IF($D13="WS",SUMPRODUCT(($C14:$C$32=$B13)*($Q14:$Q$32)*(AA14:AA$32)),IF($D13="MM",100*ABS(($G13-(Data2010!L10-$H13)/$J13)),IF($D13="XX",ABS((100*$G13)-((Data2010!L10-$E13)*$F13)),"na")))</f>
        <v>49.999999999999993</v>
      </c>
      <c r="AB13" s="97">
        <f>IF($D13="WS",SUMPRODUCT(($C14:$C$32=$B13)*($Q14:$Q$32)*(AB14:AB$32)),IF($D13="MM",100*ABS(($G13-(Data2010!M10-$H13)/$J13)),IF($D13="XX",ABS((100*$G13)-((Data2010!M10-$E13)*$F13)),"na")))</f>
        <v>33.333333333333329</v>
      </c>
      <c r="AC13" s="97">
        <f>IF($D13="WS",SUMPRODUCT(($C14:$C$32=$B13)*($Q14:$Q$32)*(AC14:AC$32)),IF($D13="MM",100*ABS(($G13-(Data2010!N10-$H13)/$J13)),IF($D13="XX",ABS((100*$G13)-((Data2010!N10-$E13)*$F13)),"na")))</f>
        <v>24.999999999999996</v>
      </c>
      <c r="AD13" s="97">
        <f>IF($D13="WS",SUMPRODUCT(($C14:$C$32=$B13)*($Q14:$Q$32)*(AD14:AD$32)),IF($D13="MM",100*ABS(($G13-(Data2010!O10-$H13)/$J13)),IF($D13="XX",ABS((100*$G13)-((Data2010!O10-$E13)*$F13)),"na")))</f>
        <v>58.333333333333329</v>
      </c>
      <c r="AE13" s="97">
        <f>IF($D13="WS",SUMPRODUCT(($C14:$C$32=$B13)*($Q14:$Q$32)*(AE14:AE$32)),IF($D13="MM",100*ABS(($G13-(Data2010!P10-$H13)/$J13)),IF($D13="XX",ABS((100*$G13)-((Data2010!P10-$E13)*$F13)),"na")))</f>
        <v>24.999999999999996</v>
      </c>
      <c r="AF13" s="97">
        <f>IF($D13="WS",SUMPRODUCT(($C14:$C$32=$B13)*($Q14:$Q$32)*(AF14:AF$32)),IF($D13="MM",100*ABS(($G13-(Data2010!Q10-$H13)/$J13)),IF($D13="XX",ABS((100*$G13)-((Data2010!Q10-$E13)*$F13)),"na")))</f>
        <v>24.999999999999996</v>
      </c>
      <c r="AG13" s="97">
        <f>IF($D13="WS",SUMPRODUCT(($C14:$C$32=$B13)*($Q14:$Q$32)*(AG14:AG$32)),IF($D13="MM",100*ABS(($G13-(Data2010!R10-$H13)/$J13)),IF($D13="XX",ABS((100*$G13)-((Data2010!R10-$E13)*$F13)),"na")))</f>
        <v>24.999999999999996</v>
      </c>
      <c r="AH13" s="97">
        <f>IF($D13="WS",SUMPRODUCT(($C14:$C$32=$B13)*($Q14:$Q$32)*(AH14:AH$32)),IF($D13="MM",100*ABS(($G13-(Data2010!S10-$H13)/$J13)),IF($D13="XX",ABS((100*$G13)-((Data2010!S10-$E13)*$F13)),"na")))</f>
        <v>75</v>
      </c>
      <c r="AI13" s="97">
        <f>IF($D13="WS",SUMPRODUCT(($C14:$C$32=$B13)*($Q14:$Q$32)*(AI14:AI$32)),IF($D13="MM",100*ABS(($G13-(Data2010!T10-$H13)/$J13)),IF($D13="XX",ABS((100*$G13)-((Data2010!T10-$E13)*$F13)),"na")))</f>
        <v>24.999999999999996</v>
      </c>
      <c r="AJ13" s="97">
        <f>IF($D13="WS",SUMPRODUCT(($C14:$C$32=$B13)*($Q14:$Q$32)*(AJ14:AJ$32)),IF($D13="MM",100*ABS(($G13-(Data2010!U10-$H13)/$J13)),IF($D13="XX",ABS((100*$G13)-((Data2010!U10-$E13)*$F13)),"na")))</f>
        <v>33.333333333333329</v>
      </c>
      <c r="AK13" s="97">
        <f>IF($D13="WS",SUMPRODUCT(($C14:$C$32=$B13)*($Q14:$Q$32)*(AK14:AK$32)),IF($D13="MM",100*ABS(($G13-(Data2010!V10-$H13)/$J13)),IF($D13="XX",ABS((100*$G13)-((Data2010!V10-$E13)*$F13)),"na")))</f>
        <v>0</v>
      </c>
    </row>
    <row r="14" spans="1:37">
      <c r="B14" t="str">
        <f>tblIndicators!A9</f>
        <v>INST01</v>
      </c>
      <c r="C14" t="str">
        <f>tblIndicators!B9</f>
        <v>INST</v>
      </c>
      <c r="D14" t="str">
        <f>tblIndicators!D9</f>
        <v>XX</v>
      </c>
      <c r="E14">
        <f>tblIndicators!E9</f>
        <v>0</v>
      </c>
      <c r="F14">
        <f>tblIndicators!F9</f>
        <v>25</v>
      </c>
      <c r="G14">
        <f>tblIndicators!G9</f>
        <v>0</v>
      </c>
      <c r="H14">
        <f>MIN(Data2010!D11:V11)</f>
        <v>0</v>
      </c>
      <c r="I14">
        <f>MAX(Data2010!D11:V11)</f>
        <v>3</v>
      </c>
      <c r="J14" s="22">
        <f t="shared" si="0"/>
        <v>3</v>
      </c>
      <c r="K14">
        <f>MATCH(B14,Weights!C$4:C$36,0)</f>
        <v>15</v>
      </c>
      <c r="L14" s="95">
        <f>tblIndicators!S9</f>
        <v>1</v>
      </c>
      <c r="M14">
        <f>INDEX(Weights!G$4:G$36,K14)</f>
        <v>2</v>
      </c>
      <c r="N14" s="36">
        <f t="shared" si="1"/>
        <v>0.66666666666666663</v>
      </c>
      <c r="P14" t="str">
        <f>tblIndicators!Q9</f>
        <v xml:space="preserve">   Quality of institutional design</v>
      </c>
      <c r="Q14" s="103">
        <f t="shared" si="2"/>
        <v>0.66666666666666663</v>
      </c>
      <c r="S14" s="38">
        <f>IF($D14="WS",SUMPRODUCT(($C15:$C$32=$B14)*($Q15:$Q$32)*(S15:S$32)),IF($D14="MM",100*ABS(($G14-(Data2010!D11-$H14)/$J14)),IF($D14="XX",ABS((100*$G14)-((Data2010!D11-$E14)*$F14)),"na")))</f>
        <v>50</v>
      </c>
      <c r="T14" s="38">
        <f>IF($D14="WS",SUMPRODUCT(($C15:$C$32=$B14)*($Q15:$Q$32)*(T15:T$32)),IF($D14="MM",100*ABS(($G14-(Data2010!E11-$H14)/$J14)),IF($D14="XX",ABS((100*$G14)-((Data2010!E11-$E14)*$F14)),"na")))</f>
        <v>75</v>
      </c>
      <c r="U14" s="38">
        <f>IF($D14="WS",SUMPRODUCT(($C15:$C$32=$B14)*($Q15:$Q$32)*(U15:U$32)),IF($D14="MM",100*ABS(($G14-(Data2010!F11-$H14)/$J14)),IF($D14="XX",ABS((100*$G14)-((Data2010!F11-$E14)*$F14)),"na")))</f>
        <v>75</v>
      </c>
      <c r="V14" s="38">
        <f>IF($D14="WS",SUMPRODUCT(($C15:$C$32=$B14)*($Q15:$Q$32)*(V15:V$32)),IF($D14="MM",100*ABS(($G14-(Data2010!G11-$H14)/$J14)),IF($D14="XX",ABS((100*$G14)-((Data2010!G11-$E14)*$F14)),"na")))</f>
        <v>50</v>
      </c>
      <c r="W14" s="38">
        <f>IF($D14="WS",SUMPRODUCT(($C15:$C$32=$B14)*($Q15:$Q$32)*(W15:W$32)),IF($D14="MM",100*ABS(($G14-(Data2010!H11-$H14)/$J14)),IF($D14="XX",ABS((100*$G14)-((Data2010!H11-$E14)*$F14)),"na")))</f>
        <v>25</v>
      </c>
      <c r="X14" s="38">
        <f>IF($D14="WS",SUMPRODUCT(($C15:$C$32=$B14)*($Q15:$Q$32)*(X15:X$32)),IF($D14="MM",100*ABS(($G14-(Data2010!I11-$H14)/$J14)),IF($D14="XX",ABS((100*$G14)-((Data2010!I11-$E14)*$F14)),"na")))</f>
        <v>0</v>
      </c>
      <c r="Y14" s="38">
        <f>IF($D14="WS",SUMPRODUCT(($C15:$C$32=$B14)*($Q15:$Q$32)*(Y15:Y$32)),IF($D14="MM",100*ABS(($G14-(Data2010!J11-$H14)/$J14)),IF($D14="XX",ABS((100*$G14)-((Data2010!J11-$E14)*$F14)),"na")))</f>
        <v>0</v>
      </c>
      <c r="Z14" s="38">
        <f>IF($D14="WS",SUMPRODUCT(($C15:$C$32=$B14)*($Q15:$Q$32)*(Z15:Z$32)),IF($D14="MM",100*ABS(($G14-(Data2010!K11-$H14)/$J14)),IF($D14="XX",ABS((100*$G14)-((Data2010!K11-$E14)*$F14)),"na")))</f>
        <v>25</v>
      </c>
      <c r="AA14" s="38">
        <f>IF($D14="WS",SUMPRODUCT(($C15:$C$32=$B14)*($Q15:$Q$32)*(AA15:AA$32)),IF($D14="MM",100*ABS(($G14-(Data2010!L11-$H14)/$J14)),IF($D14="XX",ABS((100*$G14)-((Data2010!L11-$E14)*$F14)),"na")))</f>
        <v>50</v>
      </c>
      <c r="AB14" s="38">
        <f>IF($D14="WS",SUMPRODUCT(($C15:$C$32=$B14)*($Q15:$Q$32)*(AB15:AB$32)),IF($D14="MM",100*ABS(($G14-(Data2010!M11-$H14)/$J14)),IF($D14="XX",ABS((100*$G14)-((Data2010!M11-$E14)*$F14)),"na")))</f>
        <v>25</v>
      </c>
      <c r="AC14" s="38">
        <f>IF($D14="WS",SUMPRODUCT(($C15:$C$32=$B14)*($Q15:$Q$32)*(AC15:AC$32)),IF($D14="MM",100*ABS(($G14-(Data2010!N11-$H14)/$J14)),IF($D14="XX",ABS((100*$G14)-((Data2010!N11-$E14)*$F14)),"na")))</f>
        <v>25</v>
      </c>
      <c r="AD14" s="38">
        <f>IF($D14="WS",SUMPRODUCT(($C15:$C$32=$B14)*($Q15:$Q$32)*(AD15:AD$32)),IF($D14="MM",100*ABS(($G14-(Data2010!O11-$H14)/$J14)),IF($D14="XX",ABS((100*$G14)-((Data2010!O11-$E14)*$F14)),"na")))</f>
        <v>50</v>
      </c>
      <c r="AE14" s="38">
        <f>IF($D14="WS",SUMPRODUCT(($C15:$C$32=$B14)*($Q15:$Q$32)*(AE15:AE$32)),IF($D14="MM",100*ABS(($G14-(Data2010!P11-$H14)/$J14)),IF($D14="XX",ABS((100*$G14)-((Data2010!P11-$E14)*$F14)),"na")))</f>
        <v>25</v>
      </c>
      <c r="AF14" s="38">
        <f>IF($D14="WS",SUMPRODUCT(($C15:$C$32=$B14)*($Q15:$Q$32)*(AF15:AF$32)),IF($D14="MM",100*ABS(($G14-(Data2010!Q11-$H14)/$J14)),IF($D14="XX",ABS((100*$G14)-((Data2010!Q11-$E14)*$F14)),"na")))</f>
        <v>25</v>
      </c>
      <c r="AG14" s="38">
        <f>IF($D14="WS",SUMPRODUCT(($C15:$C$32=$B14)*($Q15:$Q$32)*(AG15:AG$32)),IF($D14="MM",100*ABS(($G14-(Data2010!R11-$H14)/$J14)),IF($D14="XX",ABS((100*$G14)-((Data2010!R11-$E14)*$F14)),"na")))</f>
        <v>25</v>
      </c>
      <c r="AH14" s="38">
        <f>IF($D14="WS",SUMPRODUCT(($C15:$C$32=$B14)*($Q15:$Q$32)*(AH15:AH$32)),IF($D14="MM",100*ABS(($G14-(Data2010!S11-$H14)/$J14)),IF($D14="XX",ABS((100*$G14)-((Data2010!S11-$E14)*$F14)),"na")))</f>
        <v>75</v>
      </c>
      <c r="AI14" s="38">
        <f>IF($D14="WS",SUMPRODUCT(($C15:$C$32=$B14)*($Q15:$Q$32)*(AI15:AI$32)),IF($D14="MM",100*ABS(($G14-(Data2010!T11-$H14)/$J14)),IF($D14="XX",ABS((100*$G14)-((Data2010!T11-$E14)*$F14)),"na")))</f>
        <v>25</v>
      </c>
      <c r="AJ14" s="38">
        <f>IF($D14="WS",SUMPRODUCT(($C15:$C$32=$B14)*($Q15:$Q$32)*(AJ15:AJ$32)),IF($D14="MM",100*ABS(($G14-(Data2010!U11-$H14)/$J14)),IF($D14="XX",ABS((100*$G14)-((Data2010!U11-$E14)*$F14)),"na")))</f>
        <v>25</v>
      </c>
      <c r="AK14" s="38">
        <f>IF($D14="WS",SUMPRODUCT(($C15:$C$32=$B14)*($Q15:$Q$32)*(AK15:AK$32)),IF($D14="MM",100*ABS(($G14-(Data2010!V11-$H14)/$J14)),IF($D14="XX",ABS((100*$G14)-((Data2010!V11-$E14)*$F14)),"na")))</f>
        <v>0</v>
      </c>
    </row>
    <row r="15" spans="1:37">
      <c r="B15" t="str">
        <f>tblIndicators!A10</f>
        <v>INST02</v>
      </c>
      <c r="C15" t="str">
        <f>tblIndicators!B10</f>
        <v>INST</v>
      </c>
      <c r="D15" t="str">
        <f>tblIndicators!D10</f>
        <v>XX</v>
      </c>
      <c r="E15">
        <f>tblIndicators!E10</f>
        <v>0</v>
      </c>
      <c r="F15">
        <f>tblIndicators!F10</f>
        <v>25</v>
      </c>
      <c r="G15">
        <f>tblIndicators!G10</f>
        <v>0</v>
      </c>
      <c r="H15">
        <f>MIN(Data2010!D12:V12)</f>
        <v>0</v>
      </c>
      <c r="I15">
        <f>MAX(Data2010!D12:V12)</f>
        <v>3</v>
      </c>
      <c r="J15" s="22">
        <f t="shared" si="0"/>
        <v>3</v>
      </c>
      <c r="K15">
        <f>MATCH(B15,Weights!C$4:C$36,0)</f>
        <v>16</v>
      </c>
      <c r="L15" s="95">
        <f>tblIndicators!S10</f>
        <v>1</v>
      </c>
      <c r="M15">
        <f>INDEX(Weights!G$4:G$36,K15)</f>
        <v>1</v>
      </c>
      <c r="N15" s="36">
        <f t="shared" si="1"/>
        <v>0.33333333333333331</v>
      </c>
      <c r="P15" t="str">
        <f>tblIndicators!Q10</f>
        <v xml:space="preserve">   PPP contract, hold-up and expropriation risk</v>
      </c>
      <c r="Q15" s="103">
        <f t="shared" si="2"/>
        <v>0.33333333333333331</v>
      </c>
      <c r="S15" s="38">
        <f>IF($D15="WS",SUMPRODUCT(($C16:$C$32=$B15)*($Q16:$Q$32)*(S16:S$32)),IF($D15="MM",100*ABS(($G15-(Data2010!D12-$H15)/$J15)),IF($D15="XX",ABS((100*$G15)-((Data2010!D12-$E15)*$F15)),"na")))</f>
        <v>0</v>
      </c>
      <c r="T15" s="38">
        <f>IF($D15="WS",SUMPRODUCT(($C16:$C$32=$B15)*($Q16:$Q$32)*(T16:T$32)),IF($D15="MM",100*ABS(($G15-(Data2010!E12-$H15)/$J15)),IF($D15="XX",ABS((100*$G15)-((Data2010!E12-$E15)*$F15)),"na")))</f>
        <v>75</v>
      </c>
      <c r="U15" s="38">
        <f>IF($D15="WS",SUMPRODUCT(($C16:$C$32=$B15)*($Q16:$Q$32)*(U16:U$32)),IF($D15="MM",100*ABS(($G15-(Data2010!F12-$H15)/$J15)),IF($D15="XX",ABS((100*$G15)-((Data2010!F12-$E15)*$F15)),"na")))</f>
        <v>75</v>
      </c>
      <c r="V15" s="38">
        <f>IF($D15="WS",SUMPRODUCT(($C16:$C$32=$B15)*($Q16:$Q$32)*(V16:V$32)),IF($D15="MM",100*ABS(($G15-(Data2010!G12-$H15)/$J15)),IF($D15="XX",ABS((100*$G15)-((Data2010!G12-$E15)*$F15)),"na")))</f>
        <v>50</v>
      </c>
      <c r="W15" s="38">
        <f>IF($D15="WS",SUMPRODUCT(($C16:$C$32=$B15)*($Q16:$Q$32)*(W16:W$32)),IF($D15="MM",100*ABS(($G15-(Data2010!H12-$H15)/$J15)),IF($D15="XX",ABS((100*$G15)-((Data2010!H12-$E15)*$F15)),"na")))</f>
        <v>25</v>
      </c>
      <c r="X15" s="38">
        <f>IF($D15="WS",SUMPRODUCT(($C16:$C$32=$B15)*($Q16:$Q$32)*(X16:X$32)),IF($D15="MM",100*ABS(($G15-(Data2010!I12-$H15)/$J15)),IF($D15="XX",ABS((100*$G15)-((Data2010!I12-$E15)*$F15)),"na")))</f>
        <v>25</v>
      </c>
      <c r="Y15" s="38">
        <f>IF($D15="WS",SUMPRODUCT(($C16:$C$32=$B15)*($Q16:$Q$32)*(Y16:Y$32)),IF($D15="MM",100*ABS(($G15-(Data2010!J12-$H15)/$J15)),IF($D15="XX",ABS((100*$G15)-((Data2010!J12-$E15)*$F15)),"na")))</f>
        <v>0</v>
      </c>
      <c r="Z15" s="38">
        <f>IF($D15="WS",SUMPRODUCT(($C16:$C$32=$B15)*($Q16:$Q$32)*(Z16:Z$32)),IF($D15="MM",100*ABS(($G15-(Data2010!K12-$H15)/$J15)),IF($D15="XX",ABS((100*$G15)-((Data2010!K12-$E15)*$F15)),"na")))</f>
        <v>50</v>
      </c>
      <c r="AA15" s="38">
        <f>IF($D15="WS",SUMPRODUCT(($C16:$C$32=$B15)*($Q16:$Q$32)*(AA16:AA$32)),IF($D15="MM",100*ABS(($G15-(Data2010!L12-$H15)/$J15)),IF($D15="XX",ABS((100*$G15)-((Data2010!L12-$E15)*$F15)),"na")))</f>
        <v>50</v>
      </c>
      <c r="AB15" s="38">
        <f>IF($D15="WS",SUMPRODUCT(($C16:$C$32=$B15)*($Q16:$Q$32)*(AB16:AB$32)),IF($D15="MM",100*ABS(($G15-(Data2010!M12-$H15)/$J15)),IF($D15="XX",ABS((100*$G15)-((Data2010!M12-$E15)*$F15)),"na")))</f>
        <v>50</v>
      </c>
      <c r="AC15" s="38">
        <f>IF($D15="WS",SUMPRODUCT(($C16:$C$32=$B15)*($Q16:$Q$32)*(AC16:AC$32)),IF($D15="MM",100*ABS(($G15-(Data2010!N12-$H15)/$J15)),IF($D15="XX",ABS((100*$G15)-((Data2010!N12-$E15)*$F15)),"na")))</f>
        <v>25</v>
      </c>
      <c r="AD15" s="38">
        <f>IF($D15="WS",SUMPRODUCT(($C16:$C$32=$B15)*($Q16:$Q$32)*(AD16:AD$32)),IF($D15="MM",100*ABS(($G15-(Data2010!O12-$H15)/$J15)),IF($D15="XX",ABS((100*$G15)-((Data2010!O12-$E15)*$F15)),"na")))</f>
        <v>75</v>
      </c>
      <c r="AE15" s="38">
        <f>IF($D15="WS",SUMPRODUCT(($C16:$C$32=$B15)*($Q16:$Q$32)*(AE16:AE$32)),IF($D15="MM",100*ABS(($G15-(Data2010!P12-$H15)/$J15)),IF($D15="XX",ABS((100*$G15)-((Data2010!P12-$E15)*$F15)),"na")))</f>
        <v>25</v>
      </c>
      <c r="AF15" s="38">
        <f>IF($D15="WS",SUMPRODUCT(($C16:$C$32=$B15)*($Q16:$Q$32)*(AF16:AF$32)),IF($D15="MM",100*ABS(($G15-(Data2010!Q12-$H15)/$J15)),IF($D15="XX",ABS((100*$G15)-((Data2010!Q12-$E15)*$F15)),"na")))</f>
        <v>25</v>
      </c>
      <c r="AG15" s="38">
        <f>IF($D15="WS",SUMPRODUCT(($C16:$C$32=$B15)*($Q16:$Q$32)*(AG16:AG$32)),IF($D15="MM",100*ABS(($G15-(Data2010!R12-$H15)/$J15)),IF($D15="XX",ABS((100*$G15)-((Data2010!R12-$E15)*$F15)),"na")))</f>
        <v>25</v>
      </c>
      <c r="AH15" s="38">
        <f>IF($D15="WS",SUMPRODUCT(($C16:$C$32=$B15)*($Q16:$Q$32)*(AH16:AH$32)),IF($D15="MM",100*ABS(($G15-(Data2010!S12-$H15)/$J15)),IF($D15="XX",ABS((100*$G15)-((Data2010!S12-$E15)*$F15)),"na")))</f>
        <v>75</v>
      </c>
      <c r="AI15" s="38">
        <f>IF($D15="WS",SUMPRODUCT(($C16:$C$32=$B15)*($Q16:$Q$32)*(AI16:AI$32)),IF($D15="MM",100*ABS(($G15-(Data2010!T12-$H15)/$J15)),IF($D15="XX",ABS((100*$G15)-((Data2010!T12-$E15)*$F15)),"na")))</f>
        <v>25</v>
      </c>
      <c r="AJ15" s="38">
        <f>IF($D15="WS",SUMPRODUCT(($C16:$C$32=$B15)*($Q16:$Q$32)*(AJ16:AJ$32)),IF($D15="MM",100*ABS(($G15-(Data2010!U12-$H15)/$J15)),IF($D15="XX",ABS((100*$G15)-((Data2010!U12-$E15)*$F15)),"na")))</f>
        <v>50</v>
      </c>
      <c r="AK15" s="38">
        <f>IF($D15="WS",SUMPRODUCT(($C16:$C$32=$B15)*($Q16:$Q$32)*(AK16:AK$32)),IF($D15="MM",100*ABS(($G15-(Data2010!V12-$H15)/$J15)),IF($D15="XX",ABS((100*$G15)-((Data2010!V12-$E15)*$F15)),"na")))</f>
        <v>0</v>
      </c>
    </row>
    <row r="16" spans="1:37" s="95" customFormat="1">
      <c r="B16" s="95" t="str">
        <f>tblIndicators!A11</f>
        <v>OPER</v>
      </c>
      <c r="C16" s="95" t="str">
        <f>tblIndicators!B11</f>
        <v>TOTL</v>
      </c>
      <c r="D16" s="95" t="str">
        <f>tblIndicators!D11</f>
        <v>WS</v>
      </c>
      <c r="E16" s="95">
        <f>tblIndicators!E11</f>
        <v>0</v>
      </c>
      <c r="F16" s="95">
        <f>tblIndicators!F11</f>
        <v>0</v>
      </c>
      <c r="G16" s="95">
        <f>tblIndicators!G11</f>
        <v>0</v>
      </c>
      <c r="H16" s="95">
        <f>MIN(Data2010!D13:V13)</f>
        <v>0</v>
      </c>
      <c r="I16" s="95">
        <f>MAX(Data2010!D13:V13)</f>
        <v>0</v>
      </c>
      <c r="J16" s="96">
        <f t="shared" si="0"/>
        <v>0</v>
      </c>
      <c r="K16" s="95">
        <f>MATCH(B16,Weights!C$4:C$36,0)</f>
        <v>3</v>
      </c>
      <c r="L16" s="95">
        <f>tblIndicators!S11</f>
        <v>1</v>
      </c>
      <c r="M16" s="95">
        <f>INDEX(Weights!G$4:G$36,K16)</f>
        <v>0.9</v>
      </c>
      <c r="N16" s="98">
        <f t="shared" si="1"/>
        <v>0.15</v>
      </c>
      <c r="P16" s="95" t="str">
        <f>tblIndicators!Q11</f>
        <v>OPERATIONAL MATURITY</v>
      </c>
      <c r="Q16" s="102">
        <f t="shared" si="2"/>
        <v>0.15</v>
      </c>
      <c r="S16" s="97">
        <f>IF($D16="WS",SUMPRODUCT(($C17:$C$32=$B16)*($Q17:$Q$32)*(S17:S$32)),IF($D16="MM",100*ABS(($G16-(Data2010!D13-$H16)/$J16)),IF($D16="XX",ABS((100*$G16)-((Data2010!D13-$E16)*$F16)),"na")))</f>
        <v>16.666666666666664</v>
      </c>
      <c r="T16" s="97">
        <f>IF($D16="WS",SUMPRODUCT(($C17:$C$32=$B16)*($Q17:$Q$32)*(T17:T$32)),IF($D16="MM",100*ABS(($G16-(Data2010!E13-$H16)/$J16)),IF($D16="XX",ABS((100*$G16)-((Data2010!E13-$E16)*$F16)),"na")))</f>
        <v>87.5</v>
      </c>
      <c r="U16" s="97">
        <f>IF($D16="WS",SUMPRODUCT(($C17:$C$32=$B16)*($Q17:$Q$32)*(U17:U$32)),IF($D16="MM",100*ABS(($G16-(Data2010!F13-$H16)/$J16)),IF($D16="XX",ABS((100*$G16)-((Data2010!F13-$E16)*$F16)),"na")))</f>
        <v>72.172619047619051</v>
      </c>
      <c r="V16" s="97">
        <f>IF($D16="WS",SUMPRODUCT(($C17:$C$32=$B16)*($Q17:$Q$32)*(V17:V$32)),IF($D16="MM",100*ABS(($G16-(Data2010!G13-$H16)/$J16)),IF($D16="XX",ABS((100*$G16)-((Data2010!G13-$E16)*$F16)),"na")))</f>
        <v>46.726190476190474</v>
      </c>
      <c r="W16" s="97">
        <f>IF($D16="WS",SUMPRODUCT(($C17:$C$32=$B16)*($Q17:$Q$32)*(W17:W$32)),IF($D16="MM",100*ABS(($G16-(Data2010!H13-$H16)/$J16)),IF($D16="XX",ABS((100*$G16)-((Data2010!H13-$E16)*$F16)),"na")))</f>
        <v>42.113095238095241</v>
      </c>
      <c r="X16" s="97">
        <f>IF($D16="WS",SUMPRODUCT(($C17:$C$32=$B16)*($Q17:$Q$32)*(X17:X$32)),IF($D16="MM",100*ABS(($G16-(Data2010!I13-$H16)/$J16)),IF($D16="XX",ABS((100*$G16)-((Data2010!I13-$E16)*$F16)),"na")))</f>
        <v>13.988095238095237</v>
      </c>
      <c r="Y16" s="97">
        <f>IF($D16="WS",SUMPRODUCT(($C17:$C$32=$B16)*($Q17:$Q$32)*(Y17:Y$32)),IF($D16="MM",100*ABS(($G16-(Data2010!J13-$H16)/$J16)),IF($D16="XX",ABS((100*$G16)-((Data2010!J13-$E16)*$F16)),"na")))</f>
        <v>33.035714285714285</v>
      </c>
      <c r="Z16" s="97">
        <f>IF($D16="WS",SUMPRODUCT(($C17:$C$32=$B16)*($Q17:$Q$32)*(Z17:Z$32)),IF($D16="MM",100*ABS(($G16-(Data2010!K13-$H16)/$J16)),IF($D16="XX",ABS((100*$G16)-((Data2010!K13-$E16)*$F16)),"na")))</f>
        <v>25.148809523809526</v>
      </c>
      <c r="AA16" s="97">
        <f>IF($D16="WS",SUMPRODUCT(($C17:$C$32=$B16)*($Q17:$Q$32)*(AA17:AA$32)),IF($D16="MM",100*ABS(($G16-(Data2010!L13-$H16)/$J16)),IF($D16="XX",ABS((100*$G16)-((Data2010!L13-$E16)*$F16)),"na")))</f>
        <v>35.416666666666664</v>
      </c>
      <c r="AB16" s="97">
        <f>IF($D16="WS",SUMPRODUCT(($C17:$C$32=$B16)*($Q17:$Q$32)*(AB17:AB$32)),IF($D16="MM",100*ABS(($G16-(Data2010!M13-$H16)/$J16)),IF($D16="XX",ABS((100*$G16)-((Data2010!M13-$E16)*$F16)),"na")))</f>
        <v>35.11904761904762</v>
      </c>
      <c r="AC16" s="97">
        <f>IF($D16="WS",SUMPRODUCT(($C17:$C$32=$B16)*($Q17:$Q$32)*(AC17:AC$32)),IF($D16="MM",100*ABS(($G16-(Data2010!N13-$H16)/$J16)),IF($D16="XX",ABS((100*$G16)-((Data2010!N13-$E16)*$F16)),"na")))</f>
        <v>25.297619047619047</v>
      </c>
      <c r="AD16" s="97">
        <f>IF($D16="WS",SUMPRODUCT(($C17:$C$32=$B16)*($Q17:$Q$32)*(AD17:AD$32)),IF($D16="MM",100*ABS(($G16-(Data2010!O13-$H16)/$J16)),IF($D16="XX",ABS((100*$G16)-((Data2010!O13-$E16)*$F16)),"na")))</f>
        <v>54.017857142857139</v>
      </c>
      <c r="AE16" s="97">
        <f>IF($D16="WS",SUMPRODUCT(($C17:$C$32=$B16)*($Q17:$Q$32)*(AE17:AE$32)),IF($D16="MM",100*ABS(($G16-(Data2010!P13-$H16)/$J16)),IF($D16="XX",ABS((100*$G16)-((Data2010!P13-$E16)*$F16)),"na")))</f>
        <v>13.095238095238095</v>
      </c>
      <c r="AF16" s="97">
        <f>IF($D16="WS",SUMPRODUCT(($C17:$C$32=$B16)*($Q17:$Q$32)*(AF17:AF$32)),IF($D16="MM",100*ABS(($G16-(Data2010!Q13-$H16)/$J16)),IF($D16="XX",ABS((100*$G16)-((Data2010!Q13-$E16)*$F16)),"na")))</f>
        <v>13.095238095238095</v>
      </c>
      <c r="AG16" s="97">
        <f>IF($D16="WS",SUMPRODUCT(($C17:$C$32=$B16)*($Q17:$Q$32)*(AG17:AG$32)),IF($D16="MM",100*ABS(($G16-(Data2010!R13-$H16)/$J16)),IF($D16="XX",ABS((100*$G16)-((Data2010!R13-$E16)*$F16)),"na")))</f>
        <v>15.625</v>
      </c>
      <c r="AH16" s="97">
        <f>IF($D16="WS",SUMPRODUCT(($C17:$C$32=$B16)*($Q17:$Q$32)*(AH17:AH$32)),IF($D16="MM",100*ABS(($G16-(Data2010!S13-$H16)/$J16)),IF($D16="XX",ABS((100*$G16)-((Data2010!S13-$E16)*$F16)),"na")))</f>
        <v>53.571428571428569</v>
      </c>
      <c r="AI16" s="97">
        <f>IF($D16="WS",SUMPRODUCT(($C17:$C$32=$B16)*($Q17:$Q$32)*(AI17:AI$32)),IF($D16="MM",100*ABS(($G16-(Data2010!T13-$H16)/$J16)),IF($D16="XX",ABS((100*$G16)-((Data2010!T13-$E16)*$F16)),"na")))</f>
        <v>9.5238095238095237</v>
      </c>
      <c r="AJ16" s="97">
        <f>IF($D16="WS",SUMPRODUCT(($C17:$C$32=$B16)*($Q17:$Q$32)*(AJ17:AJ$32)),IF($D16="MM",100*ABS(($G16-(Data2010!U13-$H16)/$J16)),IF($D16="XX",ABS((100*$G16)-((Data2010!U13-$E16)*$F16)),"na")))</f>
        <v>19.345238095238095</v>
      </c>
      <c r="AK16" s="97">
        <f>IF($D16="WS",SUMPRODUCT(($C17:$C$32=$B16)*($Q17:$Q$32)*(AK17:AK$32)),IF($D16="MM",100*ABS(($G16-(Data2010!V13-$H16)/$J16)),IF($D16="XX",ABS((100*$G16)-((Data2010!V13-$E16)*$F16)),"na")))</f>
        <v>0.59523809523809523</v>
      </c>
    </row>
    <row r="17" spans="2:37">
      <c r="B17" t="str">
        <f>tblIndicators!A12</f>
        <v>OPER01</v>
      </c>
      <c r="C17" t="str">
        <f>tblIndicators!B12</f>
        <v>OPER</v>
      </c>
      <c r="D17" t="str">
        <f>tblIndicators!D12</f>
        <v>XX</v>
      </c>
      <c r="E17">
        <f>tblIndicators!E12</f>
        <v>0</v>
      </c>
      <c r="F17">
        <f>tblIndicators!F12</f>
        <v>25</v>
      </c>
      <c r="G17">
        <f>tblIndicators!G12</f>
        <v>0</v>
      </c>
      <c r="H17">
        <f>MIN(Data2010!D14:V14)</f>
        <v>0</v>
      </c>
      <c r="I17">
        <f>MAX(Data2010!D14:V14)</f>
        <v>3</v>
      </c>
      <c r="J17" s="22">
        <f t="shared" si="0"/>
        <v>3</v>
      </c>
      <c r="K17">
        <f>MATCH(B17,Weights!C$4:C$36,0)</f>
        <v>18</v>
      </c>
      <c r="L17" s="95">
        <f>tblIndicators!S12</f>
        <v>1</v>
      </c>
      <c r="M17">
        <f>INDEX(Weights!G$4:G$36,K17)</f>
        <v>2</v>
      </c>
      <c r="N17" s="36">
        <f t="shared" si="1"/>
        <v>0.25</v>
      </c>
      <c r="P17" t="str">
        <f>tblIndicators!Q12</f>
        <v xml:space="preserve">   Public capacity to plan and oversee PPPs</v>
      </c>
      <c r="Q17" s="103">
        <f t="shared" si="2"/>
        <v>0.25</v>
      </c>
      <c r="S17" s="38">
        <f>IF($D17="WS",SUMPRODUCT(($C18:$C$32=$B17)*($Q18:$Q$32)*(S18:S$32)),IF($D17="MM",100*ABS(($G17-(Data2010!D14-$H17)/$J17)),IF($D17="XX",ABS((100*$G17)-((Data2010!D14-$E17)*$F17)),"na")))</f>
        <v>25</v>
      </c>
      <c r="T17" s="38">
        <f>IF($D17="WS",SUMPRODUCT(($C18:$C$32=$B17)*($Q18:$Q$32)*(T18:T$32)),IF($D17="MM",100*ABS(($G17-(Data2010!E14-$H17)/$J17)),IF($D17="XX",ABS((100*$G17)-((Data2010!E14-$E17)*$F17)),"na")))</f>
        <v>75</v>
      </c>
      <c r="U17" s="38">
        <f>IF($D17="WS",SUMPRODUCT(($C18:$C$32=$B17)*($Q18:$Q$32)*(U18:U$32)),IF($D17="MM",100*ABS(($G17-(Data2010!F14-$H17)/$J17)),IF($D17="XX",ABS((100*$G17)-((Data2010!F14-$E17)*$F17)),"na")))</f>
        <v>75</v>
      </c>
      <c r="V17" s="38">
        <f>IF($D17="WS",SUMPRODUCT(($C18:$C$32=$B17)*($Q18:$Q$32)*(V18:V$32)),IF($D17="MM",100*ABS(($G17-(Data2010!G14-$H17)/$J17)),IF($D17="XX",ABS((100*$G17)-((Data2010!G14-$E17)*$F17)),"na")))</f>
        <v>50</v>
      </c>
      <c r="W17" s="38">
        <f>IF($D17="WS",SUMPRODUCT(($C18:$C$32=$B17)*($Q18:$Q$32)*(W18:W$32)),IF($D17="MM",100*ABS(($G17-(Data2010!H14-$H17)/$J17)),IF($D17="XX",ABS((100*$G17)-((Data2010!H14-$E17)*$F17)),"na")))</f>
        <v>25</v>
      </c>
      <c r="X17" s="38">
        <f>IF($D17="WS",SUMPRODUCT(($C18:$C$32=$B17)*($Q18:$Q$32)*(X18:X$32)),IF($D17="MM",100*ABS(($G17-(Data2010!I14-$H17)/$J17)),IF($D17="XX",ABS((100*$G17)-((Data2010!I14-$E17)*$F17)),"na")))</f>
        <v>0</v>
      </c>
      <c r="Y17" s="38">
        <f>IF($D17="WS",SUMPRODUCT(($C18:$C$32=$B17)*($Q18:$Q$32)*(Y18:Y$32)),IF($D17="MM",100*ABS(($G17-(Data2010!J14-$H17)/$J17)),IF($D17="XX",ABS((100*$G17)-((Data2010!J14-$E17)*$F17)),"na")))</f>
        <v>25</v>
      </c>
      <c r="Z17" s="38">
        <f>IF($D17="WS",SUMPRODUCT(($C18:$C$32=$B17)*($Q18:$Q$32)*(Z18:Z$32)),IF($D17="MM",100*ABS(($G17-(Data2010!K14-$H17)/$J17)),IF($D17="XX",ABS((100*$G17)-((Data2010!K14-$E17)*$F17)),"na")))</f>
        <v>50</v>
      </c>
      <c r="AA17" s="38">
        <f>IF($D17="WS",SUMPRODUCT(($C18:$C$32=$B17)*($Q18:$Q$32)*(AA18:AA$32)),IF($D17="MM",100*ABS(($G17-(Data2010!L14-$H17)/$J17)),IF($D17="XX",ABS((100*$G17)-((Data2010!L14-$E17)*$F17)),"na")))</f>
        <v>0</v>
      </c>
      <c r="AB17" s="38">
        <f>IF($D17="WS",SUMPRODUCT(($C18:$C$32=$B17)*($Q18:$Q$32)*(AB18:AB$32)),IF($D17="MM",100*ABS(($G17-(Data2010!M14-$H17)/$J17)),IF($D17="XX",ABS((100*$G17)-((Data2010!M14-$E17)*$F17)),"na")))</f>
        <v>25</v>
      </c>
      <c r="AC17" s="38">
        <f>IF($D17="WS",SUMPRODUCT(($C18:$C$32=$B17)*($Q18:$Q$32)*(AC18:AC$32)),IF($D17="MM",100*ABS(($G17-(Data2010!N14-$H17)/$J17)),IF($D17="XX",ABS((100*$G17)-((Data2010!N14-$E17)*$F17)),"na")))</f>
        <v>50</v>
      </c>
      <c r="AD17" s="38">
        <f>IF($D17="WS",SUMPRODUCT(($C18:$C$32=$B17)*($Q18:$Q$32)*(AD18:AD$32)),IF($D17="MM",100*ABS(($G17-(Data2010!O14-$H17)/$J17)),IF($D17="XX",ABS((100*$G17)-((Data2010!O14-$E17)*$F17)),"na")))</f>
        <v>50</v>
      </c>
      <c r="AE17" s="38">
        <f>IF($D17="WS",SUMPRODUCT(($C18:$C$32=$B17)*($Q18:$Q$32)*(AE18:AE$32)),IF($D17="MM",100*ABS(($G17-(Data2010!P14-$H17)/$J17)),IF($D17="XX",ABS((100*$G17)-((Data2010!P14-$E17)*$F17)),"na")))</f>
        <v>25</v>
      </c>
      <c r="AF17" s="38">
        <f>IF($D17="WS",SUMPRODUCT(($C18:$C$32=$B17)*($Q18:$Q$32)*(AF18:AF$32)),IF($D17="MM",100*ABS(($G17-(Data2010!Q14-$H17)/$J17)),IF($D17="XX",ABS((100*$G17)-((Data2010!Q14-$E17)*$F17)),"na")))</f>
        <v>0</v>
      </c>
      <c r="AG17" s="38">
        <f>IF($D17="WS",SUMPRODUCT(($C18:$C$32=$B17)*($Q18:$Q$32)*(AG18:AG$32)),IF($D17="MM",100*ABS(($G17-(Data2010!R14-$H17)/$J17)),IF($D17="XX",ABS((100*$G17)-((Data2010!R14-$E17)*$F17)),"na")))</f>
        <v>25</v>
      </c>
      <c r="AH17" s="38">
        <f>IF($D17="WS",SUMPRODUCT(($C18:$C$32=$B17)*($Q18:$Q$32)*(AH18:AH$32)),IF($D17="MM",100*ABS(($G17-(Data2010!S14-$H17)/$J17)),IF($D17="XX",ABS((100*$G17)-((Data2010!S14-$E17)*$F17)),"na")))</f>
        <v>50</v>
      </c>
      <c r="AI17" s="38">
        <f>IF($D17="WS",SUMPRODUCT(($C18:$C$32=$B17)*($Q18:$Q$32)*(AI18:AI$32)),IF($D17="MM",100*ABS(($G17-(Data2010!T14-$H17)/$J17)),IF($D17="XX",ABS((100*$G17)-((Data2010!T14-$E17)*$F17)),"na")))</f>
        <v>25</v>
      </c>
      <c r="AJ17" s="38">
        <f>IF($D17="WS",SUMPRODUCT(($C18:$C$32=$B17)*($Q18:$Q$32)*(AJ18:AJ$32)),IF($D17="MM",100*ABS(($G17-(Data2010!U14-$H17)/$J17)),IF($D17="XX",ABS((100*$G17)-((Data2010!U14-$E17)*$F17)),"na")))</f>
        <v>50</v>
      </c>
      <c r="AK17" s="38">
        <f>IF($D17="WS",SUMPRODUCT(($C18:$C$32=$B17)*($Q18:$Q$32)*(AK18:AK$32)),IF($D17="MM",100*ABS(($G17-(Data2010!V14-$H17)/$J17)),IF($D17="XX",ABS((100*$G17)-((Data2010!V14-$E17)*$F17)),"na")))</f>
        <v>0</v>
      </c>
    </row>
    <row r="18" spans="2:37">
      <c r="B18" t="str">
        <f>tblIndicators!A13</f>
        <v>OPER02</v>
      </c>
      <c r="C18" t="str">
        <f>tblIndicators!B13</f>
        <v>OPER</v>
      </c>
      <c r="D18" t="str">
        <f>tblIndicators!D13</f>
        <v>XX</v>
      </c>
      <c r="E18">
        <f>tblIndicators!E13</f>
        <v>0</v>
      </c>
      <c r="F18">
        <f>tblIndicators!F13</f>
        <v>25</v>
      </c>
      <c r="G18">
        <f>tblIndicators!G13</f>
        <v>0</v>
      </c>
      <c r="H18">
        <f>MIN(Data2010!D15:V15)</f>
        <v>0</v>
      </c>
      <c r="I18">
        <f>MAX(Data2010!D15:V15)</f>
        <v>4</v>
      </c>
      <c r="J18" s="22">
        <f t="shared" si="0"/>
        <v>4</v>
      </c>
      <c r="K18">
        <f>MATCH(B18,Weights!C$4:C$36,0)</f>
        <v>19</v>
      </c>
      <c r="L18" s="95">
        <f>tblIndicators!S13</f>
        <v>1</v>
      </c>
      <c r="M18">
        <f>INDEX(Weights!G$4:G$36,K18)</f>
        <v>1</v>
      </c>
      <c r="N18" s="36">
        <f t="shared" si="1"/>
        <v>0.125</v>
      </c>
      <c r="P18" t="str">
        <f>tblIndicators!Q13</f>
        <v xml:space="preserve">   Methods and criteria for awarding projects </v>
      </c>
      <c r="Q18" s="103">
        <f t="shared" si="2"/>
        <v>0.125</v>
      </c>
      <c r="S18" s="38">
        <f>IF($D18="WS",SUMPRODUCT(($C19:$C$32=$B18)*($Q19:$Q$32)*(S19:S$32)),IF($D18="MM",100*ABS(($G18-(Data2010!D15-$H18)/$J18)),IF($D18="XX",ABS((100*$G18)-((Data2010!D15-$E18)*$F18)),"na")))</f>
        <v>0</v>
      </c>
      <c r="T18" s="38">
        <f>IF($D18="WS",SUMPRODUCT(($C19:$C$32=$B18)*($Q19:$Q$32)*(T19:T$32)),IF($D18="MM",100*ABS(($G18-(Data2010!E15-$H18)/$J18)),IF($D18="XX",ABS((100*$G18)-((Data2010!E15-$E18)*$F18)),"na")))</f>
        <v>75</v>
      </c>
      <c r="U18" s="38">
        <f>IF($D18="WS",SUMPRODUCT(($C19:$C$32=$B18)*($Q19:$Q$32)*(U19:U$32)),IF($D18="MM",100*ABS(($G18-(Data2010!F15-$H18)/$J18)),IF($D18="XX",ABS((100*$G18)-((Data2010!F15-$E18)*$F18)),"na")))</f>
        <v>100</v>
      </c>
      <c r="V18" s="38">
        <f>IF($D18="WS",SUMPRODUCT(($C19:$C$32=$B18)*($Q19:$Q$32)*(V19:V$32)),IF($D18="MM",100*ABS(($G18-(Data2010!G15-$H18)/$J18)),IF($D18="XX",ABS((100*$G18)-((Data2010!G15-$E18)*$F18)),"na")))</f>
        <v>50</v>
      </c>
      <c r="W18" s="38">
        <f>IF($D18="WS",SUMPRODUCT(($C19:$C$32=$B18)*($Q19:$Q$32)*(W19:W$32)),IF($D18="MM",100*ABS(($G18-(Data2010!H15-$H18)/$J18)),IF($D18="XX",ABS((100*$G18)-((Data2010!H15-$E18)*$F18)),"na")))</f>
        <v>50</v>
      </c>
      <c r="X18" s="38">
        <f>IF($D18="WS",SUMPRODUCT(($C19:$C$32=$B18)*($Q19:$Q$32)*(X19:X$32)),IF($D18="MM",100*ABS(($G18-(Data2010!I15-$H18)/$J18)),IF($D18="XX",ABS((100*$G18)-((Data2010!I15-$E18)*$F18)),"na")))</f>
        <v>0</v>
      </c>
      <c r="Y18" s="38">
        <f>IF($D18="WS",SUMPRODUCT(($C19:$C$32=$B18)*($Q19:$Q$32)*(Y19:Y$32)),IF($D18="MM",100*ABS(($G18-(Data2010!J15-$H18)/$J18)),IF($D18="XX",ABS((100*$G18)-((Data2010!J15-$E18)*$F18)),"na")))</f>
        <v>0</v>
      </c>
      <c r="Z18" s="38">
        <f>IF($D18="WS",SUMPRODUCT(($C19:$C$32=$B18)*($Q19:$Q$32)*(Z19:Z$32)),IF($D18="MM",100*ABS(($G18-(Data2010!K15-$H18)/$J18)),IF($D18="XX",ABS((100*$G18)-((Data2010!K15-$E18)*$F18)),"na")))</f>
        <v>25</v>
      </c>
      <c r="AA18" s="38">
        <f>IF($D18="WS",SUMPRODUCT(($C19:$C$32=$B18)*($Q19:$Q$32)*(AA19:AA$32)),IF($D18="MM",100*ABS(($G18-(Data2010!L15-$H18)/$J18)),IF($D18="XX",ABS((100*$G18)-((Data2010!L15-$E18)*$F18)),"na")))</f>
        <v>25</v>
      </c>
      <c r="AB18" s="38">
        <f>IF($D18="WS",SUMPRODUCT(($C19:$C$32=$B18)*($Q19:$Q$32)*(AB19:AB$32)),IF($D18="MM",100*ABS(($G18-(Data2010!M15-$H18)/$J18)),IF($D18="XX",ABS((100*$G18)-((Data2010!M15-$E18)*$F18)),"na")))</f>
        <v>0</v>
      </c>
      <c r="AC18" s="38">
        <f>IF($D18="WS",SUMPRODUCT(($C19:$C$32=$B18)*($Q19:$Q$32)*(AC19:AC$32)),IF($D18="MM",100*ABS(($G18-(Data2010!N15-$H18)/$J18)),IF($D18="XX",ABS((100*$G18)-((Data2010!N15-$E18)*$F18)),"na")))</f>
        <v>25</v>
      </c>
      <c r="AD18" s="38">
        <f>IF($D18="WS",SUMPRODUCT(($C19:$C$32=$B18)*($Q19:$Q$32)*(AD19:AD$32)),IF($D18="MM",100*ABS(($G18-(Data2010!O15-$H18)/$J18)),IF($D18="XX",ABS((100*$G18)-((Data2010!O15-$E18)*$F18)),"na")))</f>
        <v>50</v>
      </c>
      <c r="AE18" s="38">
        <f>IF($D18="WS",SUMPRODUCT(($C19:$C$32=$B18)*($Q19:$Q$32)*(AE19:AE$32)),IF($D18="MM",100*ABS(($G18-(Data2010!P15-$H18)/$J18)),IF($D18="XX",ABS((100*$G18)-((Data2010!P15-$E18)*$F18)),"na")))</f>
        <v>0</v>
      </c>
      <c r="AF18" s="38">
        <f>IF($D18="WS",SUMPRODUCT(($C19:$C$32=$B18)*($Q19:$Q$32)*(AF19:AF$32)),IF($D18="MM",100*ABS(($G18-(Data2010!Q15-$H18)/$J18)),IF($D18="XX",ABS((100*$G18)-((Data2010!Q15-$E18)*$F18)),"na")))</f>
        <v>25</v>
      </c>
      <c r="AG18" s="38">
        <f>IF($D18="WS",SUMPRODUCT(($C19:$C$32=$B18)*($Q19:$Q$32)*(AG19:AG$32)),IF($D18="MM",100*ABS(($G18-(Data2010!R15-$H18)/$J18)),IF($D18="XX",ABS((100*$G18)-((Data2010!R15-$E18)*$F18)),"na")))</f>
        <v>25</v>
      </c>
      <c r="AH18" s="38">
        <f>IF($D18="WS",SUMPRODUCT(($C19:$C$32=$B18)*($Q19:$Q$32)*(AH19:AH$32)),IF($D18="MM",100*ABS(($G18-(Data2010!S15-$H18)/$J18)),IF($D18="XX",ABS((100*$G18)-((Data2010!S15-$E18)*$F18)),"na")))</f>
        <v>75</v>
      </c>
      <c r="AI18" s="38">
        <f>IF($D18="WS",SUMPRODUCT(($C19:$C$32=$B18)*($Q19:$Q$32)*(AI19:AI$32)),IF($D18="MM",100*ABS(($G18-(Data2010!T15-$H18)/$J18)),IF($D18="XX",ABS((100*$G18)-((Data2010!T15-$E18)*$F18)),"na")))</f>
        <v>25</v>
      </c>
      <c r="AJ18" s="38">
        <f>IF($D18="WS",SUMPRODUCT(($C19:$C$32=$B18)*($Q19:$Q$32)*(AJ19:AJ$32)),IF($D18="MM",100*ABS(($G18-(Data2010!U15-$H18)/$J18)),IF($D18="XX",ABS((100*$G18)-((Data2010!U15-$E18)*$F18)),"na")))</f>
        <v>25</v>
      </c>
      <c r="AK18" s="38">
        <f>IF($D18="WS",SUMPRODUCT(($C19:$C$32=$B18)*($Q19:$Q$32)*(AK19:AK$32)),IF($D18="MM",100*ABS(($G18-(Data2010!V15-$H18)/$J18)),IF($D18="XX",ABS((100*$G18)-((Data2010!V15-$E18)*$F18)),"na")))</f>
        <v>0</v>
      </c>
    </row>
    <row r="19" spans="2:37">
      <c r="B19" t="str">
        <f>tblIndicators!A14</f>
        <v>OPER03</v>
      </c>
      <c r="C19" t="str">
        <f>tblIndicators!B14</f>
        <v>OPER</v>
      </c>
      <c r="D19" t="str">
        <f>tblIndicators!D14</f>
        <v>XX</v>
      </c>
      <c r="E19">
        <f>tblIndicators!E14</f>
        <v>0</v>
      </c>
      <c r="F19">
        <f>tblIndicators!F14</f>
        <v>25</v>
      </c>
      <c r="G19">
        <f>tblIndicators!G14</f>
        <v>0</v>
      </c>
      <c r="H19">
        <f>MIN(Data2010!D16:V16)</f>
        <v>0</v>
      </c>
      <c r="I19">
        <f>MAX(Data2010!D16:V16)</f>
        <v>3</v>
      </c>
      <c r="J19" s="22">
        <f t="shared" si="0"/>
        <v>3</v>
      </c>
      <c r="K19">
        <f>MATCH(B19,Weights!C$4:C$36,0)</f>
        <v>20</v>
      </c>
      <c r="L19" s="95">
        <f>tblIndicators!S14</f>
        <v>1</v>
      </c>
      <c r="M19">
        <f>INDEX(Weights!G$4:G$36,K19)</f>
        <v>1</v>
      </c>
      <c r="N19" s="36">
        <f t="shared" si="1"/>
        <v>0.125</v>
      </c>
      <c r="P19" t="str">
        <f>tblIndicators!Q14</f>
        <v xml:space="preserve">   Regulators' risk allocation record</v>
      </c>
      <c r="Q19" s="103">
        <f t="shared" si="2"/>
        <v>0.125</v>
      </c>
      <c r="S19" s="38">
        <f>IF($D19="WS",SUMPRODUCT(($C20:$C$32=$B19)*($Q20:$Q$32)*(S20:S$32)),IF($D19="MM",100*ABS(($G19-(Data2010!D16-$H19)/$J19)),IF($D19="XX",ABS((100*$G19)-((Data2010!D16-$E19)*$F19)),"na")))</f>
        <v>0</v>
      </c>
      <c r="T19" s="38">
        <f>IF($D19="WS",SUMPRODUCT(($C20:$C$32=$B19)*($Q20:$Q$32)*(T20:T$32)),IF($D19="MM",100*ABS(($G19-(Data2010!E16-$H19)/$J19)),IF($D19="XX",ABS((100*$G19)-((Data2010!E16-$E19)*$F19)),"na")))</f>
        <v>75</v>
      </c>
      <c r="U19" s="38">
        <f>IF($D19="WS",SUMPRODUCT(($C20:$C$32=$B19)*($Q20:$Q$32)*(U20:U$32)),IF($D19="MM",100*ABS(($G19-(Data2010!F16-$H19)/$J19)),IF($D19="XX",ABS((100*$G19)-((Data2010!F16-$E19)*$F19)),"na")))</f>
        <v>75</v>
      </c>
      <c r="V19" s="38">
        <f>IF($D19="WS",SUMPRODUCT(($C20:$C$32=$B19)*($Q20:$Q$32)*(V20:V$32)),IF($D19="MM",100*ABS(($G19-(Data2010!G16-$H19)/$J19)),IF($D19="XX",ABS((100*$G19)-((Data2010!G16-$E19)*$F19)),"na")))</f>
        <v>25</v>
      </c>
      <c r="W19" s="38">
        <f>IF($D19="WS",SUMPRODUCT(($C20:$C$32=$B19)*($Q20:$Q$32)*(W20:W$32)),IF($D19="MM",100*ABS(($G19-(Data2010!H16-$H19)/$J19)),IF($D19="XX",ABS((100*$G19)-((Data2010!H16-$E19)*$F19)),"na")))</f>
        <v>25</v>
      </c>
      <c r="X19" s="38">
        <f>IF($D19="WS",SUMPRODUCT(($C20:$C$32=$B19)*($Q20:$Q$32)*(X20:X$32)),IF($D19="MM",100*ABS(($G19-(Data2010!I16-$H19)/$J19)),IF($D19="XX",ABS((100*$G19)-((Data2010!I16-$E19)*$F19)),"na")))</f>
        <v>0</v>
      </c>
      <c r="Y19" s="38">
        <f>IF($D19="WS",SUMPRODUCT(($C20:$C$32=$B19)*($Q20:$Q$32)*(Y20:Y$32)),IF($D19="MM",100*ABS(($G19-(Data2010!J16-$H19)/$J19)),IF($D19="XX",ABS((100*$G19)-((Data2010!J16-$E19)*$F19)),"na")))</f>
        <v>0</v>
      </c>
      <c r="Z19" s="38">
        <f>IF($D19="WS",SUMPRODUCT(($C20:$C$32=$B19)*($Q20:$Q$32)*(Z20:Z$32)),IF($D19="MM",100*ABS(($G19-(Data2010!K16-$H19)/$J19)),IF($D19="XX",ABS((100*$G19)-((Data2010!K16-$E19)*$F19)),"na")))</f>
        <v>25</v>
      </c>
      <c r="AA19" s="38">
        <f>IF($D19="WS",SUMPRODUCT(($C20:$C$32=$B19)*($Q20:$Q$32)*(AA20:AA$32)),IF($D19="MM",100*ABS(($G19-(Data2010!L16-$H19)/$J19)),IF($D19="XX",ABS((100*$G19)-((Data2010!L16-$E19)*$F19)),"na")))</f>
        <v>50</v>
      </c>
      <c r="AB19" s="38">
        <f>IF($D19="WS",SUMPRODUCT(($C20:$C$32=$B19)*($Q20:$Q$32)*(AB20:AB$32)),IF($D19="MM",100*ABS(($G19-(Data2010!M16-$H19)/$J19)),IF($D19="XX",ABS((100*$G19)-((Data2010!M16-$E19)*$F19)),"na")))</f>
        <v>25</v>
      </c>
      <c r="AC19" s="38">
        <f>IF($D19="WS",SUMPRODUCT(($C20:$C$32=$B19)*($Q20:$Q$32)*(AC20:AC$32)),IF($D19="MM",100*ABS(($G19-(Data2010!N16-$H19)/$J19)),IF($D19="XX",ABS((100*$G19)-((Data2010!N16-$E19)*$F19)),"na")))</f>
        <v>25</v>
      </c>
      <c r="AD19" s="38">
        <f>IF($D19="WS",SUMPRODUCT(($C20:$C$32=$B19)*($Q20:$Q$32)*(AD20:AD$32)),IF($D19="MM",100*ABS(($G19-(Data2010!O16-$H19)/$J19)),IF($D19="XX",ABS((100*$G19)-((Data2010!O16-$E19)*$F19)),"na")))</f>
        <v>50</v>
      </c>
      <c r="AE19" s="38">
        <f>IF($D19="WS",SUMPRODUCT(($C20:$C$32=$B19)*($Q20:$Q$32)*(AE20:AE$32)),IF($D19="MM",100*ABS(($G19-(Data2010!P16-$H19)/$J19)),IF($D19="XX",ABS((100*$G19)-((Data2010!P16-$E19)*$F19)),"na")))</f>
        <v>0</v>
      </c>
      <c r="AF19" s="38">
        <f>IF($D19="WS",SUMPRODUCT(($C20:$C$32=$B19)*($Q20:$Q$32)*(AF20:AF$32)),IF($D19="MM",100*ABS(($G19-(Data2010!Q16-$H19)/$J19)),IF($D19="XX",ABS((100*$G19)-((Data2010!Q16-$E19)*$F19)),"na")))</f>
        <v>25</v>
      </c>
      <c r="AG19" s="38">
        <f>IF($D19="WS",SUMPRODUCT(($C20:$C$32=$B19)*($Q20:$Q$32)*(AG20:AG$32)),IF($D19="MM",100*ABS(($G19-(Data2010!R16-$H19)/$J19)),IF($D19="XX",ABS((100*$G19)-((Data2010!R16-$E19)*$F19)),"na")))</f>
        <v>0</v>
      </c>
      <c r="AH19" s="38">
        <f>IF($D19="WS",SUMPRODUCT(($C20:$C$32=$B19)*($Q20:$Q$32)*(AH20:AH$32)),IF($D19="MM",100*ABS(($G19-(Data2010!S16-$H19)/$J19)),IF($D19="XX",ABS((100*$G19)-((Data2010!S16-$E19)*$F19)),"na")))</f>
        <v>75</v>
      </c>
      <c r="AI19" s="38">
        <f>IF($D19="WS",SUMPRODUCT(($C20:$C$32=$B19)*($Q20:$Q$32)*(AI20:AI$32)),IF($D19="MM",100*ABS(($G19-(Data2010!T16-$H19)/$J19)),IF($D19="XX",ABS((100*$G19)-((Data2010!T16-$E19)*$F19)),"na")))</f>
        <v>0</v>
      </c>
      <c r="AJ19" s="38">
        <f>IF($D19="WS",SUMPRODUCT(($C20:$C$32=$B19)*($Q20:$Q$32)*(AJ20:AJ$32)),IF($D19="MM",100*ABS(($G19-(Data2010!U16-$H19)/$J19)),IF($D19="XX",ABS((100*$G19)-((Data2010!U16-$E19)*$F19)),"na")))</f>
        <v>25</v>
      </c>
      <c r="AK19" s="38">
        <f>IF($D19="WS",SUMPRODUCT(($C20:$C$32=$B19)*($Q20:$Q$32)*(AK20:AK$32)),IF($D19="MM",100*ABS(($G19-(Data2010!V16-$H19)/$J19)),IF($D19="XX",ABS((100*$G19)-((Data2010!V16-$E19)*$F19)),"na")))</f>
        <v>0</v>
      </c>
    </row>
    <row r="20" spans="2:37">
      <c r="B20" t="str">
        <f>tblIndicators!A15</f>
        <v>OPER04</v>
      </c>
      <c r="C20" t="str">
        <f>tblIndicators!B15</f>
        <v>OPER</v>
      </c>
      <c r="D20" t="str">
        <f>tblIndicators!D15</f>
        <v>MM</v>
      </c>
      <c r="E20">
        <f>tblIndicators!E15</f>
        <v>0</v>
      </c>
      <c r="F20">
        <f>tblIndicators!F15</f>
        <v>1</v>
      </c>
      <c r="G20">
        <f>tblIndicators!G15</f>
        <v>0</v>
      </c>
      <c r="H20">
        <f>MIN(Data2010!D17:V17)</f>
        <v>0</v>
      </c>
      <c r="I20">
        <f>MAX(Data2010!D17:V17)</f>
        <v>168</v>
      </c>
      <c r="J20" s="22">
        <f t="shared" si="0"/>
        <v>168</v>
      </c>
      <c r="K20">
        <f>MATCH(B20,Weights!C$4:C$36,0)</f>
        <v>21</v>
      </c>
      <c r="L20" s="95">
        <f>tblIndicators!S15</f>
        <v>1</v>
      </c>
      <c r="M20">
        <f>INDEX(Weights!G$4:G$36,K20)</f>
        <v>2</v>
      </c>
      <c r="N20" s="36">
        <f t="shared" si="1"/>
        <v>0.25</v>
      </c>
      <c r="P20" t="str">
        <f>tblIndicators!Q15</f>
        <v xml:space="preserve">   Experience in PPP projects (concessions)</v>
      </c>
      <c r="Q20" s="103">
        <f t="shared" si="2"/>
        <v>0.25</v>
      </c>
      <c r="S20" s="38">
        <f>IF($D20="WS",SUMPRODUCT(($C21:$C$32=$B20)*($Q21:$Q$32)*(S21:S$32)),IF($D20="MM",100*ABS(($G20-(Data2010!D17-$H20)/$J20)),IF($D20="XX",ABS((100*$G20)-((Data2010!D17-$E20)*$F20)),"na")))</f>
        <v>16.666666666666664</v>
      </c>
      <c r="T20" s="38">
        <f>IF($D20="WS",SUMPRODUCT(($C21:$C$32=$B20)*($Q21:$Q$32)*(T21:T$32)),IF($D20="MM",100*ABS(($G20-(Data2010!E17-$H20)/$J20)),IF($D20="XX",ABS((100*$G20)-((Data2010!E17-$E20)*$F20)),"na")))</f>
        <v>100</v>
      </c>
      <c r="U20" s="38">
        <f>IF($D20="WS",SUMPRODUCT(($C21:$C$32=$B20)*($Q21:$Q$32)*(U21:U$32)),IF($D20="MM",100*ABS(($G20-(Data2010!F17-$H20)/$J20)),IF($D20="XX",ABS((100*$G20)-((Data2010!F17-$E20)*$F20)),"na")))</f>
        <v>26.190476190476193</v>
      </c>
      <c r="V20" s="38">
        <f>IF($D20="WS",SUMPRODUCT(($C21:$C$32=$B20)*($Q21:$Q$32)*(V21:V$32)),IF($D20="MM",100*ABS(($G20-(Data2010!G17-$H20)/$J20)),IF($D20="XX",ABS((100*$G20)-((Data2010!G17-$E20)*$F20)),"na")))</f>
        <v>24.404761904761905</v>
      </c>
      <c r="W20" s="38">
        <f>IF($D20="WS",SUMPRODUCT(($C21:$C$32=$B20)*($Q21:$Q$32)*(W21:W$32)),IF($D20="MM",100*ABS(($G20-(Data2010!H17-$H20)/$J20)),IF($D20="XX",ABS((100*$G20)-((Data2010!H17-$E20)*$F20)),"na")))</f>
        <v>5.9523809523809517</v>
      </c>
      <c r="X20" s="38">
        <f>IF($D20="WS",SUMPRODUCT(($C21:$C$32=$B20)*($Q21:$Q$32)*(X21:X$32)),IF($D20="MM",100*ABS(($G20-(Data2010!I17-$H20)/$J20)),IF($D20="XX",ABS((100*$G20)-((Data2010!I17-$E20)*$F20)),"na")))</f>
        <v>5.9523809523809517</v>
      </c>
      <c r="Y20" s="38">
        <f>IF($D20="WS",SUMPRODUCT(($C21:$C$32=$B20)*($Q21:$Q$32)*(Y21:Y$32)),IF($D20="MM",100*ABS(($G20-(Data2010!J17-$H20)/$J20)),IF($D20="XX",ABS((100*$G20)-((Data2010!J17-$E20)*$F20)),"na")))</f>
        <v>7.1428571428571423</v>
      </c>
      <c r="Z20" s="38">
        <f>IF($D20="WS",SUMPRODUCT(($C21:$C$32=$B20)*($Q21:$Q$32)*(Z21:Z$32)),IF($D20="MM",100*ABS(($G20-(Data2010!K17-$H20)/$J20)),IF($D20="XX",ABS((100*$G20)-((Data2010!K17-$E20)*$F20)),"na")))</f>
        <v>0.59523809523809523</v>
      </c>
      <c r="AA20" s="38">
        <f>IF($D20="WS",SUMPRODUCT(($C21:$C$32=$B20)*($Q21:$Q$32)*(AA21:AA$32)),IF($D20="MM",100*ABS(($G20-(Data2010!L17-$H20)/$J20)),IF($D20="XX",ABS((100*$G20)-((Data2010!L17-$E20)*$F20)),"na")))</f>
        <v>4.1666666666666661</v>
      </c>
      <c r="AB20" s="38">
        <f>IF($D20="WS",SUMPRODUCT(($C21:$C$32=$B20)*($Q21:$Q$32)*(AB21:AB$32)),IF($D20="MM",100*ABS(($G20-(Data2010!M17-$H20)/$J20)),IF($D20="XX",ABS((100*$G20)-((Data2010!M17-$E20)*$F20)),"na")))</f>
        <v>2.9761904761904758</v>
      </c>
      <c r="AC20" s="38">
        <f>IF($D20="WS",SUMPRODUCT(($C21:$C$32=$B20)*($Q21:$Q$32)*(AC21:AC$32)),IF($D20="MM",100*ABS(($G20-(Data2010!N17-$H20)/$J20)),IF($D20="XX",ABS((100*$G20)-((Data2010!N17-$E20)*$F20)),"na")))</f>
        <v>1.1904761904761905</v>
      </c>
      <c r="AD20" s="38">
        <f>IF($D20="WS",SUMPRODUCT(($C21:$C$32=$B20)*($Q21:$Q$32)*(AD21:AD$32)),IF($D20="MM",100*ABS(($G20-(Data2010!O17-$H20)/$J20)),IF($D20="XX",ABS((100*$G20)-((Data2010!O17-$E20)*$F20)),"na")))</f>
        <v>41.071428571428569</v>
      </c>
      <c r="AE20" s="38">
        <f>IF($D20="WS",SUMPRODUCT(($C21:$C$32=$B20)*($Q21:$Q$32)*(AE21:AE$32)),IF($D20="MM",100*ABS(($G20-(Data2010!P17-$H20)/$J20)),IF($D20="XX",ABS((100*$G20)-((Data2010!P17-$E20)*$F20)),"na")))</f>
        <v>2.3809523809523809</v>
      </c>
      <c r="AF20" s="38">
        <f>IF($D20="WS",SUMPRODUCT(($C21:$C$32=$B20)*($Q21:$Q$32)*(AF21:AF$32)),IF($D20="MM",100*ABS(($G20-(Data2010!Q17-$H20)/$J20)),IF($D20="XX",ABS((100*$G20)-((Data2010!Q17-$E20)*$F20)),"na")))</f>
        <v>2.3809523809523809</v>
      </c>
      <c r="AG20" s="38">
        <f>IF($D20="WS",SUMPRODUCT(($C21:$C$32=$B20)*($Q21:$Q$32)*(AG21:AG$32)),IF($D20="MM",100*ABS(($G20-(Data2010!R17-$H20)/$J20)),IF($D20="XX",ABS((100*$G20)-((Data2010!R17-$E20)*$F20)),"na")))</f>
        <v>0</v>
      </c>
      <c r="AH20" s="38">
        <f>IF($D20="WS",SUMPRODUCT(($C21:$C$32=$B20)*($Q21:$Q$32)*(AH21:AH$32)),IF($D20="MM",100*ABS(($G20-(Data2010!S17-$H20)/$J20)),IF($D20="XX",ABS((100*$G20)-((Data2010!S17-$E20)*$F20)),"na")))</f>
        <v>14.285714285714285</v>
      </c>
      <c r="AI20" s="38">
        <f>IF($D20="WS",SUMPRODUCT(($C21:$C$32=$B20)*($Q21:$Q$32)*(AI21:AI$32)),IF($D20="MM",100*ABS(($G20-(Data2010!T17-$H20)/$J20)),IF($D20="XX",ABS((100*$G20)-((Data2010!T17-$E20)*$F20)),"na")))</f>
        <v>0.59523809523809523</v>
      </c>
      <c r="AJ20" s="38">
        <f>IF($D20="WS",SUMPRODUCT(($C21:$C$32=$B20)*($Q21:$Q$32)*(AJ21:AJ$32)),IF($D20="MM",100*ABS(($G20-(Data2010!U17-$H20)/$J20)),IF($D20="XX",ABS((100*$G20)-((Data2010!U17-$E20)*$F20)),"na")))</f>
        <v>2.3809523809523809</v>
      </c>
      <c r="AK20" s="38">
        <f>IF($D20="WS",SUMPRODUCT(($C21:$C$32=$B20)*($Q21:$Q$32)*(AK21:AK$32)),IF($D20="MM",100*ABS(($G20-(Data2010!V17-$H20)/$J20)),IF($D20="XX",ABS((100*$G20)-((Data2010!V17-$E20)*$F20)),"na")))</f>
        <v>2.3809523809523809</v>
      </c>
    </row>
    <row r="21" spans="2:37">
      <c r="B21" t="str">
        <f>tblIndicators!A16</f>
        <v>OPER05</v>
      </c>
      <c r="C21" t="str">
        <f>tblIndicators!B16</f>
        <v>OPER</v>
      </c>
      <c r="D21" t="str">
        <f>tblIndicators!D16</f>
        <v>MM</v>
      </c>
      <c r="E21">
        <f>tblIndicators!E16</f>
        <v>0</v>
      </c>
      <c r="F21">
        <f>tblIndicators!F16</f>
        <v>25</v>
      </c>
      <c r="G21">
        <f>tblIndicators!G16</f>
        <v>0</v>
      </c>
      <c r="H21">
        <f>MIN(Data2010!D18:V18)</f>
        <v>0</v>
      </c>
      <c r="I21">
        <f>MAX(Data2010!D18:V18)</f>
        <v>4</v>
      </c>
      <c r="J21" s="22">
        <f t="shared" si="0"/>
        <v>4</v>
      </c>
      <c r="K21">
        <f>MATCH(B21,Weights!C$4:C$36,0)</f>
        <v>22</v>
      </c>
      <c r="L21" s="95">
        <f>tblIndicators!S16</f>
        <v>1</v>
      </c>
      <c r="M21">
        <f>INDEX(Weights!G$4:G$36,K21)</f>
        <v>2</v>
      </c>
      <c r="N21" s="36">
        <f t="shared" si="1"/>
        <v>0.25</v>
      </c>
      <c r="P21" t="str">
        <f>tblIndicators!Q16</f>
        <v xml:space="preserve">   Quality of PPP projects (concessions)</v>
      </c>
      <c r="Q21" s="103">
        <f t="shared" si="2"/>
        <v>0.25</v>
      </c>
      <c r="S21" s="38">
        <f>IF($D21="WS",SUMPRODUCT(($C22:$C$32=$B21)*($Q22:$Q$32)*(S22:S$32)),IF($D21="MM",100*ABS(($G21-(Data2010!D18-$H21)/$J21)),IF($D21="XX",ABS((100*$G21)-((Data2010!D18-$E21)*$F21)),"na")))</f>
        <v>25</v>
      </c>
      <c r="T21" s="38">
        <f>IF($D21="WS",SUMPRODUCT(($C22:$C$32=$B21)*($Q22:$Q$32)*(T22:T$32)),IF($D21="MM",100*ABS(($G21-(Data2010!E18-$H21)/$J21)),IF($D21="XX",ABS((100*$G21)-((Data2010!E18-$E21)*$F21)),"na")))</f>
        <v>100</v>
      </c>
      <c r="U21" s="38">
        <f>IF($D21="WS",SUMPRODUCT(($C22:$C$32=$B21)*($Q22:$Q$32)*(U22:U$32)),IF($D21="MM",100*ABS(($G21-(Data2010!F18-$H21)/$J21)),IF($D21="XX",ABS((100*$G21)-((Data2010!F18-$E21)*$F21)),"na")))</f>
        <v>100</v>
      </c>
      <c r="V21" s="38">
        <f>IF($D21="WS",SUMPRODUCT(($C22:$C$32=$B21)*($Q22:$Q$32)*(V22:V$32)),IF($D21="MM",100*ABS(($G21-(Data2010!G18-$H21)/$J21)),IF($D21="XX",ABS((100*$G21)-((Data2010!G18-$E21)*$F21)),"na")))</f>
        <v>75</v>
      </c>
      <c r="W21" s="38">
        <f>IF($D21="WS",SUMPRODUCT(($C22:$C$32=$B21)*($Q22:$Q$32)*(W22:W$32)),IF($D21="MM",100*ABS(($G21-(Data2010!H18-$H21)/$J21)),IF($D21="XX",ABS((100*$G21)-((Data2010!H18-$E21)*$F21)),"na")))</f>
        <v>100</v>
      </c>
      <c r="X21" s="38">
        <f>IF($D21="WS",SUMPRODUCT(($C22:$C$32=$B21)*($Q22:$Q$32)*(X22:X$32)),IF($D21="MM",100*ABS(($G21-(Data2010!I18-$H21)/$J21)),IF($D21="XX",ABS((100*$G21)-((Data2010!I18-$E21)*$F21)),"na")))</f>
        <v>50</v>
      </c>
      <c r="Y21" s="38">
        <f>IF($D21="WS",SUMPRODUCT(($C22:$C$32=$B21)*($Q22:$Q$32)*(Y22:Y$32)),IF($D21="MM",100*ABS(($G21-(Data2010!J18-$H21)/$J21)),IF($D21="XX",ABS((100*$G21)-((Data2010!J18-$E21)*$F21)),"na")))</f>
        <v>100</v>
      </c>
      <c r="Z21" s="38">
        <f>IF($D21="WS",SUMPRODUCT(($C22:$C$32=$B21)*($Q22:$Q$32)*(Z22:Z$32)),IF($D21="MM",100*ABS(($G21-(Data2010!K18-$H21)/$J21)),IF($D21="XX",ABS((100*$G21)-((Data2010!K18-$E21)*$F21)),"na")))</f>
        <v>25</v>
      </c>
      <c r="AA21" s="38">
        <f>IF($D21="WS",SUMPRODUCT(($C22:$C$32=$B21)*($Q22:$Q$32)*(AA22:AA$32)),IF($D21="MM",100*ABS(($G21-(Data2010!L18-$H21)/$J21)),IF($D21="XX",ABS((100*$G21)-((Data2010!L18-$E21)*$F21)),"na")))</f>
        <v>100</v>
      </c>
      <c r="AB21" s="38">
        <f>IF($D21="WS",SUMPRODUCT(($C22:$C$32=$B21)*($Q22:$Q$32)*(AB22:AB$32)),IF($D21="MM",100*ABS(($G21-(Data2010!M18-$H21)/$J21)),IF($D21="XX",ABS((100*$G21)-((Data2010!M18-$E21)*$F21)),"na")))</f>
        <v>100</v>
      </c>
      <c r="AC21" s="38">
        <f>IF($D21="WS",SUMPRODUCT(($C22:$C$32=$B21)*($Q22:$Q$32)*(AC22:AC$32)),IF($D21="MM",100*ABS(($G21-(Data2010!N18-$H21)/$J21)),IF($D21="XX",ABS((100*$G21)-((Data2010!N18-$E21)*$F21)),"na")))</f>
        <v>25</v>
      </c>
      <c r="AD21" s="38">
        <f>IF($D21="WS",SUMPRODUCT(($C22:$C$32=$B21)*($Q22:$Q$32)*(AD22:AD$32)),IF($D21="MM",100*ABS(($G21-(Data2010!O18-$H21)/$J21)),IF($D21="XX",ABS((100*$G21)-((Data2010!O18-$E21)*$F21)),"na")))</f>
        <v>75</v>
      </c>
      <c r="AE21" s="38">
        <f>IF($D21="WS",SUMPRODUCT(($C22:$C$32=$B21)*($Q22:$Q$32)*(AE22:AE$32)),IF($D21="MM",100*ABS(($G21-(Data2010!P18-$H21)/$J21)),IF($D21="XX",ABS((100*$G21)-((Data2010!P18-$E21)*$F21)),"na")))</f>
        <v>25</v>
      </c>
      <c r="AF21" s="38">
        <f>IF($D21="WS",SUMPRODUCT(($C22:$C$32=$B21)*($Q22:$Q$32)*(AF22:AF$32)),IF($D21="MM",100*ABS(($G21-(Data2010!Q18-$H21)/$J21)),IF($D21="XX",ABS((100*$G21)-((Data2010!Q18-$E21)*$F21)),"na")))</f>
        <v>25</v>
      </c>
      <c r="AG21" s="38">
        <f>IF($D21="WS",SUMPRODUCT(($C22:$C$32=$B21)*($Q22:$Q$32)*(AG22:AG$32)),IF($D21="MM",100*ABS(($G21-(Data2010!R18-$H21)/$J21)),IF($D21="XX",ABS((100*$G21)-((Data2010!R18-$E21)*$F21)),"na")))</f>
        <v>25</v>
      </c>
      <c r="AH21" s="38">
        <f>IF($D21="WS",SUMPRODUCT(($C22:$C$32=$B21)*($Q22:$Q$32)*(AH22:AH$32)),IF($D21="MM",100*ABS(($G21-(Data2010!S18-$H21)/$J21)),IF($D21="XX",ABS((100*$G21)-((Data2010!S18-$E21)*$F21)),"na")))</f>
        <v>75</v>
      </c>
      <c r="AI21" s="38">
        <f>IF($D21="WS",SUMPRODUCT(($C22:$C$32=$B21)*($Q22:$Q$32)*(AI22:AI$32)),IF($D21="MM",100*ABS(($G21-(Data2010!T18-$H21)/$J21)),IF($D21="XX",ABS((100*$G21)-((Data2010!T18-$E21)*$F21)),"na")))</f>
        <v>0</v>
      </c>
      <c r="AJ21" s="38">
        <f>IF($D21="WS",SUMPRODUCT(($C22:$C$32=$B21)*($Q22:$Q$32)*(AJ22:AJ$32)),IF($D21="MM",100*ABS(($G21-(Data2010!U18-$H21)/$J21)),IF($D21="XX",ABS((100*$G21)-((Data2010!U18-$E21)*$F21)),"na")))</f>
        <v>0</v>
      </c>
      <c r="AK21" s="38">
        <f>IF($D21="WS",SUMPRODUCT(($C22:$C$32=$B21)*($Q22:$Q$32)*(AK22:AK$32)),IF($D21="MM",100*ABS(($G21-(Data2010!V18-$H21)/$J21)),IF($D21="XX",ABS((100*$G21)-((Data2010!V18-$E21)*$F21)),"na")))</f>
        <v>0</v>
      </c>
    </row>
    <row r="22" spans="2:37" s="95" customFormat="1">
      <c r="B22" s="95" t="str">
        <f>tblIndicators!A17</f>
        <v>INVT</v>
      </c>
      <c r="C22" s="95" t="str">
        <f>tblIndicators!B17</f>
        <v>TOTL</v>
      </c>
      <c r="D22" s="95" t="str">
        <f>tblIndicators!D17</f>
        <v>WS</v>
      </c>
      <c r="E22" s="95">
        <f>tblIndicators!E17</f>
        <v>0</v>
      </c>
      <c r="F22" s="95">
        <f>tblIndicators!F17</f>
        <v>0</v>
      </c>
      <c r="G22" s="95">
        <f>tblIndicators!G17</f>
        <v>0</v>
      </c>
      <c r="H22" s="95">
        <f>MIN(Data2010!D19:V19)</f>
        <v>0</v>
      </c>
      <c r="I22" s="95">
        <f>MAX(Data2010!D19:V19)</f>
        <v>0</v>
      </c>
      <c r="J22" s="96">
        <f t="shared" si="0"/>
        <v>0</v>
      </c>
      <c r="K22" s="95">
        <f>MATCH(B22,Weights!C$4:C$36,0)</f>
        <v>4</v>
      </c>
      <c r="L22" s="95">
        <f>tblIndicators!S17</f>
        <v>1</v>
      </c>
      <c r="M22" s="95">
        <f>INDEX(Weights!G$4:G$36,K22)</f>
        <v>0.9</v>
      </c>
      <c r="N22" s="98">
        <f t="shared" si="1"/>
        <v>0.15</v>
      </c>
      <c r="P22" s="95" t="str">
        <f>tblIndicators!Q17</f>
        <v>INVESTMENT CLIMATE</v>
      </c>
      <c r="Q22" s="102">
        <f t="shared" si="2"/>
        <v>0.15</v>
      </c>
      <c r="S22" s="97">
        <f>IF($D22="WS",SUMPRODUCT(($C23:$C$32=$B22)*($Q23:$Q$32)*(S23:S$32)),IF($D22="MM",100*ABS(($G22-(Data2010!D19-$H22)/$J22)),IF($D22="XX",ABS((100*$G22)-((Data2010!D19-$E22)*$F22)),"na")))</f>
        <v>18.981662044800846</v>
      </c>
      <c r="T22" s="97">
        <f>IF($D22="WS",SUMPRODUCT(($C23:$C$32=$B22)*($Q23:$Q$32)*(T23:T$32)),IF($D22="MM",100*ABS(($G22-(Data2010!E19-$H22)/$J22)),IF($D22="XX",ABS((100*$G22)-((Data2010!E19-$E22)*$F22)),"na")))</f>
        <v>58.777588060433715</v>
      </c>
      <c r="U22" s="97">
        <f>IF($D22="WS",SUMPRODUCT(($C23:$C$32=$B22)*($Q23:$Q$32)*(U23:U$32)),IF($D22="MM",100*ABS(($G22-(Data2010!F19-$H22)/$J22)),IF($D22="XX",ABS((100*$G22)-((Data2010!F19-$E22)*$F22)),"na")))</f>
        <v>85.388051336694048</v>
      </c>
      <c r="V22" s="97">
        <f>IF($D22="WS",SUMPRODUCT(($C23:$C$32=$B22)*($Q23:$Q$32)*(V23:V$32)),IF($D22="MM",100*ABS(($G22-(Data2010!G19-$H22)/$J22)),IF($D22="XX",ABS((100*$G22)-((Data2010!G19-$E22)*$F22)),"na")))</f>
        <v>72.44743356484625</v>
      </c>
      <c r="W22" s="97">
        <f>IF($D22="WS",SUMPRODUCT(($C23:$C$32=$B22)*($Q23:$Q$32)*(W23:W$32)),IF($D22="MM",100*ABS(($G22-(Data2010!H19-$H22)/$J22)),IF($D22="XX",ABS((100*$G22)-((Data2010!H19-$E22)*$F22)),"na")))</f>
        <v>40.670315716984931</v>
      </c>
      <c r="X22" s="97">
        <f>IF($D22="WS",SUMPRODUCT(($C23:$C$32=$B22)*($Q23:$Q$32)*(X23:X$32)),IF($D22="MM",100*ABS(($G22-(Data2010!I19-$H22)/$J22)),IF($D22="XX",ABS((100*$G22)-((Data2010!I19-$E22)*$F22)),"na")))</f>
        <v>49.111790933064469</v>
      </c>
      <c r="Y22" s="97">
        <f>IF($D22="WS",SUMPRODUCT(($C23:$C$32=$B22)*($Q23:$Q$32)*(Y23:Y$32)),IF($D22="MM",100*ABS(($G22-(Data2010!J19-$H22)/$J22)),IF($D22="XX",ABS((100*$G22)-((Data2010!J19-$E22)*$F22)),"na")))</f>
        <v>17.882205141426375</v>
      </c>
      <c r="Z22" s="97">
        <f>IF($D22="WS",SUMPRODUCT(($C23:$C$32=$B22)*($Q23:$Q$32)*(Z23:Z$32)),IF($D22="MM",100*ABS(($G22-(Data2010!K19-$H22)/$J22)),IF($D22="XX",ABS((100*$G22)-((Data2010!K19-$E22)*$F22)),"na")))</f>
        <v>40.345229854875761</v>
      </c>
      <c r="AA22" s="97">
        <f>IF($D22="WS",SUMPRODUCT(($C23:$C$32=$B22)*($Q23:$Q$32)*(AA23:AA$32)),IF($D22="MM",100*ABS(($G22-(Data2010!L19-$H22)/$J22)),IF($D22="XX",ABS((100*$G22)-((Data2010!L19-$E22)*$F22)),"na")))</f>
        <v>52.892019943817083</v>
      </c>
      <c r="AB22" s="97">
        <f>IF($D22="WS",SUMPRODUCT(($C23:$C$32=$B22)*($Q23:$Q$32)*(AB23:AB$32)),IF($D22="MM",100*ABS(($G22-(Data2010!M19-$H22)/$J22)),IF($D22="XX",ABS((100*$G22)-((Data2010!M19-$E22)*$F22)),"na")))</f>
        <v>47.124838831402819</v>
      </c>
      <c r="AC22" s="97">
        <f>IF($D22="WS",SUMPRODUCT(($C23:$C$32=$B22)*($Q23:$Q$32)*(AC23:AC$32)),IF($D22="MM",100*ABS(($G22-(Data2010!N19-$H22)/$J22)),IF($D22="XX",ABS((100*$G22)-((Data2010!N19-$E22)*$F22)),"na")))</f>
        <v>35.889776914584736</v>
      </c>
      <c r="AD22" s="97">
        <f>IF($D22="WS",SUMPRODUCT(($C23:$C$32=$B22)*($Q23:$Q$32)*(AD23:AD$32)),IF($D22="MM",100*ABS(($G22-(Data2010!O19-$H22)/$J22)),IF($D22="XX",ABS((100*$G22)-((Data2010!O19-$E22)*$F22)),"na")))</f>
        <v>56.140186704354022</v>
      </c>
      <c r="AE22" s="97">
        <f>IF($D22="WS",SUMPRODUCT(($C23:$C$32=$B22)*($Q23:$Q$32)*(AE23:AE$32)),IF($D22="MM",100*ABS(($G22-(Data2010!P19-$H22)/$J22)),IF($D22="XX",ABS((100*$G22)-((Data2010!P19-$E22)*$F22)),"na")))</f>
        <v>15.556821083910448</v>
      </c>
      <c r="AF22" s="97">
        <f>IF($D22="WS",SUMPRODUCT(($C23:$C$32=$B22)*($Q23:$Q$32)*(AF23:AF$32)),IF($D22="MM",100*ABS(($G22-(Data2010!Q19-$H22)/$J22)),IF($D22="XX",ABS((100*$G22)-((Data2010!Q19-$E22)*$F22)),"na")))</f>
        <v>58.100877973056541</v>
      </c>
      <c r="AG22" s="97">
        <f>IF($D22="WS",SUMPRODUCT(($C23:$C$32=$B22)*($Q23:$Q$32)*(AG23:AG$32)),IF($D22="MM",100*ABS(($G22-(Data2010!R19-$H22)/$J22)),IF($D22="XX",ABS((100*$G22)-((Data2010!R19-$E22)*$F22)),"na")))</f>
        <v>31.366383344203733</v>
      </c>
      <c r="AH22" s="97">
        <f>IF($D22="WS",SUMPRODUCT(($C23:$C$32=$B22)*($Q23:$Q$32)*(AH23:AH$32)),IF($D22="MM",100*ABS(($G22-(Data2010!S19-$H22)/$J22)),IF($D22="XX",ABS((100*$G22)-((Data2010!S19-$E22)*$F22)),"na")))</f>
        <v>75.157894598073696</v>
      </c>
      <c r="AI22" s="97">
        <f>IF($D22="WS",SUMPRODUCT(($C23:$C$32=$B22)*($Q23:$Q$32)*(AI23:AI$32)),IF($D22="MM",100*ABS(($G22-(Data2010!T19-$H22)/$J22)),IF($D22="XX",ABS((100*$G22)-((Data2010!T19-$E22)*$F22)),"na")))</f>
        <v>39.914109384967617</v>
      </c>
      <c r="AJ22" s="97">
        <f>IF($D22="WS",SUMPRODUCT(($C23:$C$32=$B22)*($Q23:$Q$32)*(AJ23:AJ$32)),IF($D22="MM",100*ABS(($G22-(Data2010!U19-$H22)/$J22)),IF($D22="XX",ABS((100*$G22)-((Data2010!U19-$E22)*$F22)),"na")))</f>
        <v>43.66246989269667</v>
      </c>
      <c r="AK22" s="97">
        <f>IF($D22="WS",SUMPRODUCT(($C23:$C$32=$B22)*($Q23:$Q$32)*(AK23:AK$32)),IF($D22="MM",100*ABS(($G22-(Data2010!V19-$H22)/$J22)),IF($D22="XX",ABS((100*$G22)-((Data2010!V19-$E22)*$F22)),"na")))</f>
        <v>10.541992986219114</v>
      </c>
    </row>
    <row r="23" spans="2:37">
      <c r="B23" t="str">
        <f>tblIndicators!A18</f>
        <v>INVT01</v>
      </c>
      <c r="C23" t="str">
        <f>tblIndicators!B18</f>
        <v>INVT</v>
      </c>
      <c r="D23" t="str">
        <f>tblIndicators!D18</f>
        <v>XX</v>
      </c>
      <c r="E23">
        <f>tblIndicators!E18</f>
        <v>0</v>
      </c>
      <c r="F23">
        <f>tblIndicators!F18</f>
        <v>1</v>
      </c>
      <c r="G23">
        <f>tblIndicators!G18</f>
        <v>0</v>
      </c>
      <c r="H23">
        <f>MIN(Data2010!D20:V20)</f>
        <v>13.745995807127882</v>
      </c>
      <c r="I23">
        <f>MAX(Data2010!D20:V20)</f>
        <v>73.744616053998584</v>
      </c>
      <c r="J23" s="22">
        <f t="shared" si="0"/>
        <v>59.998620246870701</v>
      </c>
      <c r="K23">
        <f>MATCH(B23,Weights!C$4:C$36,0)</f>
        <v>24</v>
      </c>
      <c r="L23" s="95">
        <f>tblIndicators!S18</f>
        <v>1</v>
      </c>
      <c r="M23">
        <f>INDEX(Weights!G$4:G$36,K23)</f>
        <v>1</v>
      </c>
      <c r="N23" s="36">
        <f t="shared" si="1"/>
        <v>0.25</v>
      </c>
      <c r="P23" t="str">
        <f>tblIndicators!Q18</f>
        <v xml:space="preserve">   Political distortion</v>
      </c>
      <c r="Q23" s="103">
        <f t="shared" si="2"/>
        <v>0.25</v>
      </c>
      <c r="S23" s="38">
        <f>IF($D23="WS",SUMPRODUCT(($C24:$C$32=$B23)*($Q24:$Q$32)*(S24:S$32)),IF($D23="MM",100*ABS(($G23-(Data2010!D20-$H23)/$J23)),IF($D23="XX",ABS((100*$G23)-((Data2010!D20-$E23)*$F23)),"na")))</f>
        <v>34.301009490404844</v>
      </c>
      <c r="T23" s="38">
        <f>IF($D23="WS",SUMPRODUCT(($C24:$C$32=$B23)*($Q24:$Q$32)*(T24:T$32)),IF($D23="MM",100*ABS(($G23-(Data2010!E20-$H23)/$J23)),IF($D23="XX",ABS((100*$G23)-((Data2010!E20-$E23)*$F23)),"na")))</f>
        <v>41.897202495915479</v>
      </c>
      <c r="U23" s="38">
        <f>IF($D23="WS",SUMPRODUCT(($C24:$C$32=$B23)*($Q24:$Q$32)*(U24:U$32)),IF($D23="MM",100*ABS(($G23-(Data2010!F20-$H23)/$J23)),IF($D23="XX",ABS((100*$G23)-((Data2010!F20-$E23)*$F23)),"na")))</f>
        <v>73.744616053998584</v>
      </c>
      <c r="V23" s="38">
        <f>IF($D23="WS",SUMPRODUCT(($C24:$C$32=$B23)*($Q24:$Q$32)*(V24:V$32)),IF($D23="MM",100*ABS(($G23-(Data2010!G20-$H23)/$J23)),IF($D23="XX",ABS((100*$G23)-((Data2010!G20-$E23)*$F23)),"na")))</f>
        <v>35.644584446000017</v>
      </c>
      <c r="W23" s="38">
        <f>IF($D23="WS",SUMPRODUCT(($C24:$C$32=$B23)*($Q24:$Q$32)*(W24:W$32)),IF($D23="MM",100*ABS(($G23-(Data2010!H20-$H23)/$J23)),IF($D23="XX",ABS((100*$G23)-((Data2010!H20-$E23)*$F23)),"na")))</f>
        <v>55.087153315921555</v>
      </c>
      <c r="X23" s="38">
        <f>IF($D23="WS",SUMPRODUCT(($C24:$C$32=$B23)*($Q24:$Q$32)*(X24:X$32)),IF($D23="MM",100*ABS(($G23-(Data2010!I20-$H23)/$J23)),IF($D23="XX",ABS((100*$G23)-((Data2010!I20-$E23)*$F23)),"na")))</f>
        <v>23.729844425408608</v>
      </c>
      <c r="Y23" s="38">
        <f>IF($D23="WS",SUMPRODUCT(($C24:$C$32=$B23)*($Q24:$Q$32)*(Y24:Y$32)),IF($D23="MM",100*ABS(($G23-(Data2010!J20-$H23)/$J23)),IF($D23="XX",ABS((100*$G23)-((Data2010!J20-$E23)*$F23)),"na")))</f>
        <v>15.452525079230291</v>
      </c>
      <c r="Z23" s="38">
        <f>IF($D23="WS",SUMPRODUCT(($C24:$C$32=$B23)*($Q24:$Q$32)*(Z24:Z$32)),IF($D23="MM",100*ABS(($G23-(Data2010!K20-$H23)/$J23)),IF($D23="XX",ABS((100*$G23)-((Data2010!K20-$E23)*$F23)),"na")))</f>
        <v>39.882535696536515</v>
      </c>
      <c r="AA23" s="38">
        <f>IF($D23="WS",SUMPRODUCT(($C24:$C$32=$B23)*($Q24:$Q$32)*(AA24:AA$32)),IF($D23="MM",100*ABS(($G23-(Data2010!L20-$H23)/$J23)),IF($D23="XX",ABS((100*$G23)-((Data2010!L20-$E23)*$F23)),"na")))</f>
        <v>23.292085012720779</v>
      </c>
      <c r="AB23" s="38">
        <f>IF($D23="WS",SUMPRODUCT(($C24:$C$32=$B23)*($Q24:$Q$32)*(AB24:AB$32)),IF($D23="MM",100*ABS(($G23-(Data2010!M20-$H23)/$J23)),IF($D23="XX",ABS((100*$G23)-((Data2010!M20-$E23)*$F23)),"na")))</f>
        <v>16.300960598541245</v>
      </c>
      <c r="AC23" s="38">
        <f>IF($D23="WS",SUMPRODUCT(($C24:$C$32=$B23)*($Q24:$Q$32)*(AC24:AC$32)),IF($D23="MM",100*ABS(($G23-(Data2010!N20-$H23)/$J23)),IF($D23="XX",ABS((100*$G23)-((Data2010!N20-$E23)*$F23)),"na")))</f>
        <v>39.834574188822558</v>
      </c>
      <c r="AD23" s="38">
        <f>IF($D23="WS",SUMPRODUCT(($C24:$C$32=$B23)*($Q24:$Q$32)*(AD24:AD$32)),IF($D23="MM",100*ABS(($G23-(Data2010!O20-$H23)/$J23)),IF($D23="XX",ABS((100*$G23)-((Data2010!O20-$E23)*$F23)),"na")))</f>
        <v>39.712987885642164</v>
      </c>
      <c r="AE23" s="38">
        <f>IF($D23="WS",SUMPRODUCT(($C24:$C$32=$B23)*($Q24:$Q$32)*(AE24:AE$32)),IF($D23="MM",100*ABS(($G23-(Data2010!P20-$H23)/$J23)),IF($D23="XX",ABS((100*$G23)-((Data2010!P20-$E23)*$F23)),"na")))</f>
        <v>18.848606283801153</v>
      </c>
      <c r="AF23" s="38">
        <f>IF($D23="WS",SUMPRODUCT(($C24:$C$32=$B23)*($Q24:$Q$32)*(AF24:AF$32)),IF($D23="MM",100*ABS(($G23-(Data2010!Q20-$H23)/$J23)),IF($D23="XX",ABS((100*$G23)-((Data2010!Q20-$E23)*$F23)),"na")))</f>
        <v>37.528681877845983</v>
      </c>
      <c r="AG23" s="38">
        <f>IF($D23="WS",SUMPRODUCT(($C24:$C$32=$B23)*($Q24:$Q$32)*(AG24:AG$32)),IF($D23="MM",100*ABS(($G23-(Data2010!R20-$H23)/$J23)),IF($D23="XX",ABS((100*$G23)-((Data2010!R20-$E23)*$F23)),"na")))</f>
        <v>25.871628037437148</v>
      </c>
      <c r="AH23" s="38">
        <f>IF($D23="WS",SUMPRODUCT(($C24:$C$32=$B23)*($Q24:$Q$32)*(AH24:AH$32)),IF($D23="MM",100*ABS(($G23-(Data2010!S20-$H23)/$J23)),IF($D23="XX",ABS((100*$G23)-((Data2010!S20-$E23)*$F23)),"na")))</f>
        <v>33.21549273719917</v>
      </c>
      <c r="AI23" s="38">
        <f>IF($D23="WS",SUMPRODUCT(($C24:$C$32=$B23)*($Q24:$Q$32)*(AI24:AI$32)),IF($D23="MM",100*ABS(($G23-(Data2010!T20-$H23)/$J23)),IF($D23="XX",ABS((100*$G23)-((Data2010!T20-$E23)*$F23)),"na")))</f>
        <v>38.288550849935135</v>
      </c>
      <c r="AJ23" s="38">
        <f>IF($D23="WS",SUMPRODUCT(($C24:$C$32=$B23)*($Q24:$Q$32)*(AJ24:AJ$32)),IF($D23="MM",100*ABS(($G23-(Data2010!U20-$H23)/$J23)),IF($D23="XX",ABS((100*$G23)-((Data2010!U20-$E23)*$F23)),"na")))</f>
        <v>55.755211307958795</v>
      </c>
      <c r="AK23" s="38">
        <f>IF($D23="WS",SUMPRODUCT(($C24:$C$32=$B23)*($Q24:$Q$32)*(AK24:AK$32)),IF($D23="MM",100*ABS(($G23-(Data2010!V20-$H23)/$J23)),IF($D23="XX",ABS((100*$G23)-((Data2010!V20-$E23)*$F23)),"na")))</f>
        <v>13.745995807127882</v>
      </c>
    </row>
    <row r="24" spans="2:37">
      <c r="B24" t="str">
        <f>tblIndicators!A19</f>
        <v>INVT02</v>
      </c>
      <c r="C24" t="str">
        <f>tblIndicators!B19</f>
        <v>INVT</v>
      </c>
      <c r="D24" t="str">
        <f>tblIndicators!D19</f>
        <v>XX</v>
      </c>
      <c r="E24">
        <f>tblIndicators!E19</f>
        <v>0</v>
      </c>
      <c r="F24">
        <f>tblIndicators!F19</f>
        <v>1</v>
      </c>
      <c r="G24">
        <f>tblIndicators!G19</f>
        <v>0</v>
      </c>
      <c r="H24">
        <f>MIN(Data2010!D21:V21)</f>
        <v>28.421976137748572</v>
      </c>
      <c r="I24">
        <f>MAX(Data2010!D21:V21)</f>
        <v>67.807589292777578</v>
      </c>
      <c r="J24" s="22">
        <f t="shared" si="0"/>
        <v>39.385613155029006</v>
      </c>
      <c r="K24">
        <f>MATCH(B24,Weights!C$4:C$36,0)</f>
        <v>25</v>
      </c>
      <c r="L24" s="95">
        <f>tblIndicators!S19</f>
        <v>1</v>
      </c>
      <c r="M24">
        <f>INDEX(Weights!G$4:G$36,K24)</f>
        <v>1</v>
      </c>
      <c r="N24" s="36">
        <f t="shared" si="1"/>
        <v>0.25</v>
      </c>
      <c r="P24" t="str">
        <f>tblIndicators!Q19</f>
        <v xml:space="preserve">   Business environment</v>
      </c>
      <c r="Q24" s="103">
        <f t="shared" si="2"/>
        <v>0.25</v>
      </c>
      <c r="S24" s="38">
        <f>IF($D24="WS",SUMPRODUCT(($C25:$C$32=$B24)*($Q25:$Q$32)*(S25:S$32)),IF($D24="MM",100*ABS(($G24-(Data2010!D21-$H24)/$J24)),IF($D24="XX",ABS((100*$G24)-((Data2010!D21-$E24)*$F24)),"na")))</f>
        <v>41.625638688798539</v>
      </c>
      <c r="T24" s="38">
        <f>IF($D24="WS",SUMPRODUCT(($C25:$C$32=$B24)*($Q25:$Q$32)*(T25:T$32)),IF($D24="MM",100*ABS(($G24-(Data2010!E21-$H24)/$J24)),IF($D24="XX",ABS((100*$G24)-((Data2010!E21-$E24)*$F24)),"na")))</f>
        <v>59.879816412486079</v>
      </c>
      <c r="U24" s="38">
        <f>IF($D24="WS",SUMPRODUCT(($C25:$C$32=$B24)*($Q25:$Q$32)*(U25:U$32)),IF($D24="MM",100*ABS(($G24-(Data2010!F21-$H24)/$J24)),IF($D24="XX",ABS((100*$G24)-((Data2010!F21-$E24)*$F24)),"na")))</f>
        <v>67.807589292777578</v>
      </c>
      <c r="V24" s="38">
        <f>IF($D24="WS",SUMPRODUCT(($C25:$C$32=$B24)*($Q25:$Q$32)*(V25:V$32)),IF($D24="MM",100*ABS(($G24-(Data2010!G21-$H24)/$J24)),IF($D24="XX",ABS((100*$G24)-((Data2010!G21-$E24)*$F24)),"na")))</f>
        <v>54.145149813385004</v>
      </c>
      <c r="W24" s="38">
        <f>IF($D24="WS",SUMPRODUCT(($C25:$C$32=$B24)*($Q25:$Q$32)*(W25:W$32)),IF($D24="MM",100*ABS(($G24-(Data2010!H21-$H24)/$J24)),IF($D24="XX",ABS((100*$G24)-((Data2010!H21-$E24)*$F24)),"na")))</f>
        <v>40.92744288535151</v>
      </c>
      <c r="X24" s="38">
        <f>IF($D24="WS",SUMPRODUCT(($C25:$C$32=$B24)*($Q25:$Q$32)*(X25:X$32)),IF($D24="MM",100*ABS(($G24-(Data2010!I21-$H24)/$J24)),IF($D24="XX",ABS((100*$G24)-((Data2010!I21-$E24)*$F24)),"na")))</f>
        <v>39.383985973515962</v>
      </c>
      <c r="Y24" s="38">
        <f>IF($D24="WS",SUMPRODUCT(($C25:$C$32=$B24)*($Q25:$Q$32)*(Y25:Y$32)),IF($D24="MM",100*ABS(($G24-(Data2010!J21-$H24)/$J24)),IF($D24="XX",ABS((100*$G24)-((Data2010!J21-$E24)*$F24)),"na")))</f>
        <v>56.07629548647521</v>
      </c>
      <c r="Z24" s="38">
        <f>IF($D24="WS",SUMPRODUCT(($C25:$C$32=$B24)*($Q25:$Q$32)*(Z25:Z$32)),IF($D24="MM",100*ABS(($G24-(Data2010!K21-$H24)/$J24)),IF($D24="XX",ABS((100*$G24)-((Data2010!K21-$E24)*$F24)),"na")))</f>
        <v>54.831717056299865</v>
      </c>
      <c r="AA24" s="38">
        <f>IF($D24="WS",SUMPRODUCT(($C25:$C$32=$B24)*($Q25:$Q$32)*(AA25:AA$32)),IF($D24="MM",100*ABS(($G24-(Data2010!L21-$H24)/$J24)),IF($D24="XX",ABS((100*$G24)-((Data2010!L21-$E24)*$F24)),"na")))</f>
        <v>54.942661429214233</v>
      </c>
      <c r="AB24" s="38">
        <f>IF($D24="WS",SUMPRODUCT(($C25:$C$32=$B24)*($Q25:$Q$32)*(AB25:AB$32)),IF($D24="MM",100*ABS(($G24-(Data2010!M21-$H24)/$J24)),IF($D24="XX",ABS((100*$G24)-((Data2010!M21-$E24)*$F24)),"na")))</f>
        <v>38.86506139373671</v>
      </c>
      <c r="AC24" s="38">
        <f>IF($D24="WS",SUMPRODUCT(($C25:$C$32=$B24)*($Q25:$Q$32)*(AC25:AC$32)),IF($D24="MM",100*ABS(($G24-(Data2010!N21-$H24)/$J24)),IF($D24="XX",ABS((100*$G24)-((Data2010!N21-$E24)*$F24)),"na")))</f>
        <v>37.057866802849723</v>
      </c>
      <c r="AD24" s="38">
        <f>IF($D24="WS",SUMPRODUCT(($C25:$C$32=$B24)*($Q25:$Q$32)*(AD25:AD$32)),IF($D24="MM",100*ABS(($G24-(Data2010!O21-$H24)/$J24)),IF($D24="XX",ABS((100*$G24)-((Data2010!O21-$E24)*$F24)),"na")))</f>
        <v>51.514425598440624</v>
      </c>
      <c r="AE24" s="38">
        <f>IF($D24="WS",SUMPRODUCT(($C25:$C$32=$B24)*($Q25:$Q$32)*(AE25:AE$32)),IF($D24="MM",100*ABS(($G24-(Data2010!P21-$H24)/$J24)),IF($D24="XX",ABS((100*$G24)-((Data2010!P21-$E24)*$F24)),"na")))</f>
        <v>43.378678051840637</v>
      </c>
      <c r="AF24" s="38">
        <f>IF($D24="WS",SUMPRODUCT(($C25:$C$32=$B24)*($Q25:$Q$32)*(AF25:AF$32)),IF($D24="MM",100*ABS(($G24-(Data2010!Q21-$H24)/$J24)),IF($D24="XX",ABS((100*$G24)-((Data2010!Q21-$E24)*$F24)),"na")))</f>
        <v>61.541496681046851</v>
      </c>
      <c r="AG24" s="38">
        <f>IF($D24="WS",SUMPRODUCT(($C25:$C$32=$B24)*($Q25:$Q$32)*(AG25:AG$32)),IF($D24="MM",100*ABS(($G24-(Data2010!R21-$H24)/$J24)),IF($D24="XX",ABS((100*$G24)-((Data2010!R21-$E24)*$F24)),"na")))</f>
        <v>32.92723867271112</v>
      </c>
      <c r="AH24" s="38">
        <f>IF($D24="WS",SUMPRODUCT(($C25:$C$32=$B24)*($Q25:$Q$32)*(AH25:AH$32)),IF($D24="MM",100*ABS(($G24-(Data2010!S21-$H24)/$J24)),IF($D24="XX",ABS((100*$G24)-((Data2010!S21-$E24)*$F24)),"na")))</f>
        <v>67.4160856550956</v>
      </c>
      <c r="AI24" s="38">
        <f>IF($D24="WS",SUMPRODUCT(($C25:$C$32=$B24)*($Q25:$Q$32)*(AI25:AI$32)),IF($D24="MM",100*ABS(($G24-(Data2010!T21-$H24)/$J24)),IF($D24="XX",ABS((100*$G24)-((Data2010!T21-$E24)*$F24)),"na")))</f>
        <v>54.701220023268661</v>
      </c>
      <c r="AJ24" s="38">
        <f>IF($D24="WS",SUMPRODUCT(($C25:$C$32=$B24)*($Q25:$Q$32)*(AJ25:AJ$32)),IF($D24="MM",100*ABS(($G24-(Data2010!U21-$H24)/$J24)),IF($D24="XX",ABS((100*$G24)-((Data2010!U21-$E24)*$F24)),"na")))</f>
        <v>52.228001596161221</v>
      </c>
      <c r="AK24" s="38">
        <f>IF($D24="WS",SUMPRODUCT(($C25:$C$32=$B24)*($Q25:$Q$32)*(AK25:AK$32)),IF($D24="MM",100*ABS(($G24-(Data2010!V21-$H24)/$J24)),IF($D24="XX",ABS((100*$G24)-((Data2010!V21-$E24)*$F24)),"na")))</f>
        <v>28.421976137748572</v>
      </c>
    </row>
    <row r="25" spans="2:37">
      <c r="B25" t="str">
        <f>tblIndicators!A20</f>
        <v>INVT03</v>
      </c>
      <c r="C25" t="str">
        <f>tblIndicators!B20</f>
        <v>INVT</v>
      </c>
      <c r="D25" t="str">
        <f>tblIndicators!D20</f>
        <v>MM</v>
      </c>
      <c r="E25">
        <f>tblIndicators!E20</f>
        <v>0</v>
      </c>
      <c r="F25">
        <f>tblIndicators!F20</f>
        <v>33.333333333333336</v>
      </c>
      <c r="G25">
        <f>tblIndicators!G20</f>
        <v>0</v>
      </c>
      <c r="H25">
        <f>MIN(Data2010!D22:V22)</f>
        <v>0</v>
      </c>
      <c r="I25">
        <f>MAX(Data2010!D22:V22)</f>
        <v>3</v>
      </c>
      <c r="J25" s="22">
        <f t="shared" si="0"/>
        <v>3</v>
      </c>
      <c r="K25">
        <f>MATCH(B25,Weights!C$4:C$36,0)</f>
        <v>26</v>
      </c>
      <c r="L25" s="95">
        <f>tblIndicators!S20</f>
        <v>0</v>
      </c>
      <c r="M25">
        <f>INDEX(Weights!G$4:G$36,K25)</f>
        <v>2</v>
      </c>
      <c r="N25" s="36">
        <f t="shared" si="1"/>
        <v>0.5</v>
      </c>
      <c r="P25" t="str">
        <f>tblIndicators!Q20</f>
        <v xml:space="preserve">   Political will</v>
      </c>
      <c r="Q25" s="103">
        <f t="shared" si="2"/>
        <v>0.5</v>
      </c>
      <c r="S25" s="38">
        <f>IF($D25="WS",SUMPRODUCT(($C26:$C$32=$B25)*($Q26:$Q$32)*(S26:S$32)),IF($D25="MM",100*ABS(($G25-(Data2010!D22-$H25)/$J25)),IF($D25="XX",ABS((100*$G25)-((Data2010!D22-$E25)*$F25)),"na")))</f>
        <v>0</v>
      </c>
      <c r="T25" s="38">
        <f>IF($D25="WS",SUMPRODUCT(($C26:$C$32=$B25)*($Q26:$Q$32)*(T26:T$32)),IF($D25="MM",100*ABS(($G25-(Data2010!E22-$H25)/$J25)),IF($D25="XX",ABS((100*$G25)-((Data2010!E22-$E25)*$F25)),"na")))</f>
        <v>66.666666666666657</v>
      </c>
      <c r="U25" s="38">
        <f>IF($D25="WS",SUMPRODUCT(($C26:$C$32=$B25)*($Q26:$Q$32)*(U26:U$32)),IF($D25="MM",100*ABS(($G25-(Data2010!F22-$H25)/$J25)),IF($D25="XX",ABS((100*$G25)-((Data2010!F22-$E25)*$F25)),"na")))</f>
        <v>100</v>
      </c>
      <c r="V25" s="38">
        <f>IF($D25="WS",SUMPRODUCT(($C26:$C$32=$B25)*($Q26:$Q$32)*(V26:V$32)),IF($D25="MM",100*ABS(($G25-(Data2010!G22-$H25)/$J25)),IF($D25="XX",ABS((100*$G25)-((Data2010!G22-$E25)*$F25)),"na")))</f>
        <v>100</v>
      </c>
      <c r="W25" s="38">
        <f>IF($D25="WS",SUMPRODUCT(($C26:$C$32=$B25)*($Q26:$Q$32)*(W26:W$32)),IF($D25="MM",100*ABS(($G25-(Data2010!H22-$H25)/$J25)),IF($D25="XX",ABS((100*$G25)-((Data2010!H22-$E25)*$F25)),"na")))</f>
        <v>33.333333333333329</v>
      </c>
      <c r="X25" s="38">
        <f>IF($D25="WS",SUMPRODUCT(($C26:$C$32=$B25)*($Q26:$Q$32)*(X26:X$32)),IF($D25="MM",100*ABS(($G25-(Data2010!I22-$H25)/$J25)),IF($D25="XX",ABS((100*$G25)-((Data2010!I22-$E25)*$F25)),"na")))</f>
        <v>66.666666666666657</v>
      </c>
      <c r="Y25" s="38">
        <f>IF($D25="WS",SUMPRODUCT(($C26:$C$32=$B25)*($Q26:$Q$32)*(Y26:Y$32)),IF($D25="MM",100*ABS(($G25-(Data2010!J22-$H25)/$J25)),IF($D25="XX",ABS((100*$G25)-((Data2010!J22-$E25)*$F25)),"na")))</f>
        <v>0</v>
      </c>
      <c r="Z25" s="38">
        <f>IF($D25="WS",SUMPRODUCT(($C26:$C$32=$B25)*($Q26:$Q$32)*(Z26:Z$32)),IF($D25="MM",100*ABS(($G25-(Data2010!K22-$H25)/$J25)),IF($D25="XX",ABS((100*$G25)-((Data2010!K22-$E25)*$F25)),"na")))</f>
        <v>33.333333333333329</v>
      </c>
      <c r="AA25" s="38">
        <f>IF($D25="WS",SUMPRODUCT(($C26:$C$32=$B25)*($Q26:$Q$32)*(AA26:AA$32)),IF($D25="MM",100*ABS(($G25-(Data2010!L22-$H25)/$J25)),IF($D25="XX",ABS((100*$G25)-((Data2010!L22-$E25)*$F25)),"na")))</f>
        <v>66.666666666666657</v>
      </c>
      <c r="AB25" s="38">
        <f>IF($D25="WS",SUMPRODUCT(($C26:$C$32=$B25)*($Q26:$Q$32)*(AB26:AB$32)),IF($D25="MM",100*ABS(($G25-(Data2010!M22-$H25)/$J25)),IF($D25="XX",ABS((100*$G25)-((Data2010!M22-$E25)*$F25)),"na")))</f>
        <v>66.666666666666657</v>
      </c>
      <c r="AC25" s="38">
        <f>IF($D25="WS",SUMPRODUCT(($C26:$C$32=$B25)*($Q26:$Q$32)*(AC26:AC$32)),IF($D25="MM",100*ABS(($G25-(Data2010!N22-$H25)/$J25)),IF($D25="XX",ABS((100*$G25)-((Data2010!N22-$E25)*$F25)),"na")))</f>
        <v>33.333333333333329</v>
      </c>
      <c r="AD25" s="38">
        <f>IF($D25="WS",SUMPRODUCT(($C26:$C$32=$B25)*($Q26:$Q$32)*(AD26:AD$32)),IF($D25="MM",100*ABS(($G25-(Data2010!O22-$H25)/$J25)),IF($D25="XX",ABS((100*$G25)-((Data2010!O22-$E25)*$F25)),"na")))</f>
        <v>66.666666666666657</v>
      </c>
      <c r="AE25" s="38">
        <f>IF($D25="WS",SUMPRODUCT(($C26:$C$32=$B25)*($Q26:$Q$32)*(AE26:AE$32)),IF($D25="MM",100*ABS(($G25-(Data2010!P22-$H25)/$J25)),IF($D25="XX",ABS((100*$G25)-((Data2010!P22-$E25)*$F25)),"na")))</f>
        <v>0</v>
      </c>
      <c r="AF25" s="38">
        <f>IF($D25="WS",SUMPRODUCT(($C26:$C$32=$B25)*($Q26:$Q$32)*(AF26:AF$32)),IF($D25="MM",100*ABS(($G25-(Data2010!Q22-$H25)/$J25)),IF($D25="XX",ABS((100*$G25)-((Data2010!Q22-$E25)*$F25)),"na")))</f>
        <v>66.666666666666657</v>
      </c>
      <c r="AG25" s="38">
        <f>IF($D25="WS",SUMPRODUCT(($C26:$C$32=$B25)*($Q26:$Q$32)*(AG26:AG$32)),IF($D25="MM",100*ABS(($G25-(Data2010!R22-$H25)/$J25)),IF($D25="XX",ABS((100*$G25)-((Data2010!R22-$E25)*$F25)),"na")))</f>
        <v>33.333333333333329</v>
      </c>
      <c r="AH25" s="38">
        <f>IF($D25="WS",SUMPRODUCT(($C26:$C$32=$B25)*($Q26:$Q$32)*(AH26:AH$32)),IF($D25="MM",100*ABS(($G25-(Data2010!S22-$H25)/$J25)),IF($D25="XX",ABS((100*$G25)-((Data2010!S22-$E25)*$F25)),"na")))</f>
        <v>100</v>
      </c>
      <c r="AI25" s="38">
        <f>IF($D25="WS",SUMPRODUCT(($C26:$C$32=$B25)*($Q26:$Q$32)*(AI26:AI$32)),IF($D25="MM",100*ABS(($G25-(Data2010!T22-$H25)/$J25)),IF($D25="XX",ABS((100*$G25)-((Data2010!T22-$E25)*$F25)),"na")))</f>
        <v>33.333333333333329</v>
      </c>
      <c r="AJ25" s="38">
        <f>IF($D25="WS",SUMPRODUCT(($C26:$C$32=$B25)*($Q26:$Q$32)*(AJ26:AJ$32)),IF($D25="MM",100*ABS(($G25-(Data2010!U22-$H25)/$J25)),IF($D25="XX",ABS((100*$G25)-((Data2010!U22-$E25)*$F25)),"na")))</f>
        <v>33.333333333333329</v>
      </c>
      <c r="AK25" s="38">
        <f>IF($D25="WS",SUMPRODUCT(($C26:$C$32=$B25)*($Q26:$Q$32)*(AK26:AK$32)),IF($D25="MM",100*ABS(($G25-(Data2010!V22-$H25)/$J25)),IF($D25="XX",ABS((100*$G25)-((Data2010!V22-$E25)*$F25)),"na")))</f>
        <v>0</v>
      </c>
    </row>
    <row r="26" spans="2:37" s="95" customFormat="1">
      <c r="B26" s="95" t="str">
        <f>tblIndicators!A21</f>
        <v>FINC</v>
      </c>
      <c r="C26" s="95" t="str">
        <f>tblIndicators!B21</f>
        <v>TOTL</v>
      </c>
      <c r="D26" s="95" t="str">
        <f>tblIndicators!D21</f>
        <v>WS</v>
      </c>
      <c r="E26" s="95">
        <f>tblIndicators!E21</f>
        <v>0</v>
      </c>
      <c r="F26" s="95">
        <f>tblIndicators!F21</f>
        <v>0</v>
      </c>
      <c r="G26" s="95">
        <f>tblIndicators!G21</f>
        <v>0</v>
      </c>
      <c r="H26" s="95">
        <f>MIN(Data2010!D23:V23)</f>
        <v>0</v>
      </c>
      <c r="I26" s="95">
        <f>MAX(Data2010!D23:V23)</f>
        <v>0</v>
      </c>
      <c r="J26" s="96">
        <f t="shared" si="0"/>
        <v>0</v>
      </c>
      <c r="K26" s="95">
        <f>MATCH(B26,Weights!C$4:C$36,0)</f>
        <v>5</v>
      </c>
      <c r="L26" s="95">
        <f>tblIndicators!S21</f>
        <v>1</v>
      </c>
      <c r="M26" s="95">
        <f>INDEX(Weights!G$4:G$36,K26)</f>
        <v>0.9</v>
      </c>
      <c r="N26" s="98">
        <f t="shared" si="1"/>
        <v>0.15</v>
      </c>
      <c r="P26" s="95" t="str">
        <f>tblIndicators!Q21</f>
        <v>FINANCIAL FACILITIES</v>
      </c>
      <c r="Q26" s="102">
        <f t="shared" si="2"/>
        <v>0.15</v>
      </c>
      <c r="S26" s="97">
        <f>IF($D26="WS",SUMPRODUCT(($C27:$C$32=$B26)*($Q27:$Q$32)*(S27:S$32)),IF($D26="MM",100*ABS(($G26-(Data2010!D23-$H26)/$J26)),IF($D26="XX",ABS((100*$G26)-((Data2010!D23-$E26)*$F26)),"na")))</f>
        <v>33.333333333333329</v>
      </c>
      <c r="T26" s="97">
        <f>IF($D26="WS",SUMPRODUCT(($C27:$C$32=$B26)*($Q27:$Q$32)*(T27:T$32)),IF($D26="MM",100*ABS(($G26-(Data2010!E23-$H26)/$J26)),IF($D26="XX",ABS((100*$G26)-((Data2010!E23-$E26)*$F26)),"na")))</f>
        <v>72.222222222222214</v>
      </c>
      <c r="U26" s="97">
        <f>IF($D26="WS",SUMPRODUCT(($C27:$C$32=$B26)*($Q27:$Q$32)*(U27:U$32)),IF($D26="MM",100*ABS(($G26-(Data2010!F23-$H26)/$J26)),IF($D26="XX",ABS((100*$G26)-((Data2010!F23-$E26)*$F26)),"na")))</f>
        <v>97.222222222222214</v>
      </c>
      <c r="V26" s="97">
        <f>IF($D26="WS",SUMPRODUCT(($C27:$C$32=$B26)*($Q27:$Q$32)*(V27:V$32)),IF($D26="MM",100*ABS(($G26-(Data2010!G23-$H26)/$J26)),IF($D26="XX",ABS((100*$G26)-((Data2010!G23-$E26)*$F26)),"na")))</f>
        <v>55.55555555555555</v>
      </c>
      <c r="W26" s="97">
        <f>IF($D26="WS",SUMPRODUCT(($C27:$C$32=$B26)*($Q27:$Q$32)*(W27:W$32)),IF($D26="MM",100*ABS(($G26-(Data2010!H23-$H26)/$J26)),IF($D26="XX",ABS((100*$G26)-((Data2010!H23-$E26)*$F26)),"na")))</f>
        <v>41.666666666666664</v>
      </c>
      <c r="X26" s="97">
        <f>IF($D26="WS",SUMPRODUCT(($C27:$C$32=$B26)*($Q27:$Q$32)*(X27:X$32)),IF($D26="MM",100*ABS(($G26-(Data2010!I23-$H26)/$J26)),IF($D26="XX",ABS((100*$G26)-((Data2010!I23-$E26)*$F26)),"na")))</f>
        <v>30.555555555555557</v>
      </c>
      <c r="Y26" s="97">
        <f>IF($D26="WS",SUMPRODUCT(($C27:$C$32=$B26)*($Q27:$Q$32)*(Y27:Y$32)),IF($D26="MM",100*ABS(($G26-(Data2010!J23-$H26)/$J26)),IF($D26="XX",ABS((100*$G26)-((Data2010!J23-$E26)*$F26)),"na")))</f>
        <v>16.666666666666664</v>
      </c>
      <c r="Z26" s="97">
        <f>IF($D26="WS",SUMPRODUCT(($C27:$C$32=$B26)*($Q27:$Q$32)*(Z27:Z$32)),IF($D26="MM",100*ABS(($G26-(Data2010!K23-$H26)/$J26)),IF($D26="XX",ABS((100*$G26)-((Data2010!K23-$E26)*$F26)),"na")))</f>
        <v>47.222222222222221</v>
      </c>
      <c r="AA26" s="97">
        <f>IF($D26="WS",SUMPRODUCT(($C27:$C$32=$B26)*($Q27:$Q$32)*(AA27:AA$32)),IF($D26="MM",100*ABS(($G26-(Data2010!L23-$H26)/$J26)),IF($D26="XX",ABS((100*$G26)-((Data2010!L23-$E26)*$F26)),"na")))</f>
        <v>22.222222222222221</v>
      </c>
      <c r="AB26" s="97">
        <f>IF($D26="WS",SUMPRODUCT(($C27:$C$32=$B26)*($Q27:$Q$32)*(AB27:AB$32)),IF($D26="MM",100*ABS(($G26-(Data2010!M23-$H26)/$J26)),IF($D26="XX",ABS((100*$G26)-((Data2010!M23-$E26)*$F26)),"na")))</f>
        <v>11.111111111111111</v>
      </c>
      <c r="AC26" s="97">
        <f>IF($D26="WS",SUMPRODUCT(($C27:$C$32=$B26)*($Q27:$Q$32)*(AC27:AC$32)),IF($D26="MM",100*ABS(($G26-(Data2010!N23-$H26)/$J26)),IF($D26="XX",ABS((100*$G26)-((Data2010!N23-$E26)*$F26)),"na")))</f>
        <v>16.666666666666664</v>
      </c>
      <c r="AD26" s="97">
        <f>IF($D26="WS",SUMPRODUCT(($C27:$C$32=$B26)*($Q27:$Q$32)*(AD27:AD$32)),IF($D26="MM",100*ABS(($G26-(Data2010!O23-$H26)/$J26)),IF($D26="XX",ABS((100*$G26)-((Data2010!O23-$E26)*$F26)),"na")))</f>
        <v>72.222222222222214</v>
      </c>
      <c r="AE26" s="97">
        <f>IF($D26="WS",SUMPRODUCT(($C27:$C$32=$B26)*($Q27:$Q$32)*(AE27:AE$32)),IF($D26="MM",100*ABS(($G26-(Data2010!P23-$H26)/$J26)),IF($D26="XX",ABS((100*$G26)-((Data2010!P23-$E26)*$F26)),"na")))</f>
        <v>8.3333333333333321</v>
      </c>
      <c r="AF26" s="97">
        <f>IF($D26="WS",SUMPRODUCT(($C27:$C$32=$B26)*($Q27:$Q$32)*(AF27:AF$32)),IF($D26="MM",100*ABS(($G26-(Data2010!Q23-$H26)/$J26)),IF($D26="XX",ABS((100*$G26)-((Data2010!Q23-$E26)*$F26)),"na")))</f>
        <v>63.888888888888886</v>
      </c>
      <c r="AG26" s="97">
        <f>IF($D26="WS",SUMPRODUCT(($C27:$C$32=$B26)*($Q27:$Q$32)*(AG27:AG$32)),IF($D26="MM",100*ABS(($G26-(Data2010!R23-$H26)/$J26)),IF($D26="XX",ABS((100*$G26)-((Data2010!R23-$E26)*$F26)),"na")))</f>
        <v>25</v>
      </c>
      <c r="AH26" s="97">
        <f>IF($D26="WS",SUMPRODUCT(($C27:$C$32=$B26)*($Q27:$Q$32)*(AH27:AH$32)),IF($D26="MM",100*ABS(($G26-(Data2010!S23-$H26)/$J26)),IF($D26="XX",ABS((100*$G26)-((Data2010!S23-$E26)*$F26)),"na")))</f>
        <v>61.111111111111107</v>
      </c>
      <c r="AI26" s="97">
        <f>IF($D26="WS",SUMPRODUCT(($C27:$C$32=$B26)*($Q27:$Q$32)*(AI27:AI$32)),IF($D26="MM",100*ABS(($G26-(Data2010!T23-$H26)/$J26)),IF($D26="XX",ABS((100*$G26)-((Data2010!T23-$E26)*$F26)),"na")))</f>
        <v>58.333333333333329</v>
      </c>
      <c r="AJ26" s="97">
        <f>IF($D26="WS",SUMPRODUCT(($C27:$C$32=$B26)*($Q27:$Q$32)*(AJ27:AJ$32)),IF($D26="MM",100*ABS(($G26-(Data2010!U23-$H26)/$J26)),IF($D26="XX",ABS((100*$G26)-((Data2010!U23-$E26)*$F26)),"na")))</f>
        <v>30.555555555555557</v>
      </c>
      <c r="AK26" s="97">
        <f>IF($D26="WS",SUMPRODUCT(($C27:$C$32=$B26)*($Q27:$Q$32)*(AK27:AK$32)),IF($D26="MM",100*ABS(($G26-(Data2010!V23-$H26)/$J26)),IF($D26="XX",ABS((100*$G26)-((Data2010!V23-$E26)*$F26)),"na")))</f>
        <v>16.666666666666664</v>
      </c>
    </row>
    <row r="27" spans="2:37">
      <c r="B27" t="str">
        <f>tblIndicators!A22</f>
        <v>FINC01</v>
      </c>
      <c r="C27" t="str">
        <f>tblIndicators!B22</f>
        <v>FINC</v>
      </c>
      <c r="D27" t="str">
        <f>tblIndicators!D22</f>
        <v>XX</v>
      </c>
      <c r="E27">
        <f>tblIndicators!E22</f>
        <v>0</v>
      </c>
      <c r="F27">
        <f>tblIndicators!F22</f>
        <v>25</v>
      </c>
      <c r="G27">
        <f>tblIndicators!G22</f>
        <v>0</v>
      </c>
      <c r="H27">
        <f>MIN(Data2010!D24:V24)</f>
        <v>0</v>
      </c>
      <c r="I27">
        <f>MAX(Data2010!D24:V24)</f>
        <v>4</v>
      </c>
      <c r="J27" s="22">
        <f t="shared" si="0"/>
        <v>4</v>
      </c>
      <c r="K27">
        <f>MATCH(B27,Weights!C$4:C$36,0)</f>
        <v>28</v>
      </c>
      <c r="L27" s="95">
        <f>tblIndicators!S22</f>
        <v>1</v>
      </c>
      <c r="M27">
        <f>INDEX(Weights!G$4:G$36,K27)</f>
        <v>1</v>
      </c>
      <c r="N27" s="36">
        <f t="shared" si="1"/>
        <v>0.22222222222222221</v>
      </c>
      <c r="P27" t="str">
        <f>tblIndicators!Q22</f>
        <v xml:space="preserve">   Government payment risk</v>
      </c>
      <c r="Q27" s="103">
        <f t="shared" si="2"/>
        <v>0.22222222222222221</v>
      </c>
      <c r="S27" s="38">
        <f>IF($D27="WS",SUMPRODUCT(($C28:$C$32=$B27)*($Q28:$Q$32)*(S28:S$32)),IF($D27="MM",100*ABS(($G27-(Data2010!D24-$H27)/$J27)),IF($D27="XX",ABS((100*$G27)-((Data2010!D24-$E27)*$F27)),"na")))</f>
        <v>25</v>
      </c>
      <c r="T27" s="38">
        <f>IF($D27="WS",SUMPRODUCT(($C28:$C$32=$B27)*($Q28:$Q$32)*(T28:T$32)),IF($D27="MM",100*ABS(($G27-(Data2010!E24-$H27)/$J27)),IF($D27="XX",ABS((100*$G27)-((Data2010!E24-$E27)*$F27)),"na")))</f>
        <v>75</v>
      </c>
      <c r="U27" s="38">
        <f>IF($D27="WS",SUMPRODUCT(($C28:$C$32=$B27)*($Q28:$Q$32)*(U28:U$32)),IF($D27="MM",100*ABS(($G27-(Data2010!F24-$H27)/$J27)),IF($D27="XX",ABS((100*$G27)-((Data2010!F24-$E27)*$F27)),"na")))</f>
        <v>100</v>
      </c>
      <c r="V27" s="38">
        <f>IF($D27="WS",SUMPRODUCT(($C28:$C$32=$B27)*($Q28:$Q$32)*(V28:V$32)),IF($D27="MM",100*ABS(($G27-(Data2010!G24-$H27)/$J27)),IF($D27="XX",ABS((100*$G27)-((Data2010!G24-$E27)*$F27)),"na")))</f>
        <v>50</v>
      </c>
      <c r="W27" s="38">
        <f>IF($D27="WS",SUMPRODUCT(($C28:$C$32=$B27)*($Q28:$Q$32)*(W28:W$32)),IF($D27="MM",100*ABS(($G27-(Data2010!H24-$H27)/$J27)),IF($D27="XX",ABS((100*$G27)-((Data2010!H24-$E27)*$F27)),"na")))</f>
        <v>50</v>
      </c>
      <c r="X27" s="38">
        <f>IF($D27="WS",SUMPRODUCT(($C28:$C$32=$B27)*($Q28:$Q$32)*(X28:X$32)),IF($D27="MM",100*ABS(($G27-(Data2010!I24-$H27)/$J27)),IF($D27="XX",ABS((100*$G27)-((Data2010!I24-$E27)*$F27)),"na")))</f>
        <v>50</v>
      </c>
      <c r="Y27" s="38">
        <f>IF($D27="WS",SUMPRODUCT(($C28:$C$32=$B27)*($Q28:$Q$32)*(Y28:Y$32)),IF($D27="MM",100*ABS(($G27-(Data2010!J24-$H27)/$J27)),IF($D27="XX",ABS((100*$G27)-((Data2010!J24-$E27)*$F27)),"na")))</f>
        <v>0</v>
      </c>
      <c r="Z27" s="38">
        <f>IF($D27="WS",SUMPRODUCT(($C28:$C$32=$B27)*($Q28:$Q$32)*(Z28:Z$32)),IF($D27="MM",100*ABS(($G27-(Data2010!K24-$H27)/$J27)),IF($D27="XX",ABS((100*$G27)-((Data2010!K24-$E27)*$F27)),"na")))</f>
        <v>50</v>
      </c>
      <c r="AA27" s="38">
        <f>IF($D27="WS",SUMPRODUCT(($C28:$C$32=$B27)*($Q28:$Q$32)*(AA28:AA$32)),IF($D27="MM",100*ABS(($G27-(Data2010!L24-$H27)/$J27)),IF($D27="XX",ABS((100*$G27)-((Data2010!L24-$E27)*$F27)),"na")))</f>
        <v>50</v>
      </c>
      <c r="AB27" s="38">
        <f>IF($D27="WS",SUMPRODUCT(($C28:$C$32=$B27)*($Q28:$Q$32)*(AB28:AB$32)),IF($D27="MM",100*ABS(($G27-(Data2010!M24-$H27)/$J27)),IF($D27="XX",ABS((100*$G27)-((Data2010!M24-$E27)*$F27)),"na")))</f>
        <v>0</v>
      </c>
      <c r="AC27" s="38">
        <f>IF($D27="WS",SUMPRODUCT(($C28:$C$32=$B27)*($Q28:$Q$32)*(AC28:AC$32)),IF($D27="MM",100*ABS(($G27-(Data2010!N24-$H27)/$J27)),IF($D27="XX",ABS((100*$G27)-((Data2010!N24-$E27)*$F27)),"na")))</f>
        <v>0</v>
      </c>
      <c r="AD27" s="38">
        <f>IF($D27="WS",SUMPRODUCT(($C28:$C$32=$B27)*($Q28:$Q$32)*(AD28:AD$32)),IF($D27="MM",100*ABS(($G27-(Data2010!O24-$H27)/$J27)),IF($D27="XX",ABS((100*$G27)-((Data2010!O24-$E27)*$F27)),"na")))</f>
        <v>75</v>
      </c>
      <c r="AE27" s="38">
        <f>IF($D27="WS",SUMPRODUCT(($C28:$C$32=$B27)*($Q28:$Q$32)*(AE28:AE$32)),IF($D27="MM",100*ABS(($G27-(Data2010!P24-$H27)/$J27)),IF($D27="XX",ABS((100*$G27)-((Data2010!P24-$E27)*$F27)),"na")))</f>
        <v>0</v>
      </c>
      <c r="AF27" s="38">
        <f>IF($D27="WS",SUMPRODUCT(($C28:$C$32=$B27)*($Q28:$Q$32)*(AF28:AF$32)),IF($D27="MM",100*ABS(($G27-(Data2010!Q24-$H27)/$J27)),IF($D27="XX",ABS((100*$G27)-((Data2010!Q24-$E27)*$F27)),"na")))</f>
        <v>75</v>
      </c>
      <c r="AG27" s="38">
        <f>IF($D27="WS",SUMPRODUCT(($C28:$C$32=$B27)*($Q28:$Q$32)*(AG28:AG$32)),IF($D27="MM",100*ABS(($G27-(Data2010!R24-$H27)/$J27)),IF($D27="XX",ABS((100*$G27)-((Data2010!R24-$E27)*$F27)),"na")))</f>
        <v>25</v>
      </c>
      <c r="AH27" s="38">
        <f>IF($D27="WS",SUMPRODUCT(($C28:$C$32=$B27)*($Q28:$Q$32)*(AH28:AH$32)),IF($D27="MM",100*ABS(($G27-(Data2010!S24-$H27)/$J27)),IF($D27="XX",ABS((100*$G27)-((Data2010!S24-$E27)*$F27)),"na")))</f>
        <v>75</v>
      </c>
      <c r="AI27" s="38">
        <f>IF($D27="WS",SUMPRODUCT(($C28:$C$32=$B27)*($Q28:$Q$32)*(AI28:AI$32)),IF($D27="MM",100*ABS(($G27-(Data2010!T24-$H27)/$J27)),IF($D27="XX",ABS((100*$G27)-((Data2010!T24-$E27)*$F27)),"na")))</f>
        <v>75</v>
      </c>
      <c r="AJ27" s="38">
        <f>IF($D27="WS",SUMPRODUCT(($C28:$C$32=$B27)*($Q28:$Q$32)*(AJ28:AJ$32)),IF($D27="MM",100*ABS(($G27-(Data2010!U24-$H27)/$J27)),IF($D27="XX",ABS((100*$G27)-((Data2010!U24-$E27)*$F27)),"na")))</f>
        <v>50</v>
      </c>
      <c r="AK27" s="38">
        <f>IF($D27="WS",SUMPRODUCT(($C28:$C$32=$B27)*($Q28:$Q$32)*(AK28:AK$32)),IF($D27="MM",100*ABS(($G27-(Data2010!V24-$H27)/$J27)),IF($D27="XX",ABS((100*$G27)-((Data2010!V24-$E27)*$F27)),"na")))</f>
        <v>0</v>
      </c>
    </row>
    <row r="28" spans="2:37">
      <c r="B28" t="str">
        <f>tblIndicators!A23</f>
        <v>FINC02</v>
      </c>
      <c r="C28" t="str">
        <f>tblIndicators!B23</f>
        <v>FINC</v>
      </c>
      <c r="D28" t="str">
        <f>tblIndicators!D23</f>
        <v>XX</v>
      </c>
      <c r="E28">
        <f>tblIndicators!E23</f>
        <v>0</v>
      </c>
      <c r="F28">
        <f>tblIndicators!F23</f>
        <v>25</v>
      </c>
      <c r="G28">
        <f>tblIndicators!G23</f>
        <v>0</v>
      </c>
      <c r="H28">
        <f>MIN(Data2010!D25:V25)</f>
        <v>0</v>
      </c>
      <c r="I28">
        <f>MAX(Data2010!D25:V25)</f>
        <v>4</v>
      </c>
      <c r="J28" s="22">
        <f>I28-H28</f>
        <v>4</v>
      </c>
      <c r="K28">
        <f>MATCH(B28,Weights!C$4:C$36,0)</f>
        <v>29</v>
      </c>
      <c r="L28" s="95">
        <f>tblIndicators!S23</f>
        <v>1</v>
      </c>
      <c r="M28">
        <f>INDEX(Weights!G$4:G$36,K28)</f>
        <v>2</v>
      </c>
      <c r="N28" s="36">
        <f t="shared" si="1"/>
        <v>0.44444444444444442</v>
      </c>
      <c r="P28" t="str">
        <f>tblIndicators!Q23</f>
        <v xml:space="preserve">   Capital market: private infrastructure finance</v>
      </c>
      <c r="Q28" s="103">
        <f t="shared" si="2"/>
        <v>0.44444444444444442</v>
      </c>
      <c r="S28" s="38">
        <f>IF($D28="WS",SUMPRODUCT(($C29:$C$32=$B28)*($Q29:$Q$32)*(S29:S$32)),IF($D28="MM",100*ABS(($G28-(Data2010!D25-$H28)/$J28)),IF($D28="XX",ABS((100*$G28)-((Data2010!D25-$E28)*$F28)),"na")))</f>
        <v>25</v>
      </c>
      <c r="T28" s="38">
        <f>IF($D28="WS",SUMPRODUCT(($C29:$C$32=$B28)*($Q29:$Q$32)*(T29:T$32)),IF($D28="MM",100*ABS(($G28-(Data2010!E25-$H28)/$J28)),IF($D28="XX",ABS((100*$G28)-((Data2010!E25-$E28)*$F28)),"na")))</f>
        <v>75</v>
      </c>
      <c r="U28" s="38">
        <f>IF($D28="WS",SUMPRODUCT(($C29:$C$32=$B28)*($Q29:$Q$32)*(U29:U$32)),IF($D28="MM",100*ABS(($G28-(Data2010!F25-$H28)/$J28)),IF($D28="XX",ABS((100*$G28)-((Data2010!F25-$E28)*$F28)),"na")))</f>
        <v>100</v>
      </c>
      <c r="V28" s="38">
        <f>IF($D28="WS",SUMPRODUCT(($C29:$C$32=$B28)*($Q29:$Q$32)*(V29:V$32)),IF($D28="MM",100*ABS(($G28-(Data2010!G25-$H28)/$J28)),IF($D28="XX",ABS((100*$G28)-((Data2010!G25-$E28)*$F28)),"na")))</f>
        <v>50</v>
      </c>
      <c r="W28" s="38">
        <f>IF($D28="WS",SUMPRODUCT(($C29:$C$32=$B28)*($Q29:$Q$32)*(W29:W$32)),IF($D28="MM",100*ABS(($G28-(Data2010!H25-$H28)/$J28)),IF($D28="XX",ABS((100*$G28)-((Data2010!H25-$E28)*$F28)),"na")))</f>
        <v>25</v>
      </c>
      <c r="X28" s="38">
        <f>IF($D28="WS",SUMPRODUCT(($C29:$C$32=$B28)*($Q29:$Q$32)*(X29:X$32)),IF($D28="MM",100*ABS(($G28-(Data2010!I25-$H28)/$J28)),IF($D28="XX",ABS((100*$G28)-((Data2010!I25-$E28)*$F28)),"na")))</f>
        <v>25</v>
      </c>
      <c r="Y28" s="38">
        <f>IF($D28="WS",SUMPRODUCT(($C29:$C$32=$B28)*($Q29:$Q$32)*(Y29:Y$32)),IF($D28="MM",100*ABS(($G28-(Data2010!J25-$H28)/$J28)),IF($D28="XX",ABS((100*$G28)-((Data2010!J25-$E28)*$F28)),"na")))</f>
        <v>25</v>
      </c>
      <c r="Z28" s="38">
        <f>IF($D28="WS",SUMPRODUCT(($C29:$C$32=$B28)*($Q29:$Q$32)*(Z29:Z$32)),IF($D28="MM",100*ABS(($G28-(Data2010!K25-$H28)/$J28)),IF($D28="XX",ABS((100*$G28)-((Data2010!K25-$E28)*$F28)),"na")))</f>
        <v>50</v>
      </c>
      <c r="AA28" s="38">
        <f>IF($D28="WS",SUMPRODUCT(($C29:$C$32=$B28)*($Q29:$Q$32)*(AA29:AA$32)),IF($D28="MM",100*ABS(($G28-(Data2010!L25-$H28)/$J28)),IF($D28="XX",ABS((100*$G28)-((Data2010!L25-$E28)*$F28)),"na")))</f>
        <v>0</v>
      </c>
      <c r="AB28" s="38">
        <f>IF($D28="WS",SUMPRODUCT(($C29:$C$32=$B28)*($Q29:$Q$32)*(AB29:AB$32)),IF($D28="MM",100*ABS(($G28-(Data2010!M25-$H28)/$J28)),IF($D28="XX",ABS((100*$G28)-((Data2010!M25-$E28)*$F28)),"na")))</f>
        <v>0</v>
      </c>
      <c r="AC28" s="38">
        <f>IF($D28="WS",SUMPRODUCT(($C29:$C$32=$B28)*($Q29:$Q$32)*(AC29:AC$32)),IF($D28="MM",100*ABS(($G28-(Data2010!N25-$H28)/$J28)),IF($D28="XX",ABS((100*$G28)-((Data2010!N25-$E28)*$F28)),"na")))</f>
        <v>0</v>
      </c>
      <c r="AD28" s="38">
        <f>IF($D28="WS",SUMPRODUCT(($C29:$C$32=$B28)*($Q29:$Q$32)*(AD29:AD$32)),IF($D28="MM",100*ABS(($G28-(Data2010!O25-$H28)/$J28)),IF($D28="XX",ABS((100*$G28)-((Data2010!O25-$E28)*$F28)),"na")))</f>
        <v>75</v>
      </c>
      <c r="AE28" s="38">
        <f>IF($D28="WS",SUMPRODUCT(($C29:$C$32=$B28)*($Q29:$Q$32)*(AE29:AE$32)),IF($D28="MM",100*ABS(($G28-(Data2010!P25-$H28)/$J28)),IF($D28="XX",ABS((100*$G28)-((Data2010!P25-$E28)*$F28)),"na")))</f>
        <v>0</v>
      </c>
      <c r="AF28" s="38">
        <f>IF($D28="WS",SUMPRODUCT(($C29:$C$32=$B28)*($Q29:$Q$32)*(AF29:AF$32)),IF($D28="MM",100*ABS(($G28-(Data2010!Q25-$H28)/$J28)),IF($D28="XX",ABS((100*$G28)-((Data2010!Q25-$E28)*$F28)),"na")))</f>
        <v>50</v>
      </c>
      <c r="AG28" s="38">
        <f>IF($D28="WS",SUMPRODUCT(($C29:$C$32=$B28)*($Q29:$Q$32)*(AG29:AG$32)),IF($D28="MM",100*ABS(($G28-(Data2010!R25-$H28)/$J28)),IF($D28="XX",ABS((100*$G28)-((Data2010!R25-$E28)*$F28)),"na")))</f>
        <v>25</v>
      </c>
      <c r="AH28" s="38">
        <f>IF($D28="WS",SUMPRODUCT(($C29:$C$32=$B28)*($Q29:$Q$32)*(AH29:AH$32)),IF($D28="MM",100*ABS(($G28-(Data2010!S25-$H28)/$J28)),IF($D28="XX",ABS((100*$G28)-((Data2010!S25-$E28)*$F28)),"na")))</f>
        <v>50</v>
      </c>
      <c r="AI28" s="38">
        <f>IF($D28="WS",SUMPRODUCT(($C29:$C$32=$B28)*($Q29:$Q$32)*(AI29:AI$32)),IF($D28="MM",100*ABS(($G28-(Data2010!T25-$H28)/$J28)),IF($D28="XX",ABS((100*$G28)-((Data2010!T25-$E28)*$F28)),"na")))</f>
        <v>50</v>
      </c>
      <c r="AJ28" s="38">
        <f>IF($D28="WS",SUMPRODUCT(($C29:$C$32=$B28)*($Q29:$Q$32)*(AJ29:AJ$32)),IF($D28="MM",100*ABS(($G28-(Data2010!U25-$H28)/$J28)),IF($D28="XX",ABS((100*$G28)-((Data2010!U25-$E28)*$F28)),"na")))</f>
        <v>25</v>
      </c>
      <c r="AK28" s="38">
        <f>IF($D28="WS",SUMPRODUCT(($C29:$C$32=$B28)*($Q29:$Q$32)*(AK29:AK$32)),IF($D28="MM",100*ABS(($G28-(Data2010!V25-$H28)/$J28)),IF($D28="XX",ABS((100*$G28)-((Data2010!V25-$E28)*$F28)),"na")))</f>
        <v>25</v>
      </c>
    </row>
    <row r="29" spans="2:37">
      <c r="B29" t="str">
        <f>tblIndicators!A24</f>
        <v>FINC03</v>
      </c>
      <c r="C29" t="str">
        <f>tblIndicators!B24</f>
        <v>FINC</v>
      </c>
      <c r="D29" t="str">
        <f>tblIndicators!D24</f>
        <v>XX</v>
      </c>
      <c r="E29">
        <f>tblIndicators!E24</f>
        <v>0</v>
      </c>
      <c r="F29">
        <f>tblIndicators!F24</f>
        <v>25</v>
      </c>
      <c r="G29">
        <f>tblIndicators!G24</f>
        <v>0</v>
      </c>
      <c r="H29">
        <f>MIN(Data2010!D26:V26)</f>
        <v>1</v>
      </c>
      <c r="I29">
        <f>MAX(Data2010!D26:V26)</f>
        <v>4</v>
      </c>
      <c r="J29" s="22">
        <f>I29-H29</f>
        <v>3</v>
      </c>
      <c r="K29">
        <f>MATCH(B29,Weights!C$4:C$36,0)</f>
        <v>30</v>
      </c>
      <c r="L29" s="95">
        <f>tblIndicators!S24</f>
        <v>1</v>
      </c>
      <c r="M29">
        <f>INDEX(Weights!G$4:G$36,K29)</f>
        <v>1</v>
      </c>
      <c r="N29" s="36">
        <f t="shared" si="1"/>
        <v>0.22222222222222221</v>
      </c>
      <c r="P29" t="str">
        <f>tblIndicators!Q24</f>
        <v xml:space="preserve">   Marketable debt</v>
      </c>
      <c r="Q29" s="103">
        <f t="shared" si="2"/>
        <v>0.22222222222222221</v>
      </c>
      <c r="S29" s="38">
        <f>IF($D29="WS",SUMPRODUCT(($C30:$C$32=$B29)*($Q30:$Q$32)*(S30:S$32)),IF($D29="MM",100*ABS(($G29-(Data2010!D26-$H29)/$J29)),IF($D29="XX",ABS((100*$G29)-((Data2010!D26-$E29)*$F29)),"na")))</f>
        <v>75</v>
      </c>
      <c r="T29" s="38">
        <f>IF($D29="WS",SUMPRODUCT(($C30:$C$32=$B29)*($Q30:$Q$32)*(T30:T$32)),IF($D29="MM",100*ABS(($G29-(Data2010!E26-$H29)/$J29)),IF($D29="XX",ABS((100*$G29)-((Data2010!E26-$E29)*$F29)),"na")))</f>
        <v>75</v>
      </c>
      <c r="U29" s="38">
        <f>IF($D29="WS",SUMPRODUCT(($C30:$C$32=$B29)*($Q30:$Q$32)*(U30:U$32)),IF($D29="MM",100*ABS(($G29-(Data2010!F26-$H29)/$J29)),IF($D29="XX",ABS((100*$G29)-((Data2010!F26-$E29)*$F29)),"na")))</f>
        <v>100</v>
      </c>
      <c r="V29" s="38">
        <f>IF($D29="WS",SUMPRODUCT(($C30:$C$32=$B29)*($Q30:$Q$32)*(V30:V$32)),IF($D29="MM",100*ABS(($G29-(Data2010!G26-$H29)/$J29)),IF($D29="XX",ABS((100*$G29)-((Data2010!G26-$E29)*$F29)),"na")))</f>
        <v>75</v>
      </c>
      <c r="W29" s="38">
        <f>IF($D29="WS",SUMPRODUCT(($C30:$C$32=$B29)*($Q30:$Q$32)*(W30:W$32)),IF($D29="MM",100*ABS(($G29-(Data2010!H26-$H29)/$J29)),IF($D29="XX",ABS((100*$G29)-((Data2010!H26-$E29)*$F29)),"na")))</f>
        <v>75</v>
      </c>
      <c r="X29" s="38">
        <f>IF($D29="WS",SUMPRODUCT(($C30:$C$32=$B29)*($Q30:$Q$32)*(X30:X$32)),IF($D29="MM",100*ABS(($G29-(Data2010!I26-$H29)/$J29)),IF($D29="XX",ABS((100*$G29)-((Data2010!I26-$E29)*$F29)),"na")))</f>
        <v>25</v>
      </c>
      <c r="Y29" s="38">
        <f>IF($D29="WS",SUMPRODUCT(($C30:$C$32=$B29)*($Q30:$Q$32)*(Y30:Y$32)),IF($D29="MM",100*ABS(($G29-(Data2010!J26-$H29)/$J29)),IF($D29="XX",ABS((100*$G29)-((Data2010!J26-$E29)*$F29)),"na")))</f>
        <v>25</v>
      </c>
      <c r="Z29" s="38">
        <f>IF($D29="WS",SUMPRODUCT(($C30:$C$32=$B29)*($Q30:$Q$32)*(Z30:Z$32)),IF($D29="MM",100*ABS(($G29-(Data2010!K26-$H29)/$J29)),IF($D29="XX",ABS((100*$G29)-((Data2010!K26-$E29)*$F29)),"na")))</f>
        <v>50</v>
      </c>
      <c r="AA29" s="38">
        <f>IF($D29="WS",SUMPRODUCT(($C30:$C$32=$B29)*($Q30:$Q$32)*(AA30:AA$32)),IF($D29="MM",100*ABS(($G29-(Data2010!L26-$H29)/$J29)),IF($D29="XX",ABS((100*$G29)-((Data2010!L26-$E29)*$F29)),"na")))</f>
        <v>25</v>
      </c>
      <c r="AB29" s="38">
        <f>IF($D29="WS",SUMPRODUCT(($C30:$C$32=$B29)*($Q30:$Q$32)*(AB30:AB$32)),IF($D29="MM",100*ABS(($G29-(Data2010!M26-$H29)/$J29)),IF($D29="XX",ABS((100*$G29)-((Data2010!M26-$E29)*$F29)),"na")))</f>
        <v>25</v>
      </c>
      <c r="AC29" s="38">
        <f>IF($D29="WS",SUMPRODUCT(($C30:$C$32=$B29)*($Q30:$Q$32)*(AC30:AC$32)),IF($D29="MM",100*ABS(($G29-(Data2010!N26-$H29)/$J29)),IF($D29="XX",ABS((100*$G29)-((Data2010!N26-$E29)*$F29)),"na")))</f>
        <v>50</v>
      </c>
      <c r="AD29" s="38">
        <f>IF($D29="WS",SUMPRODUCT(($C30:$C$32=$B29)*($Q30:$Q$32)*(AD30:AD$32)),IF($D29="MM",100*ABS(($G29-(Data2010!O26-$H29)/$J29)),IF($D29="XX",ABS((100*$G29)-((Data2010!O26-$E29)*$F29)),"na")))</f>
        <v>75</v>
      </c>
      <c r="AE29" s="38">
        <f>IF($D29="WS",SUMPRODUCT(($C30:$C$32=$B29)*($Q30:$Q$32)*(AE30:AE$32)),IF($D29="MM",100*ABS(($G29-(Data2010!P26-$H29)/$J29)),IF($D29="XX",ABS((100*$G29)-((Data2010!P26-$E29)*$F29)),"na")))</f>
        <v>25</v>
      </c>
      <c r="AF29" s="38">
        <f>IF($D29="WS",SUMPRODUCT(($C30:$C$32=$B29)*($Q30:$Q$32)*(AF30:AF$32)),IF($D29="MM",100*ABS(($G29-(Data2010!Q26-$H29)/$J29)),IF($D29="XX",ABS((100*$G29)-((Data2010!Q26-$E29)*$F29)),"na")))</f>
        <v>100</v>
      </c>
      <c r="AG29" s="38">
        <f>IF($D29="WS",SUMPRODUCT(($C30:$C$32=$B29)*($Q30:$Q$32)*(AG30:AG$32)),IF($D29="MM",100*ABS(($G29-(Data2010!R26-$H29)/$J29)),IF($D29="XX",ABS((100*$G29)-((Data2010!R26-$E29)*$F29)),"na")))</f>
        <v>25</v>
      </c>
      <c r="AH29" s="38">
        <f>IF($D29="WS",SUMPRODUCT(($C30:$C$32=$B29)*($Q30:$Q$32)*(AH30:AH$32)),IF($D29="MM",100*ABS(($G29-(Data2010!S26-$H29)/$J29)),IF($D29="XX",ABS((100*$G29)-((Data2010!S26-$E29)*$F29)),"na")))</f>
        <v>75</v>
      </c>
      <c r="AI29" s="38">
        <f>IF($D29="WS",SUMPRODUCT(($C30:$C$32=$B29)*($Q30:$Q$32)*(AI30:AI$32)),IF($D29="MM",100*ABS(($G29-(Data2010!T26-$H29)/$J29)),IF($D29="XX",ABS((100*$G29)-((Data2010!T26-$E29)*$F29)),"na")))</f>
        <v>75</v>
      </c>
      <c r="AJ29" s="38">
        <f>IF($D29="WS",SUMPRODUCT(($C30:$C$32=$B29)*($Q30:$Q$32)*(AJ30:AJ$32)),IF($D29="MM",100*ABS(($G29-(Data2010!U26-$H29)/$J29)),IF($D29="XX",ABS((100*$G29)-((Data2010!U26-$E29)*$F29)),"na")))</f>
        <v>25</v>
      </c>
      <c r="AK29" s="38">
        <f>IF($D29="WS",SUMPRODUCT(($C30:$C$32=$B29)*($Q30:$Q$32)*(AK30:AK$32)),IF($D29="MM",100*ABS(($G29-(Data2010!V26-$H29)/$J29)),IF($D29="XX",ABS((100*$G29)-((Data2010!V26-$E29)*$F29)),"na")))</f>
        <v>25</v>
      </c>
    </row>
    <row r="30" spans="2:37">
      <c r="B30" t="str">
        <f>tblIndicators!A25</f>
        <v>FINC04</v>
      </c>
      <c r="C30" t="str">
        <f>tblIndicators!B25</f>
        <v>FINC</v>
      </c>
      <c r="D30" t="str">
        <f>tblIndicators!D25</f>
        <v>XX</v>
      </c>
      <c r="E30">
        <f>tblIndicators!E25</f>
        <v>0</v>
      </c>
      <c r="F30">
        <f>tblIndicators!F25</f>
        <v>25</v>
      </c>
      <c r="G30">
        <f>tblIndicators!G25</f>
        <v>0</v>
      </c>
      <c r="H30">
        <f>MIN(Data2010!D27:V27)</f>
        <v>0</v>
      </c>
      <c r="I30">
        <f>MAX(Data2010!D27:V27)</f>
        <v>3</v>
      </c>
      <c r="J30" s="22">
        <f>I30-H30</f>
        <v>3</v>
      </c>
      <c r="K30">
        <f>MATCH(B30,Weights!C$4:C$36,0)</f>
        <v>31</v>
      </c>
      <c r="L30" s="95">
        <f>tblIndicators!S25</f>
        <v>1</v>
      </c>
      <c r="M30">
        <f>INDEX(Weights!G$4:G$36,K30)</f>
        <v>0.5</v>
      </c>
      <c r="N30" s="36">
        <f t="shared" si="1"/>
        <v>0.1111111111111111</v>
      </c>
      <c r="P30" t="str">
        <f>tblIndicators!Q25</f>
        <v xml:space="preserve">   Government support and affordability for low income users</v>
      </c>
      <c r="Q30" s="103">
        <f>N30</f>
        <v>0.1111111111111111</v>
      </c>
      <c r="S30" s="38">
        <f>IF($D30="WS",SUMPRODUCT(($C31:$C$32=$B30)*($Q31:$Q$32)*(S31:S$32)),IF($D30="MM",100*ABS(($G30-(Data2010!D27-$H30)/$J30)),IF($D30="XX",ABS((100*$G30)-((Data2010!D27-$E30)*$F30)),"na")))</f>
        <v>0</v>
      </c>
      <c r="T30" s="38">
        <f>IF($D30="WS",SUMPRODUCT(($C31:$C$32=$B30)*($Q31:$Q$32)*(T31:T$32)),IF($D30="MM",100*ABS(($G30-(Data2010!E27-$H30)/$J30)),IF($D30="XX",ABS((100*$G30)-((Data2010!E27-$E30)*$F30)),"na")))</f>
        <v>50</v>
      </c>
      <c r="U30" s="38">
        <f>IF($D30="WS",SUMPRODUCT(($C31:$C$32=$B30)*($Q31:$Q$32)*(U31:U$32)),IF($D30="MM",100*ABS(($G30-(Data2010!F27-$H30)/$J30)),IF($D30="XX",ABS((100*$G30)-((Data2010!F27-$E30)*$F30)),"na")))</f>
        <v>75</v>
      </c>
      <c r="V30" s="38">
        <f>IF($D30="WS",SUMPRODUCT(($C31:$C$32=$B30)*($Q31:$Q$32)*(V31:V$32)),IF($D30="MM",100*ABS(($G30-(Data2010!G27-$H30)/$J30)),IF($D30="XX",ABS((100*$G30)-((Data2010!G27-$E30)*$F30)),"na")))</f>
        <v>50</v>
      </c>
      <c r="W30" s="38">
        <f>IF($D30="WS",SUMPRODUCT(($C31:$C$32=$B30)*($Q31:$Q$32)*(W31:W$32)),IF($D30="MM",100*ABS(($G30-(Data2010!H27-$H30)/$J30)),IF($D30="XX",ABS((100*$G30)-((Data2010!H27-$E30)*$F30)),"na")))</f>
        <v>25</v>
      </c>
      <c r="X30" s="38">
        <f>IF($D30="WS",SUMPRODUCT(($C31:$C$32=$B30)*($Q31:$Q$32)*(X31:X$32)),IF($D30="MM",100*ABS(($G30-(Data2010!I27-$H30)/$J30)),IF($D30="XX",ABS((100*$G30)-((Data2010!I27-$E30)*$F30)),"na")))</f>
        <v>25</v>
      </c>
      <c r="Y30" s="38">
        <f>IF($D30="WS",SUMPRODUCT(($C31:$C$32=$B30)*($Q31:$Q$32)*(Y31:Y$32)),IF($D30="MM",100*ABS(($G30-(Data2010!J27-$H30)/$J30)),IF($D30="XX",ABS((100*$G30)-((Data2010!J27-$E30)*$F30)),"na")))</f>
        <v>0</v>
      </c>
      <c r="Z30" s="38">
        <f>IF($D30="WS",SUMPRODUCT(($C31:$C$32=$B30)*($Q31:$Q$32)*(Z31:Z$32)),IF($D30="MM",100*ABS(($G30-(Data2010!K27-$H30)/$J30)),IF($D30="XX",ABS((100*$G30)-((Data2010!K27-$E30)*$F30)),"na")))</f>
        <v>25</v>
      </c>
      <c r="AA30" s="38">
        <f>IF($D30="WS",SUMPRODUCT(($C31:$C$32=$B30)*($Q31:$Q$32)*(AA31:AA$32)),IF($D30="MM",100*ABS(($G30-(Data2010!L27-$H30)/$J30)),IF($D30="XX",ABS((100*$G30)-((Data2010!L27-$E30)*$F30)),"na")))</f>
        <v>50</v>
      </c>
      <c r="AB30" s="38">
        <f>IF($D30="WS",SUMPRODUCT(($C31:$C$32=$B30)*($Q31:$Q$32)*(AB31:AB$32)),IF($D30="MM",100*ABS(($G30-(Data2010!M27-$H30)/$J30)),IF($D30="XX",ABS((100*$G30)-((Data2010!M27-$E30)*$F30)),"na")))</f>
        <v>50</v>
      </c>
      <c r="AC30" s="38">
        <f>IF($D30="WS",SUMPRODUCT(($C31:$C$32=$B30)*($Q31:$Q$32)*(AC31:AC$32)),IF($D30="MM",100*ABS(($G30-(Data2010!N27-$H30)/$J30)),IF($D30="XX",ABS((100*$G30)-((Data2010!N27-$E30)*$F30)),"na")))</f>
        <v>50</v>
      </c>
      <c r="AD30" s="38">
        <f>IF($D30="WS",SUMPRODUCT(($C31:$C$32=$B30)*($Q31:$Q$32)*(AD31:AD$32)),IF($D30="MM",100*ABS(($G30-(Data2010!O27-$H30)/$J30)),IF($D30="XX",ABS((100*$G30)-((Data2010!O27-$E30)*$F30)),"na")))</f>
        <v>50</v>
      </c>
      <c r="AE30" s="38">
        <f>IF($D30="WS",SUMPRODUCT(($C31:$C$32=$B30)*($Q31:$Q$32)*(AE31:AE$32)),IF($D30="MM",100*ABS(($G30-(Data2010!P27-$H30)/$J30)),IF($D30="XX",ABS((100*$G30)-((Data2010!P27-$E30)*$F30)),"na")))</f>
        <v>25</v>
      </c>
      <c r="AF30" s="38">
        <f>IF($D30="WS",SUMPRODUCT(($C31:$C$32=$B30)*($Q31:$Q$32)*(AF31:AF$32)),IF($D30="MM",100*ABS(($G30-(Data2010!Q27-$H30)/$J30)),IF($D30="XX",ABS((100*$G30)-((Data2010!Q27-$E30)*$F30)),"na")))</f>
        <v>25</v>
      </c>
      <c r="AG30" s="38">
        <f>IF($D30="WS",SUMPRODUCT(($C31:$C$32=$B30)*($Q31:$Q$32)*(AG31:AG$32)),IF($D30="MM",100*ABS(($G30-(Data2010!R27-$H30)/$J30)),IF($D30="XX",ABS((100*$G30)-((Data2010!R27-$E30)*$F30)),"na")))</f>
        <v>25</v>
      </c>
      <c r="AH30" s="38">
        <f>IF($D30="WS",SUMPRODUCT(($C31:$C$32=$B30)*($Q31:$Q$32)*(AH31:AH$32)),IF($D30="MM",100*ABS(($G30-(Data2010!S27-$H30)/$J30)),IF($D30="XX",ABS((100*$G30)-((Data2010!S27-$E30)*$F30)),"na")))</f>
        <v>50</v>
      </c>
      <c r="AI30" s="38">
        <f>IF($D30="WS",SUMPRODUCT(($C31:$C$32=$B30)*($Q31:$Q$32)*(AI31:AI$32)),IF($D30="MM",100*ABS(($G30-(Data2010!T27-$H30)/$J30)),IF($D30="XX",ABS((100*$G30)-((Data2010!T27-$E30)*$F30)),"na")))</f>
        <v>25</v>
      </c>
      <c r="AJ30" s="38">
        <f>IF($D30="WS",SUMPRODUCT(($C31:$C$32=$B30)*($Q31:$Q$32)*(AJ31:AJ$32)),IF($D30="MM",100*ABS(($G30-(Data2010!U27-$H30)/$J30)),IF($D30="XX",ABS((100*$G30)-((Data2010!U27-$E30)*$F30)),"na")))</f>
        <v>25</v>
      </c>
      <c r="AK30" s="38">
        <f>IF($D30="WS",SUMPRODUCT(($C31:$C$32=$B30)*($Q31:$Q$32)*(AK31:AK$32)),IF($D30="MM",100*ABS(($G30-(Data2010!V27-$H30)/$J30)),IF($D30="XX",ABS((100*$G30)-((Data2010!V27-$E30)*$F30)),"na")))</f>
        <v>0</v>
      </c>
    </row>
    <row r="31" spans="2:37" s="95" customFormat="1">
      <c r="B31" s="95" t="str">
        <f>tblIndicators!A26</f>
        <v>NEWSEC</v>
      </c>
      <c r="C31" s="95" t="str">
        <f>tblIndicators!B26</f>
        <v>TOTL</v>
      </c>
      <c r="D31" s="95" t="str">
        <f>tblIndicators!D26</f>
        <v>WS</v>
      </c>
      <c r="E31" s="95">
        <f>tblIndicators!E26</f>
        <v>0</v>
      </c>
      <c r="F31" s="95">
        <f>tblIndicators!F26</f>
        <v>0</v>
      </c>
      <c r="G31" s="95">
        <f>tblIndicators!G26</f>
        <v>0</v>
      </c>
      <c r="H31" s="95">
        <f>MIN(Data2010!D28:V28)</f>
        <v>0</v>
      </c>
      <c r="I31" s="95">
        <f>MAX(Data2010!D28:V28)</f>
        <v>0</v>
      </c>
      <c r="J31" s="96">
        <f>I31-H31</f>
        <v>0</v>
      </c>
      <c r="K31" s="95">
        <f>MATCH(B31,Weights!C$4:C$36,0)</f>
        <v>6</v>
      </c>
      <c r="L31" s="95">
        <f>tblIndicators!S26</f>
        <v>1</v>
      </c>
      <c r="M31" s="95">
        <f>INDEX(Weights!G$4:G$36,K31)</f>
        <v>0.6</v>
      </c>
      <c r="N31" s="98">
        <f t="shared" si="1"/>
        <v>9.9999999999999992E-2</v>
      </c>
      <c r="P31" s="95" t="str">
        <f>tblIndicators!Q26</f>
        <v>SUBNATIONAL ADJUSTMENT</v>
      </c>
      <c r="Q31" s="102">
        <f>N31</f>
        <v>9.9999999999999992E-2</v>
      </c>
      <c r="S31" s="97">
        <f>IF($D31="WS",SUMPRODUCT(($C32:$C$32=$B31)*($Q32:$Q$32)*(S32:S$32)),IF($D31="MM",100*ABS(($G31-(Data2010!D28-$H31)/$J31)),IF($D31="XX",ABS((100*$G31)-((Data2010!D28-$E31)*$F31)),"na")))</f>
        <v>50</v>
      </c>
      <c r="T31" s="97">
        <f>IF($D31="WS",SUMPRODUCT(($C32:$C$32=$B31)*($Q32:$Q$32)*(T32:T$32)),IF($D31="MM",100*ABS(($G31-(Data2010!E28-$H31)/$J31)),IF($D31="XX",ABS((100*$G31)-((Data2010!E28-$E31)*$F31)),"na")))</f>
        <v>75</v>
      </c>
      <c r="U31" s="97">
        <f>IF($D31="WS",SUMPRODUCT(($C32:$C$32=$B31)*($Q32:$Q$32)*(U32:U$32)),IF($D31="MM",100*ABS(($G31-(Data2010!F28-$H31)/$J31)),IF($D31="XX",ABS((100*$G31)-((Data2010!F28-$E31)*$F31)),"na")))</f>
        <v>50</v>
      </c>
      <c r="V31" s="97">
        <f>IF($D31="WS",SUMPRODUCT(($C32:$C$32=$B31)*($Q32:$Q$32)*(V32:V$32)),IF($D31="MM",100*ABS(($G31-(Data2010!G28-$H31)/$J31)),IF($D31="XX",ABS((100*$G31)-((Data2010!G28-$E31)*$F31)),"na")))</f>
        <v>50</v>
      </c>
      <c r="W31" s="97">
        <f>IF($D31="WS",SUMPRODUCT(($C32:$C$32=$B31)*($Q32:$Q$32)*(W32:W$32)),IF($D31="MM",100*ABS(($G31-(Data2010!H28-$H31)/$J31)),IF($D31="XX",ABS((100*$G31)-((Data2010!H28-$E31)*$F31)),"na")))</f>
        <v>0</v>
      </c>
      <c r="X31" s="97">
        <f>IF($D31="WS",SUMPRODUCT(($C32:$C$32=$B31)*($Q32:$Q$32)*(X32:X$32)),IF($D31="MM",100*ABS(($G31-(Data2010!I28-$H31)/$J31)),IF($D31="XX",ABS((100*$G31)-((Data2010!I28-$E31)*$F31)),"na")))</f>
        <v>25</v>
      </c>
      <c r="Y31" s="97">
        <f>IF($D31="WS",SUMPRODUCT(($C32:$C$32=$B31)*($Q32:$Q$32)*(Y32:Y$32)),IF($D31="MM",100*ABS(($G31-(Data2010!J28-$H31)/$J31)),IF($D31="XX",ABS((100*$G31)-((Data2010!J28-$E31)*$F31)),"na")))</f>
        <v>25</v>
      </c>
      <c r="Z31" s="97">
        <f>IF($D31="WS",SUMPRODUCT(($C32:$C$32=$B31)*($Q32:$Q$32)*(Z32:Z$32)),IF($D31="MM",100*ABS(($G31-(Data2010!K28-$H31)/$J31)),IF($D31="XX",ABS((100*$G31)-((Data2010!K28-$E31)*$F31)),"na")))</f>
        <v>0</v>
      </c>
      <c r="AA31" s="97">
        <f>IF($D31="WS",SUMPRODUCT(($C32:$C$32=$B31)*($Q32:$Q$32)*(AA32:AA$32)),IF($D31="MM",100*ABS(($G31-(Data2010!L28-$H31)/$J31)),IF($D31="XX",ABS((100*$G31)-((Data2010!L28-$E31)*$F31)),"na")))</f>
        <v>25</v>
      </c>
      <c r="AB31" s="97">
        <f>IF($D31="WS",SUMPRODUCT(($C32:$C$32=$B31)*($Q32:$Q$32)*(AB32:AB$32)),IF($D31="MM",100*ABS(($G31-(Data2010!M28-$H31)/$J31)),IF($D31="XX",ABS((100*$G31)-((Data2010!M28-$E31)*$F31)),"na")))</f>
        <v>0</v>
      </c>
      <c r="AC31" s="97">
        <f>IF($D31="WS",SUMPRODUCT(($C32:$C$32=$B31)*($Q32:$Q$32)*(AC32:AC$32)),IF($D31="MM",100*ABS(($G31-(Data2010!N28-$H31)/$J31)),IF($D31="XX",ABS((100*$G31)-((Data2010!N28-$E31)*$F31)),"na")))</f>
        <v>25</v>
      </c>
      <c r="AD31" s="97">
        <f>IF($D31="WS",SUMPRODUCT(($C32:$C$32=$B31)*($Q32:$Q$32)*(AD32:AD$32)),IF($D31="MM",100*ABS(($G31-(Data2010!O28-$H31)/$J31)),IF($D31="XX",ABS((100*$G31)-((Data2010!O28-$E31)*$F31)),"na")))</f>
        <v>50</v>
      </c>
      <c r="AE31" s="97">
        <f>IF($D31="WS",SUMPRODUCT(($C32:$C$32=$B31)*($Q32:$Q$32)*(AE32:AE$32)),IF($D31="MM",100*ABS(($G31-(Data2010!P28-$H31)/$J31)),IF($D31="XX",ABS((100*$G31)-((Data2010!P28-$E31)*$F31)),"na")))</f>
        <v>0</v>
      </c>
      <c r="AF31" s="97">
        <f>IF($D31="WS",SUMPRODUCT(($C32:$C$32=$B31)*($Q32:$Q$32)*(AF32:AF$32)),IF($D31="MM",100*ABS(($G31-(Data2010!Q28-$H31)/$J31)),IF($D31="XX",ABS((100*$G31)-((Data2010!Q28-$E31)*$F31)),"na")))</f>
        <v>0</v>
      </c>
      <c r="AG31" s="97">
        <f>IF($D31="WS",SUMPRODUCT(($C32:$C$32=$B31)*($Q32:$Q$32)*(AG32:AG$32)),IF($D31="MM",100*ABS(($G31-(Data2010!R28-$H31)/$J31)),IF($D31="XX",ABS((100*$G31)-((Data2010!R28-$E31)*$F31)),"na")))</f>
        <v>25</v>
      </c>
      <c r="AH31" s="97">
        <f>IF($D31="WS",SUMPRODUCT(($C32:$C$32=$B31)*($Q32:$Q$32)*(AH32:AH$32)),IF($D31="MM",100*ABS(($G31-(Data2010!S28-$H31)/$J31)),IF($D31="XX",ABS((100*$G31)-((Data2010!S28-$E31)*$F31)),"na")))</f>
        <v>50</v>
      </c>
      <c r="AI31" s="97">
        <f>IF($D31="WS",SUMPRODUCT(($C32:$C$32=$B31)*($Q32:$Q$32)*(AI32:AI$32)),IF($D31="MM",100*ABS(($G31-(Data2010!T28-$H31)/$J31)),IF($D31="XX",ABS((100*$G31)-((Data2010!T28-$E31)*$F31)),"na")))</f>
        <v>25</v>
      </c>
      <c r="AJ31" s="97">
        <f>IF($D31="WS",SUMPRODUCT(($C32:$C$32=$B31)*($Q32:$Q$32)*(AJ32:AJ$32)),IF($D31="MM",100*ABS(($G31-(Data2010!U28-$H31)/$J31)),IF($D31="XX",ABS((100*$G31)-((Data2010!U28-$E31)*$F31)),"na")))</f>
        <v>25</v>
      </c>
      <c r="AK31" s="97">
        <f>IF($D31="WS",SUMPRODUCT(($C32:$C$32=$B31)*($Q32:$Q$32)*(AK32:AK$32)),IF($D31="MM",100*ABS(($G31-(Data2010!V28-$H31)/$J31)),IF($D31="XX",ABS((100*$G31)-((Data2010!V28-$E31)*$F31)),"na")))</f>
        <v>0</v>
      </c>
    </row>
    <row r="32" spans="2:37">
      <c r="B32" t="str">
        <f>tblIndicators!A27</f>
        <v>NEWSEC01</v>
      </c>
      <c r="C32" t="str">
        <f>tblIndicators!B27</f>
        <v>NEWSEC</v>
      </c>
      <c r="D32" t="str">
        <f>tblIndicators!D27</f>
        <v>XX</v>
      </c>
      <c r="E32">
        <f>tblIndicators!E27</f>
        <v>0</v>
      </c>
      <c r="F32">
        <f>tblIndicators!F27</f>
        <v>25</v>
      </c>
      <c r="G32">
        <f>tblIndicators!G27</f>
        <v>0</v>
      </c>
      <c r="H32">
        <f>MIN(Data2010!D29:V29)</f>
        <v>0</v>
      </c>
      <c r="I32">
        <f>MAX(Data2010!D29:V29)</f>
        <v>3</v>
      </c>
      <c r="J32" s="22">
        <f>I32-H32</f>
        <v>3</v>
      </c>
      <c r="K32">
        <f>MATCH(B32,Weights!C$4:C$36,0)</f>
        <v>33</v>
      </c>
      <c r="L32" s="95">
        <f>tblIndicators!S27</f>
        <v>0</v>
      </c>
      <c r="M32">
        <f>INDEX(Weights!G$4:G$36,K32)</f>
        <v>1</v>
      </c>
      <c r="N32" s="36">
        <f t="shared" si="1"/>
        <v>1</v>
      </c>
      <c r="P32" t="str">
        <f>tblIndicators!Q27</f>
        <v xml:space="preserve">   Subnational adjustment factor</v>
      </c>
      <c r="Q32" s="103">
        <f>N32</f>
        <v>1</v>
      </c>
      <c r="S32" s="38">
        <f>IF($D32="WS",SUMPRODUCT(($C$32:$C33=$B32)*($Q$32:$Q33)*(S$32:S33)),IF($D32="MM",100*ABS(($G32-(Data2010!D29-$H32)/$J32)),IF($D32="XX",ABS((100*$G32)-((Data2010!D29-$E32)*$F32)),"na")))</f>
        <v>50</v>
      </c>
      <c r="T32" s="38">
        <f>IF($D32="WS",SUMPRODUCT(($C$32:$C33=$B32)*($Q$32:$Q33)*(T$32:T33)),IF($D32="MM",100*ABS(($G32-(Data2010!E29-$H32)/$J32)),IF($D32="XX",ABS((100*$G32)-((Data2010!E29-$E32)*$F32)),"na")))</f>
        <v>75</v>
      </c>
      <c r="U32" s="38">
        <f>IF($D32="WS",SUMPRODUCT(($C$32:$C33=$B32)*($Q$32:$Q33)*(U$32:U33)),IF($D32="MM",100*ABS(($G32-(Data2010!F29-$H32)/$J32)),IF($D32="XX",ABS((100*$G32)-((Data2010!F29-$E32)*$F32)),"na")))</f>
        <v>50</v>
      </c>
      <c r="V32" s="38">
        <f>IF($D32="WS",SUMPRODUCT(($C$32:$C33=$B32)*($Q$32:$Q33)*(V$32:V33)),IF($D32="MM",100*ABS(($G32-(Data2010!G29-$H32)/$J32)),IF($D32="XX",ABS((100*$G32)-((Data2010!G29-$E32)*$F32)),"na")))</f>
        <v>50</v>
      </c>
      <c r="W32" s="38">
        <f>IF($D32="WS",SUMPRODUCT(($C$32:$C33=$B32)*($Q$32:$Q33)*(W$32:W33)),IF($D32="MM",100*ABS(($G32-(Data2010!H29-$H32)/$J32)),IF($D32="XX",ABS((100*$G32)-((Data2010!H29-$E32)*$F32)),"na")))</f>
        <v>0</v>
      </c>
      <c r="X32" s="38">
        <f>IF($D32="WS",SUMPRODUCT(($C$32:$C33=$B32)*($Q$32:$Q33)*(X$32:X33)),IF($D32="MM",100*ABS(($G32-(Data2010!I29-$H32)/$J32)),IF($D32="XX",ABS((100*$G32)-((Data2010!I29-$E32)*$F32)),"na")))</f>
        <v>25</v>
      </c>
      <c r="Y32" s="38">
        <f>IF($D32="WS",SUMPRODUCT(($C$32:$C33=$B32)*($Q$32:$Q33)*(Y$32:Y33)),IF($D32="MM",100*ABS(($G32-(Data2010!J29-$H32)/$J32)),IF($D32="XX",ABS((100*$G32)-((Data2010!J29-$E32)*$F32)),"na")))</f>
        <v>25</v>
      </c>
      <c r="Z32" s="38">
        <f>IF($D32="WS",SUMPRODUCT(($C$32:$C33=$B32)*($Q$32:$Q33)*(Z$32:Z33)),IF($D32="MM",100*ABS(($G32-(Data2010!K29-$H32)/$J32)),IF($D32="XX",ABS((100*$G32)-((Data2010!K29-$E32)*$F32)),"na")))</f>
        <v>0</v>
      </c>
      <c r="AA32" s="38">
        <f>IF($D32="WS",SUMPRODUCT(($C$32:$C33=$B32)*($Q$32:$Q33)*(AA$32:AA33)),IF($D32="MM",100*ABS(($G32-(Data2010!L29-$H32)/$J32)),IF($D32="XX",ABS((100*$G32)-((Data2010!L29-$E32)*$F32)),"na")))</f>
        <v>25</v>
      </c>
      <c r="AB32" s="38">
        <f>IF($D32="WS",SUMPRODUCT(($C$32:$C33=$B32)*($Q$32:$Q33)*(AB$32:AB33)),IF($D32="MM",100*ABS(($G32-(Data2010!M29-$H32)/$J32)),IF($D32="XX",ABS((100*$G32)-((Data2010!M29-$E32)*$F32)),"na")))</f>
        <v>0</v>
      </c>
      <c r="AC32" s="38">
        <f>IF($D32="WS",SUMPRODUCT(($C$32:$C33=$B32)*($Q$32:$Q33)*(AC$32:AC33)),IF($D32="MM",100*ABS(($G32-(Data2010!N29-$H32)/$J32)),IF($D32="XX",ABS((100*$G32)-((Data2010!N29-$E32)*$F32)),"na")))</f>
        <v>25</v>
      </c>
      <c r="AD32" s="38">
        <f>IF($D32="WS",SUMPRODUCT(($C$32:$C33=$B32)*($Q$32:$Q33)*(AD$32:AD33)),IF($D32="MM",100*ABS(($G32-(Data2010!O29-$H32)/$J32)),IF($D32="XX",ABS((100*$G32)-((Data2010!O29-$E32)*$F32)),"na")))</f>
        <v>50</v>
      </c>
      <c r="AE32" s="38">
        <f>IF($D32="WS",SUMPRODUCT(($C$32:$C33=$B32)*($Q$32:$Q33)*(AE$32:AE33)),IF($D32="MM",100*ABS(($G32-(Data2010!P29-$H32)/$J32)),IF($D32="XX",ABS((100*$G32)-((Data2010!P29-$E32)*$F32)),"na")))</f>
        <v>0</v>
      </c>
      <c r="AF32" s="38">
        <f>IF($D32="WS",SUMPRODUCT(($C$32:$C33=$B32)*($Q$32:$Q33)*(AF$32:AF33)),IF($D32="MM",100*ABS(($G32-(Data2010!Q29-$H32)/$J32)),IF($D32="XX",ABS((100*$G32)-((Data2010!Q29-$E32)*$F32)),"na")))</f>
        <v>0</v>
      </c>
      <c r="AG32" s="38">
        <f>IF($D32="WS",SUMPRODUCT(($C$32:$C33=$B32)*($Q$32:$Q33)*(AG$32:AG33)),IF($D32="MM",100*ABS(($G32-(Data2010!R29-$H32)/$J32)),IF($D32="XX",ABS((100*$G32)-((Data2010!R29-$E32)*$F32)),"na")))</f>
        <v>25</v>
      </c>
      <c r="AH32" s="38">
        <f>IF($D32="WS",SUMPRODUCT(($C$32:$C33=$B32)*($Q$32:$Q33)*(AH$32:AH33)),IF($D32="MM",100*ABS(($G32-(Data2010!S29-$H32)/$J32)),IF($D32="XX",ABS((100*$G32)-((Data2010!S29-$E32)*$F32)),"na")))</f>
        <v>50</v>
      </c>
      <c r="AI32" s="38">
        <f>IF($D32="WS",SUMPRODUCT(($C$32:$C33=$B32)*($Q$32:$Q33)*(AI$32:AI33)),IF($D32="MM",100*ABS(($G32-(Data2010!T29-$H32)/$J32)),IF($D32="XX",ABS((100*$G32)-((Data2010!T29-$E32)*$F32)),"na")))</f>
        <v>25</v>
      </c>
      <c r="AJ32" s="38">
        <f>IF($D32="WS",SUMPRODUCT(($C$32:$C33=$B32)*($Q$32:$Q33)*(AJ$32:AJ33)),IF($D32="MM",100*ABS(($G32-(Data2010!U29-$H32)/$J32)),IF($D32="XX",ABS((100*$G32)-((Data2010!U29-$E32)*$F32)),"na")))</f>
        <v>25</v>
      </c>
      <c r="AK32" s="38">
        <f>IF($D32="WS",SUMPRODUCT(($C$32:$C33=$B32)*($Q$32:$Q33)*(AK$32:AK33)),IF($D32="MM",100*ABS(($G32-(Data2010!V29-$H32)/$J32)),IF($D32="XX",ABS((100*$G32)-((Data2010!V29-$E32)*$F32)),"na")))</f>
        <v>0</v>
      </c>
    </row>
    <row r="33" spans="2:37">
      <c r="B33" t="str">
        <f>tblIndicators!A28</f>
        <v>DEPE</v>
      </c>
      <c r="C33" t="str">
        <f>tblIndicators!B28</f>
        <v>TOTL</v>
      </c>
      <c r="D33" t="str">
        <f>tblIndicators!D28</f>
        <v>WS</v>
      </c>
      <c r="E33">
        <f>tblIndicators!E28</f>
        <v>0</v>
      </c>
      <c r="F33">
        <f>tblIndicators!F28</f>
        <v>0</v>
      </c>
      <c r="G33">
        <f>tblIndicators!G28</f>
        <v>1</v>
      </c>
      <c r="H33">
        <f>MIN(Data2010!D30:V30)</f>
        <v>0</v>
      </c>
      <c r="I33">
        <f>MAX(Data2010!D30:V30)</f>
        <v>0</v>
      </c>
      <c r="J33" s="22">
        <f t="shared" ref="J33:J44" si="3">I33-H33</f>
        <v>0</v>
      </c>
      <c r="K33" t="e">
        <f>MATCH(B33,Weights!C$4:C$36,0)</f>
        <v>#N/A</v>
      </c>
      <c r="L33" s="95">
        <f>tblIndicators!S28</f>
        <v>0</v>
      </c>
      <c r="M33" t="e">
        <f>INDEX(Weights!G$4:G$36,K33)</f>
        <v>#N/A</v>
      </c>
      <c r="N33" s="36" t="e">
        <f t="shared" ref="N33:N44" si="4">M33/SUMIF(C$8:C$32,C33,M$8:M$32)</f>
        <v>#N/A</v>
      </c>
      <c r="P33" s="201" t="str">
        <f>tblIndicators!Q28</f>
        <v>DEPENDENT VARIABLES</v>
      </c>
      <c r="Q33" s="103"/>
      <c r="S33" s="38"/>
      <c r="T33" s="38"/>
      <c r="U33" s="38"/>
      <c r="V33" s="38"/>
      <c r="W33" s="38"/>
      <c r="X33" s="38"/>
      <c r="Y33" s="38"/>
      <c r="Z33" s="38"/>
      <c r="AA33" s="38"/>
      <c r="AB33" s="38"/>
      <c r="AC33" s="38"/>
      <c r="AD33" s="38"/>
      <c r="AE33" s="38"/>
      <c r="AF33" s="38"/>
      <c r="AG33" s="38"/>
      <c r="AH33" s="38"/>
      <c r="AI33" s="38"/>
      <c r="AJ33" s="38"/>
      <c r="AK33" s="38"/>
    </row>
    <row r="34" spans="2:37">
      <c r="B34" t="str">
        <f>tblIndicators!A29</f>
        <v>DEPE01</v>
      </c>
      <c r="C34" t="str">
        <f>tblIndicators!B29</f>
        <v>DEPE</v>
      </c>
      <c r="D34" t="str">
        <f>tblIndicators!D29</f>
        <v>XX</v>
      </c>
      <c r="E34">
        <f>tblIndicators!E29</f>
        <v>0</v>
      </c>
      <c r="F34">
        <f>tblIndicators!F29</f>
        <v>1</v>
      </c>
      <c r="G34">
        <f>tblIndicators!G29</f>
        <v>0</v>
      </c>
      <c r="H34">
        <f>MIN(Data2010!D31:V31)</f>
        <v>1</v>
      </c>
      <c r="I34">
        <f>MAX(Data2010!D31:V31)</f>
        <v>3</v>
      </c>
      <c r="J34" s="22">
        <f t="shared" si="3"/>
        <v>2</v>
      </c>
      <c r="K34" t="e">
        <f>MATCH(B34,Weights!C$4:C$36,0)</f>
        <v>#N/A</v>
      </c>
      <c r="L34" s="95">
        <f>tblIndicators!S29</f>
        <v>0</v>
      </c>
      <c r="M34" t="e">
        <f>INDEX(Weights!G$4:G$36,K34)</f>
        <v>#N/A</v>
      </c>
      <c r="N34" s="36" t="e">
        <f t="shared" si="4"/>
        <v>#N/A</v>
      </c>
      <c r="P34" t="str">
        <f>tblIndicators!Q29</f>
        <v xml:space="preserve">      EIU Transport and Power Infrastructure score</v>
      </c>
      <c r="Q34" s="103"/>
      <c r="S34" s="38">
        <f>IF($D34="WS",SUMPRODUCT(($C35:$C$35=$B34)*($Q35:$Q$35)*(S35:S$35)),IF($D34="MM",100*ABS(($G34-(Data2010!D31-$H34)/$J34)),IF($D34="XX",ABS((100*$G34)-((Data2010!D31-$E34)*$F34)),"na")))</f>
        <v>2</v>
      </c>
      <c r="T34" s="38">
        <f>IF($D34="WS",SUMPRODUCT(($C35:$C$35=$B34)*($Q35:$Q$35)*(T35:T$35)),IF($D34="MM",100*ABS(($G34-(Data2010!E31-$H34)/$J34)),IF($D34="XX",ABS((100*$G34)-((Data2010!E31-$E34)*$F34)),"na")))</f>
        <v>2.8</v>
      </c>
      <c r="U34" s="38">
        <f>IF($D34="WS",SUMPRODUCT(($C35:$C$35=$B34)*($Q35:$Q$35)*(U35:U$35)),IF($D34="MM",100*ABS(($G34-(Data2010!F31-$H34)/$J34)),IF($D34="XX",ABS((100*$G34)-((Data2010!F31-$E34)*$F34)),"na")))</f>
        <v>1.2</v>
      </c>
      <c r="V34" s="38">
        <f>IF($D34="WS",SUMPRODUCT(($C35:$C$35=$B34)*($Q35:$Q$35)*(V35:V$35)),IF($D34="MM",100*ABS(($G34-(Data2010!G31-$H34)/$J34)),IF($D34="XX",ABS((100*$G34)-((Data2010!G31-$E34)*$F34)),"na")))</f>
        <v>2.4</v>
      </c>
      <c r="W34" s="38">
        <f>IF($D34="WS",SUMPRODUCT(($C35:$C$35=$B34)*($Q35:$Q$35)*(W35:W$35)),IF($D34="MM",100*ABS(($G34-(Data2010!H31-$H34)/$J34)),IF($D34="XX",ABS((100*$G34)-((Data2010!H31-$E34)*$F34)),"na")))</f>
        <v>2.6</v>
      </c>
      <c r="X34" s="38">
        <f>IF($D34="WS",SUMPRODUCT(($C35:$C$35=$B34)*($Q35:$Q$35)*(X35:X$35)),IF($D34="MM",100*ABS(($G34-(Data2010!I31-$H34)/$J34)),IF($D34="XX",ABS((100*$G34)-((Data2010!I31-$E34)*$F34)),"na")))</f>
        <v>3</v>
      </c>
      <c r="Y34" s="38">
        <f>IF($D34="WS",SUMPRODUCT(($C35:$C$35=$B34)*($Q35:$Q$35)*(Y35:Y$35)),IF($D34="MM",100*ABS(($G34-(Data2010!J31-$H34)/$J34)),IF($D34="XX",ABS((100*$G34)-((Data2010!J31-$E34)*$F34)),"na")))</f>
        <v>3</v>
      </c>
      <c r="Z34" s="38">
        <f>IF($D34="WS",SUMPRODUCT(($C35:$C$35=$B34)*($Q35:$Q$35)*(Z35:Z$35)),IF($D34="MM",100*ABS(($G34-(Data2010!K31-$H34)/$J34)),IF($D34="XX",ABS((100*$G34)-((Data2010!K31-$E34)*$F34)),"na")))</f>
        <v>2.4</v>
      </c>
      <c r="AA34" s="38">
        <f>IF($D34="WS",SUMPRODUCT(($C35:$C$35=$B34)*($Q35:$Q$35)*(AA35:AA$35)),IF($D34="MM",100*ABS(($G34-(Data2010!L31-$H34)/$J34)),IF($D34="XX",ABS((100*$G34)-((Data2010!L31-$E34)*$F34)),"na")))</f>
        <v>2.6</v>
      </c>
      <c r="AB34" s="38">
        <f>IF($D34="WS",SUMPRODUCT(($C35:$C$35=$B34)*($Q35:$Q$35)*(AB35:AB$35)),IF($D34="MM",100*ABS(($G34-(Data2010!M31-$H34)/$J34)),IF($D34="XX",ABS((100*$G34)-((Data2010!M31-$E34)*$F34)),"na")))</f>
        <v>2.8</v>
      </c>
      <c r="AC34" s="38">
        <f>IF($D34="WS",SUMPRODUCT(($C35:$C$35=$B34)*($Q35:$Q$35)*(AC35:AC$35)),IF($D34="MM",100*ABS(($G34-(Data2010!N31-$H34)/$J34)),IF($D34="XX",ABS((100*$G34)-((Data2010!N31-$E34)*$F34)),"na")))</f>
        <v>1.4</v>
      </c>
      <c r="AD34" s="38">
        <f>IF($D34="WS",SUMPRODUCT(($C35:$C$35=$B34)*($Q35:$Q$35)*(AD35:AD$35)),IF($D34="MM",100*ABS(($G34-(Data2010!O31-$H34)/$J34)),IF($D34="XX",ABS((100*$G34)-((Data2010!O31-$E34)*$F34)),"na")))</f>
        <v>1.6</v>
      </c>
      <c r="AE34" s="38">
        <f>IF($D34="WS",SUMPRODUCT(($C35:$C$35=$B34)*($Q35:$Q$35)*(AE35:AE$35)),IF($D34="MM",100*ABS(($G34-(Data2010!P31-$H34)/$J34)),IF($D34="XX",ABS((100*$G34)-((Data2010!P31-$E34)*$F34)),"na")))</f>
        <v>3</v>
      </c>
      <c r="AF34" s="38">
        <f>IF($D34="WS",SUMPRODUCT(($C35:$C$35=$B34)*($Q35:$Q$35)*(AF35:AF$35)),IF($D34="MM",100*ABS(($G34-(Data2010!Q31-$H34)/$J34)),IF($D34="XX",ABS((100*$G34)-((Data2010!Q31-$E34)*$F34)),"na")))</f>
        <v>1</v>
      </c>
      <c r="AG34" s="38">
        <f>IF($D34="WS",SUMPRODUCT(($C35:$C$35=$B34)*($Q35:$Q$35)*(AG35:AG$35)),IF($D34="MM",100*ABS(($G34-(Data2010!R31-$H34)/$J34)),IF($D34="XX",ABS((100*$G34)-((Data2010!R31-$E34)*$F34)),"na")))</f>
        <v>2.8</v>
      </c>
      <c r="AH34" s="38">
        <f>IF($D34="WS",SUMPRODUCT(($C35:$C$35=$B34)*($Q35:$Q$35)*(AH35:AH$35)),IF($D34="MM",100*ABS(($G34-(Data2010!S31-$H34)/$J34)),IF($D34="XX",ABS((100*$G34)-((Data2010!S31-$E34)*$F34)),"na")))</f>
        <v>2</v>
      </c>
      <c r="AI34" s="38">
        <f>IF($D34="WS",SUMPRODUCT(($C35:$C$35=$B34)*($Q35:$Q$35)*(AI35:AI$35)),IF($D34="MM",100*ABS(($G34-(Data2010!T31-$H34)/$J34)),IF($D34="XX",ABS((100*$G34)-((Data2010!T31-$E34)*$F34)),"na")))</f>
        <v>2.2000000000000002</v>
      </c>
      <c r="AJ34" s="38">
        <f>IF($D34="WS",SUMPRODUCT(($C35:$C$35=$B34)*($Q35:$Q$35)*(AJ35:AJ$35)),IF($D34="MM",100*ABS(($G34-(Data2010!U31-$H34)/$J34)),IF($D34="XX",ABS((100*$G34)-((Data2010!U31-$E34)*$F34)),"na")))</f>
        <v>2</v>
      </c>
      <c r="AK34" s="38">
        <f>IF($D34="WS",SUMPRODUCT(($C35:$C$35=$B34)*($Q35:$Q$35)*(AK35:AK$35)),IF($D34="MM",100*ABS(($G34-(Data2010!V31-$H34)/$J34)),IF($D34="XX",ABS((100*$G34)-((Data2010!V31-$E34)*$F34)),"na")))</f>
        <v>2.8</v>
      </c>
    </row>
    <row r="35" spans="2:37">
      <c r="B35" t="str">
        <f>tblIndicators!A30</f>
        <v>DEPE02</v>
      </c>
      <c r="C35" t="str">
        <f>tblIndicators!B30</f>
        <v>DEPE</v>
      </c>
      <c r="D35" t="str">
        <f>tblIndicators!D30</f>
        <v>XX</v>
      </c>
      <c r="E35">
        <f>tblIndicators!E30</f>
        <v>0</v>
      </c>
      <c r="F35">
        <f>tblIndicators!F30</f>
        <v>1</v>
      </c>
      <c r="G35">
        <f>tblIndicators!G30</f>
        <v>0</v>
      </c>
      <c r="H35">
        <f>MIN(Data2010!D32:V32)</f>
        <v>2.2250000000000001</v>
      </c>
      <c r="I35">
        <f>MAX(Data2010!D32:V32)</f>
        <v>4.8250000000000002</v>
      </c>
      <c r="J35" s="22">
        <f t="shared" si="3"/>
        <v>2.6</v>
      </c>
      <c r="K35" t="e">
        <f>MATCH(B35,Weights!C$4:C$36,0)</f>
        <v>#N/A</v>
      </c>
      <c r="L35" s="95">
        <f>tblIndicators!S30</f>
        <v>0</v>
      </c>
      <c r="M35" t="e">
        <f>INDEX(Weights!G$4:G$36,K35)</f>
        <v>#N/A</v>
      </c>
      <c r="N35" s="36" t="e">
        <f t="shared" si="4"/>
        <v>#N/A</v>
      </c>
      <c r="P35" t="str">
        <f>tblIndicators!Q30</f>
        <v xml:space="preserve">      WEF Transport Infrastructure score</v>
      </c>
      <c r="Q35" s="103"/>
      <c r="S35" s="38">
        <f>IF($D35="WS",SUMPRODUCT(($C$35:$C36=$B35)*($Q$35:$Q36)*(S$35:S36)),IF($D35="MM",100*ABS(($G35-(Data2010!D32-$H35)/$J35)),IF($D35="XX",ABS((100*$G35)-((Data2010!D32-$E35)*$F35)),"na")))</f>
        <v>3.05</v>
      </c>
      <c r="T35" s="38">
        <f>IF($D35="WS",SUMPRODUCT(($C$35:$C36=$B35)*($Q$35:$Q36)*(T$35:T36)),IF($D35="MM",100*ABS(($G35-(Data2010!E32-$H35)/$J35)),IF($D35="XX",ABS((100*$G35)-((Data2010!E32-$E35)*$F35)),"na")))</f>
        <v>2.8250000000000002</v>
      </c>
      <c r="U35" s="38">
        <f>IF($D35="WS",SUMPRODUCT(($C$35:$C36=$B35)*($Q$35:$Q36)*(U$35:U36)),IF($D35="MM",100*ABS(($G35-(Data2010!F32-$H35)/$J35)),IF($D35="XX",ABS((100*$G35)-((Data2010!F32-$E35)*$F35)),"na")))</f>
        <v>4.8250000000000002</v>
      </c>
      <c r="V35" s="38">
        <f>IF($D35="WS",SUMPRODUCT(($C$35:$C36=$B35)*($Q$35:$Q36)*(V$35:V36)),IF($D35="MM",100*ABS(($G35-(Data2010!G32-$H35)/$J35)),IF($D35="XX",ABS((100*$G35)-((Data2010!G32-$E35)*$F35)),"na")))</f>
        <v>2.95</v>
      </c>
      <c r="W35" s="38">
        <f>IF($D35="WS",SUMPRODUCT(($C$35:$C36=$B35)*($Q$35:$Q36)*(W$35:W36)),IF($D35="MM",100*ABS(($G35-(Data2010!H32-$H35)/$J35)),IF($D35="XX",ABS((100*$G35)-((Data2010!H32-$E35)*$F35)),"na")))</f>
        <v>2.8</v>
      </c>
      <c r="X35" s="38">
        <f>IF($D35="WS",SUMPRODUCT(($C$35:$C36=$B35)*($Q$35:$Q36)*(X$35:X36)),IF($D35="MM",100*ABS(($G35-(Data2010!I32-$H35)/$J35)),IF($D35="XX",ABS((100*$G35)-((Data2010!I32-$E35)*$F35)),"na")))</f>
        <v>3.7250000000000001</v>
      </c>
      <c r="Y35" s="38">
        <f>IF($D35="WS",SUMPRODUCT(($C$35:$C36=$B35)*($Q$35:$Q36)*(Y$35:Y36)),IF($D35="MM",100*ABS(($G35-(Data2010!J32-$H35)/$J35)),IF($D35="XX",ABS((100*$G35)-((Data2010!J32-$E35)*$F35)),"na")))</f>
        <v>2.9249999999999998</v>
      </c>
      <c r="Z35" s="38">
        <f>IF($D35="WS",SUMPRODUCT(($C$35:$C36=$B35)*($Q$35:$Q36)*(Z$35:Z36)),IF($D35="MM",100*ABS(($G35-(Data2010!K32-$H35)/$J35)),IF($D35="XX",ABS((100*$G35)-((Data2010!K32-$E35)*$F35)),"na")))</f>
        <v>4.125</v>
      </c>
      <c r="AA35" s="38">
        <f>IF($D35="WS",SUMPRODUCT(($C$35:$C36=$B35)*($Q$35:$Q36)*(AA$35:AA36)),IF($D35="MM",100*ABS(($G35-(Data2010!L32-$H35)/$J35)),IF($D35="XX",ABS((100*$G35)-((Data2010!L32-$E35)*$F35)),"na")))</f>
        <v>3.6749999999999998</v>
      </c>
      <c r="AB35" s="38">
        <f>IF($D35="WS",SUMPRODUCT(($C$35:$C36=$B35)*($Q$35:$Q36)*(AB$35:AB36)),IF($D35="MM",100*ABS(($G35-(Data2010!M32-$H35)/$J35)),IF($D35="XX",ABS((100*$G35)-((Data2010!M32-$E35)*$F35)),"na")))</f>
        <v>3.6749999999999998</v>
      </c>
      <c r="AC35" s="38">
        <f>IF($D35="WS",SUMPRODUCT(($C$35:$C36=$B35)*($Q$35:$Q36)*(AC$35:AC36)),IF($D35="MM",100*ABS(($G35-(Data2010!N32-$H35)/$J35)),IF($D35="XX",ABS((100*$G35)-((Data2010!N32-$E35)*$F35)),"na")))</f>
        <v>3.9249999999999998</v>
      </c>
      <c r="AD35" s="38">
        <f>IF($D35="WS",SUMPRODUCT(($C$35:$C36=$B35)*($Q$35:$Q36)*(AD$35:AD36)),IF($D35="MM",100*ABS(($G35-(Data2010!O32-$H35)/$J35)),IF($D35="XX",ABS((100*$G35)-((Data2010!O32-$E35)*$F35)),"na")))</f>
        <v>3.7250000000000001</v>
      </c>
      <c r="AE35" s="38">
        <f>IF($D35="WS",SUMPRODUCT(($C$35:$C36=$B35)*($Q$35:$Q36)*(AE$35:AE36)),IF($D35="MM",100*ABS(($G35-(Data2010!P32-$H35)/$J35)),IF($D35="XX",ABS((100*$G35)-((Data2010!P32-$E35)*$F35)),"na")))</f>
        <v>2.8250000000000002</v>
      </c>
      <c r="AF35" s="38">
        <f>IF($D35="WS",SUMPRODUCT(($C$35:$C36=$B35)*($Q$35:$Q36)*(AF$35:AF36)),IF($D35="MM",100*ABS(($G35-(Data2010!Q32-$H35)/$J35)),IF($D35="XX",ABS((100*$G35)-((Data2010!Q32-$E35)*$F35)),"na")))</f>
        <v>4.375</v>
      </c>
      <c r="AG35" s="38">
        <f>IF($D35="WS",SUMPRODUCT(($C$35:$C36=$B35)*($Q$35:$Q36)*(AG$35:AG36)),IF($D35="MM",100*ABS(($G35-(Data2010!R32-$H35)/$J35)),IF($D35="XX",ABS((100*$G35)-((Data2010!R32-$E35)*$F35)),"na")))</f>
        <v>2.2250000000000001</v>
      </c>
      <c r="AH35" s="38">
        <f>IF($D35="WS",SUMPRODUCT(($C$35:$C36=$B35)*($Q$35:$Q36)*(AH$35:AH36)),IF($D35="MM",100*ABS(($G35-(Data2010!S32-$H35)/$J35)),IF($D35="XX",ABS((100*$G35)-((Data2010!S32-$E35)*$F35)),"na")))</f>
        <v>2.875</v>
      </c>
      <c r="AI35" s="38">
        <f>IF($D35="WS",SUMPRODUCT(($C$35:$C36=$B35)*($Q$35:$Q36)*(AI$35:AI36)),IF($D35="MM",100*ABS(($G35-(Data2010!T32-$H35)/$J35)),IF($D35="XX",ABS((100*$G35)-((Data2010!T32-$E35)*$F35)),"na")))</f>
        <v>4.4000000000000004</v>
      </c>
      <c r="AJ35" s="38">
        <f>IF($D35="WS",SUMPRODUCT(($C$35:$C36=$B35)*($Q$35:$Q36)*(AJ$35:AJ36)),IF($D35="MM",100*ABS(($G35-(Data2010!U32-$H35)/$J35)),IF($D35="XX",ABS((100*$G35)-((Data2010!U32-$E35)*$F35)),"na")))</f>
        <v>3.6</v>
      </c>
      <c r="AK35" s="38">
        <f>IF($D35="WS",SUMPRODUCT(($C$35:$C36=$B35)*($Q$35:$Q36)*(AK$35:AK36)),IF($D35="MM",100*ABS(($G35-(Data2010!V32-$H35)/$J35)),IF($D35="XX",ABS((100*$G35)-((Data2010!V32-$E35)*$F35)),"na")))</f>
        <v>2.65</v>
      </c>
    </row>
    <row r="36" spans="2:37">
      <c r="B36" t="str">
        <f>tblIndicators!A31</f>
        <v>DEPE03</v>
      </c>
      <c r="C36" t="str">
        <f>tblIndicators!B31</f>
        <v>DEPE</v>
      </c>
      <c r="D36" t="str">
        <f>tblIndicators!D31</f>
        <v>XX</v>
      </c>
      <c r="E36">
        <f>tblIndicators!E31</f>
        <v>0</v>
      </c>
      <c r="F36">
        <f>tblIndicators!F31</f>
        <v>1</v>
      </c>
      <c r="G36">
        <f>tblIndicators!G31</f>
        <v>0</v>
      </c>
      <c r="H36">
        <f>MIN(Data2010!D33:V33)</f>
        <v>13.707642213597101</v>
      </c>
      <c r="I36">
        <f>MAX(Data2010!D33:V33)</f>
        <v>97.721618936660704</v>
      </c>
      <c r="J36" s="22">
        <f t="shared" si="3"/>
        <v>84.013976723063607</v>
      </c>
      <c r="K36" t="e">
        <f>MATCH(B36,Weights!C$4:C$36,0)</f>
        <v>#N/A</v>
      </c>
      <c r="L36" s="95">
        <f>tblIndicators!S31</f>
        <v>0</v>
      </c>
      <c r="M36" t="e">
        <f>INDEX(Weights!G$4:G$36,K36)</f>
        <v>#N/A</v>
      </c>
      <c r="N36" s="36" t="e">
        <f t="shared" si="4"/>
        <v>#N/A</v>
      </c>
      <c r="P36" t="str">
        <f>tblIndicators!Q31</f>
        <v xml:space="preserve">      Domestic credit to private sector, 2008</v>
      </c>
      <c r="Q36" s="103"/>
      <c r="S36" s="38">
        <f>IF($D36="WS",SUMPRODUCT(($C$35:$C37=$B36)*($Q$35:$Q37)*(S$35:S37)),IF($D36="MM",100*ABS(($G36-(Data2010!D33-$H36)/$J36)),IF($D36="XX",ABS((100*$G36)-((Data2010!D33-$E36)*$F36)),"na")))</f>
        <v>13.707642213597101</v>
      </c>
      <c r="T36" s="38">
        <f>IF($D36="WS",SUMPRODUCT(($C$35:$C37=$B36)*($Q$35:$Q37)*(T$35:T37)),IF($D36="MM",100*ABS(($G36-(Data2010!E33-$H36)/$J36)),IF($D36="XX",ABS((100*$G36)-((Data2010!E33-$E36)*$F36)),"na")))</f>
        <v>55.713786444881002</v>
      </c>
      <c r="U36" s="38">
        <f>IF($D36="WS",SUMPRODUCT(($C$35:$C37=$B36)*($Q$35:$Q37)*(U$35:U37)),IF($D36="MM",100*ABS(($G36-(Data2010!F33-$H36)/$J36)),IF($D36="XX",ABS((100*$G36)-((Data2010!F33-$E36)*$F36)),"na")))</f>
        <v>97.721618936660704</v>
      </c>
      <c r="V36" s="38">
        <f>IF($D36="WS",SUMPRODUCT(($C$35:$C37=$B36)*($Q$35:$Q37)*(V$35:V37)),IF($D36="MM",100*ABS(($G36-(Data2010!G33-$H36)/$J36)),IF($D36="XX",ABS((100*$G36)-((Data2010!G33-$E36)*$F36)),"na")))</f>
        <v>34.163950063127899</v>
      </c>
      <c r="W36" s="38">
        <f>IF($D36="WS",SUMPRODUCT(($C$35:$C37=$B36)*($Q$35:$Q37)*(W$35:W37)),IF($D36="MM",100*ABS(($G36-(Data2010!H33-$H36)/$J36)),IF($D36="XX",ABS((100*$G36)-((Data2010!H33-$E36)*$F36)),"na")))</f>
        <v>50.7603886103308</v>
      </c>
      <c r="X36" s="38">
        <f>IF($D36="WS",SUMPRODUCT(($C$35:$C37=$B36)*($Q$35:$Q37)*(X$35:X37)),IF($D36="MM",100*ABS(($G36-(Data2010!I33-$H36)/$J36)),IF($D36="XX",ABS((100*$G36)-((Data2010!I33-$E36)*$F36)),"na")))</f>
        <v>20.9188743081959</v>
      </c>
      <c r="Y36" s="38">
        <f>IF($D36="WS",SUMPRODUCT(($C$35:$C37=$B36)*($Q$35:$Q37)*(Y$35:Y37)),IF($D36="MM",100*ABS(($G36-(Data2010!J33-$H36)/$J36)),IF($D36="XX",ABS((100*$G36)-((Data2010!J33-$E36)*$F36)),"na")))</f>
        <v>26.074243916816499</v>
      </c>
      <c r="Z36" s="38">
        <f>IF($D36="WS",SUMPRODUCT(($C$35:$C37=$B36)*($Q$35:$Q37)*(Z$35:Z37)),IF($D36="MM",100*ABS(($G36-(Data2010!K33-$H36)/$J36)),IF($D36="XX",ABS((100*$G36)-((Data2010!K33-$E36)*$F36)),"na")))</f>
        <v>41.303938786457799</v>
      </c>
      <c r="AA36" s="38">
        <f>IF($D36="WS",SUMPRODUCT(($C$35:$C37=$B36)*($Q$35:$Q37)*(AA$35:AA37)),IF($D36="MM",100*ABS(($G36-(Data2010!L33-$H36)/$J36)),IF($D36="XX",ABS((100*$G36)-((Data2010!L33-$E36)*$F36)),"na")))</f>
        <v>27.196099316182199</v>
      </c>
      <c r="AB36" s="38">
        <f>IF($D36="WS",SUMPRODUCT(($C$35:$C37=$B36)*($Q$35:$Q37)*(AB$35:AB37)),IF($D36="MM",100*ABS(($G36-(Data2010!M33-$H36)/$J36)),IF($D36="XX",ABS((100*$G36)-((Data2010!M33-$E36)*$F36)),"na")))</f>
        <v>51.408932297973301</v>
      </c>
      <c r="AC36" s="38">
        <f>IF($D36="WS",SUMPRODUCT(($C$35:$C37=$B36)*($Q$35:$Q37)*(AC$35:AC37)),IF($D36="MM",100*ABS(($G36-(Data2010!N33-$H36)/$J36)),IF($D36="XX",ABS((100*$G36)-((Data2010!N33-$E36)*$F36)),"na")))</f>
        <v>28.322047619428901</v>
      </c>
      <c r="AD36" s="38">
        <f>IF($D36="WS",SUMPRODUCT(($C$35:$C37=$B36)*($Q$35:$Q37)*(AD$35:AD37)),IF($D36="MM",100*ABS(($G36-(Data2010!O33-$H36)/$J36)),IF($D36="XX",ABS((100*$G36)-((Data2010!O33-$E36)*$F36)),"na")))</f>
        <v>21.086578332133602</v>
      </c>
      <c r="AE36" s="38">
        <f>IF($D36="WS",SUMPRODUCT(($C$35:$C37=$B36)*($Q$35:$Q37)*(AE$35:AE37)),IF($D36="MM",100*ABS(($G36-(Data2010!P33-$H36)/$J36)),IF($D36="XX",ABS((100*$G36)-((Data2010!P33-$E36)*$F36)),"na")))</f>
        <v>36.358726040852503</v>
      </c>
      <c r="AF36" s="38">
        <f>IF($D36="WS",SUMPRODUCT(($C$35:$C37=$B36)*($Q$35:$Q37)*(AF$35:AF37)),IF($D36="MM",100*ABS(($G36-(Data2010!Q33-$H36)/$J36)),IF($D36="XX",ABS((100*$G36)-((Data2010!Q33-$E36)*$F36)),"na")))</f>
        <v>89.747834739993706</v>
      </c>
      <c r="AG36" s="38">
        <f>IF($D36="WS",SUMPRODUCT(($C$35:$C37=$B36)*($Q$35:$Q37)*(AG$35:AG37)),IF($D36="MM",100*ABS(($G36-(Data2010!R33-$H36)/$J36)),IF($D36="XX",ABS((100*$G36)-((Data2010!R33-$E36)*$F36)),"na")))</f>
        <v>24.4953277914267</v>
      </c>
      <c r="AH36" s="38">
        <f>IF($D36="WS",SUMPRODUCT(($C$35:$C37=$B36)*($Q$35:$Q37)*(AH$35:AH37)),IF($D36="MM",100*ABS(($G36-(Data2010!S33-$H36)/$J36)),IF($D36="XX",ABS((100*$G36)-((Data2010!S33-$E36)*$F36)),"na")))</f>
        <v>24.763543348940999</v>
      </c>
      <c r="AI36" s="38">
        <f>IF($D36="WS",SUMPRODUCT(($C$35:$C37=$B36)*($Q$35:$Q37)*(AI$35:AI37)),IF($D36="MM",100*ABS(($G36-(Data2010!T33-$H36)/$J36)),IF($D36="XX",ABS((100*$G36)-((Data2010!T33-$E36)*$F36)),"na")))</f>
        <v>28.940796186048502</v>
      </c>
      <c r="AJ36" s="38">
        <f>IF($D36="WS",SUMPRODUCT(($C$35:$C37=$B36)*($Q$35:$Q37)*(AJ$35:AJ37)),IF($D36="MM",100*ABS(($G36-(Data2010!U33-$H36)/$J36)),IF($D36="XX",ABS((100*$G36)-((Data2010!U33-$E36)*$F36)),"na")))</f>
        <v>26.269399728517801</v>
      </c>
      <c r="AK36" s="38">
        <f>IF($D36="WS",SUMPRODUCT(($C$35:$C37=$B36)*($Q$35:$Q37)*(AK$35:AK37)),IF($D36="MM",100*ABS(($G36-(Data2010!V33-$H36)/$J36)),IF($D36="XX",ABS((100*$G36)-((Data2010!V33-$E36)*$F36)),"na")))</f>
        <v>21.515149703311899</v>
      </c>
    </row>
    <row r="37" spans="2:37">
      <c r="B37" t="str">
        <f>tblIndicators!A32</f>
        <v>DEPE04</v>
      </c>
      <c r="C37" t="str">
        <f>tblIndicators!B32</f>
        <v>DEPE</v>
      </c>
      <c r="D37" t="str">
        <f>tblIndicators!D32</f>
        <v>XX</v>
      </c>
      <c r="E37">
        <f>tblIndicators!E32</f>
        <v>0</v>
      </c>
      <c r="F37">
        <f>tblIndicators!F32</f>
        <v>1</v>
      </c>
      <c r="G37">
        <f>tblIndicators!G32</f>
        <v>0</v>
      </c>
      <c r="H37">
        <f>MIN(Data2010!D34:V34)</f>
        <v>37</v>
      </c>
      <c r="I37">
        <f>MAX(Data2010!D34:V34)</f>
        <v>177</v>
      </c>
      <c r="J37" s="22">
        <f t="shared" si="3"/>
        <v>140</v>
      </c>
      <c r="K37" t="e">
        <f>MATCH(B37,Weights!C$4:C$36,0)</f>
        <v>#N/A</v>
      </c>
      <c r="L37" s="95">
        <f>tblIndicators!S32</f>
        <v>0</v>
      </c>
      <c r="M37" t="e">
        <f>INDEX(Weights!G$4:G$36,K37)</f>
        <v>#N/A</v>
      </c>
      <c r="N37" s="36" t="e">
        <f t="shared" si="4"/>
        <v>#N/A</v>
      </c>
      <c r="P37" t="str">
        <f>tblIndicators!Q32</f>
        <v xml:space="preserve">      Ease of doing business rank</v>
      </c>
      <c r="Q37" s="103"/>
      <c r="S37" s="38">
        <f>IF($D37="WS",SUMPRODUCT(($C$35:$C38=$B37)*($Q$35:$Q38)*(S$35:S38)),IF($D37="MM",100*ABS(($G37-(Data2010!D34-$H37)/$J37)),IF($D37="XX",ABS((100*$G37)-((Data2010!D34-$E37)*$F37)),"na")))</f>
        <v>118</v>
      </c>
      <c r="T37" s="38">
        <f>IF($D37="WS",SUMPRODUCT(($C$35:$C38=$B37)*($Q$35:$Q38)*(T$35:T38)),IF($D37="MM",100*ABS(($G37-(Data2010!E34-$H37)/$J37)),IF($D37="XX",ABS((100*$G37)-((Data2010!E34-$E37)*$F37)),"na")))</f>
        <v>129</v>
      </c>
      <c r="U37" s="38">
        <f>IF($D37="WS",SUMPRODUCT(($C$35:$C38=$B37)*($Q$35:$Q38)*(U$35:U38)),IF($D37="MM",100*ABS(($G37-(Data2010!F34-$H37)/$J37)),IF($D37="XX",ABS((100*$G37)-((Data2010!F34-$E37)*$F37)),"na")))</f>
        <v>49</v>
      </c>
      <c r="V37" s="38">
        <f>IF($D37="WS",SUMPRODUCT(($C$35:$C38=$B37)*($Q$35:$Q38)*(V$35:V38)),IF($D37="MM",100*ABS(($G37-(Data2010!G34-$H37)/$J37)),IF($D37="XX",ABS((100*$G37)-((Data2010!G34-$E37)*$F37)),"na")))</f>
        <v>37</v>
      </c>
      <c r="W37" s="38">
        <f>IF($D37="WS",SUMPRODUCT(($C$35:$C38=$B37)*($Q$35:$Q38)*(W$35:W38)),IF($D37="MM",100*ABS(($G37-(Data2010!H34-$H37)/$J37)),IF($D37="XX",ABS((100*$G37)-((Data2010!H34-$E37)*$F37)),"na")))</f>
        <v>121</v>
      </c>
      <c r="X37" s="38">
        <f>IF($D37="WS",SUMPRODUCT(($C$35:$C38=$B37)*($Q$35:$Q38)*(X$35:X38)),IF($D37="MM",100*ABS(($G37-(Data2010!I34-$H37)/$J37)),IF($D37="XX",ABS((100*$G37)-((Data2010!I34-$E37)*$F37)),"na")))</f>
        <v>86</v>
      </c>
      <c r="Y37" s="38">
        <f>IF($D37="WS",SUMPRODUCT(($C$35:$C38=$B37)*($Q$35:$Q38)*(Y$35:Y38)),IF($D37="MM",100*ABS(($G37-(Data2010!J34-$H37)/$J37)),IF($D37="XX",ABS((100*$G37)-((Data2010!J34-$E37)*$F37)),"na")))</f>
        <v>138</v>
      </c>
      <c r="Z37" s="38">
        <f>IF($D37="WS",SUMPRODUCT(($C$35:$C38=$B37)*($Q$35:$Q38)*(Z$35:Z38)),IF($D37="MM",100*ABS(($G37-(Data2010!K34-$H37)/$J37)),IF($D37="XX",ABS((100*$G37)-((Data2010!K34-$E37)*$F37)),"na")))</f>
        <v>84</v>
      </c>
      <c r="AA37" s="38">
        <f>IF($D37="WS",SUMPRODUCT(($C$35:$C38=$B37)*($Q$35:$Q38)*(AA$35:AA38)),IF($D37="MM",100*ABS(($G37-(Data2010!L34-$H37)/$J37)),IF($D37="XX",ABS((100*$G37)-((Data2010!L34-$E37)*$F37)),"na")))</f>
        <v>110</v>
      </c>
      <c r="AB37" s="38">
        <f>IF($D37="WS",SUMPRODUCT(($C$35:$C38=$B37)*($Q$35:$Q38)*(AB$35:AB38)),IF($D37="MM",100*ABS(($G37-(Data2010!M34-$H37)/$J37)),IF($D37="XX",ABS((100*$G37)-((Data2010!M34-$E37)*$F37)),"na")))</f>
        <v>141</v>
      </c>
      <c r="AC37" s="38">
        <f>IF($D37="WS",SUMPRODUCT(($C$35:$C38=$B37)*($Q$35:$Q38)*(AC$35:AC38)),IF($D37="MM",100*ABS(($G37-(Data2010!N34-$H37)/$J37)),IF($D37="XX",ABS((100*$G37)-((Data2010!N34-$E37)*$F37)),"na")))</f>
        <v>75</v>
      </c>
      <c r="AD37" s="38">
        <f>IF($D37="WS",SUMPRODUCT(($C$35:$C38=$B37)*($Q$35:$Q38)*(AD$35:AD38)),IF($D37="MM",100*ABS(($G37-(Data2010!O34-$H37)/$J37)),IF($D37="XX",ABS((100*$G37)-((Data2010!O34-$E37)*$F37)),"na")))</f>
        <v>51</v>
      </c>
      <c r="AE37" s="38">
        <f>IF($D37="WS",SUMPRODUCT(($C$35:$C38=$B37)*($Q$35:$Q38)*(AE$35:AE38)),IF($D37="MM",100*ABS(($G37-(Data2010!P34-$H37)/$J37)),IF($D37="XX",ABS((100*$G37)-((Data2010!P34-$E37)*$F37)),"na")))</f>
        <v>117</v>
      </c>
      <c r="AF37" s="38">
        <f>IF($D37="WS",SUMPRODUCT(($C$35:$C38=$B37)*($Q$35:$Q38)*(AF$35:AF38)),IF($D37="MM",100*ABS(($G37-(Data2010!Q34-$H37)/$J37)),IF($D37="XX",ABS((100*$G37)-((Data2010!Q34-$E37)*$F37)),"na")))</f>
        <v>77</v>
      </c>
      <c r="AG37" s="38">
        <f>IF($D37="WS",SUMPRODUCT(($C$35:$C38=$B37)*($Q$35:$Q38)*(AG$35:AG38)),IF($D37="MM",100*ABS(($G37-(Data2010!R34-$H37)/$J37)),IF($D37="XX",ABS((100*$G37)-((Data2010!R34-$E37)*$F37)),"na")))</f>
        <v>124</v>
      </c>
      <c r="AH37" s="38">
        <f>IF($D37="WS",SUMPRODUCT(($C$35:$C38=$B37)*($Q$35:$Q38)*(AH$35:AH38)),IF($D37="MM",100*ABS(($G37-(Data2010!S34-$H37)/$J37)),IF($D37="XX",ABS((100*$G37)-((Data2010!S34-$E37)*$F37)),"na")))</f>
        <v>56</v>
      </c>
      <c r="AI37" s="38">
        <f>IF($D37="WS",SUMPRODUCT(($C$35:$C38=$B37)*($Q$35:$Q38)*(AI$35:AI38)),IF($D37="MM",100*ABS(($G37-(Data2010!T34-$H37)/$J37)),IF($D37="XX",ABS((100*$G37)-((Data2010!T34-$E37)*$F37)),"na")))</f>
        <v>81</v>
      </c>
      <c r="AJ37" s="38">
        <f>IF($D37="WS",SUMPRODUCT(($C$35:$C38=$B37)*($Q$35:$Q38)*(AJ$35:AJ38)),IF($D37="MM",100*ABS(($G37-(Data2010!U34-$H37)/$J37)),IF($D37="XX",ABS((100*$G37)-((Data2010!U34-$E37)*$F37)),"na")))</f>
        <v>114</v>
      </c>
      <c r="AK37" s="38">
        <f>IF($D37="WS",SUMPRODUCT(($C$35:$C38=$B37)*($Q$35:$Q38)*(AK$35:AK38)),IF($D37="MM",100*ABS(($G37-(Data2010!V34-$H37)/$J37)),IF($D37="XX",ABS((100*$G37)-((Data2010!V34-$E37)*$F37)),"na")))</f>
        <v>177</v>
      </c>
    </row>
    <row r="38" spans="2:37">
      <c r="B38" t="str">
        <f>tblIndicators!A33</f>
        <v>DEPE05</v>
      </c>
      <c r="C38" t="str">
        <f>tblIndicators!B33</f>
        <v>DEPE</v>
      </c>
      <c r="D38" t="str">
        <f>tblIndicators!D33</f>
        <v>XX</v>
      </c>
      <c r="E38">
        <f>tblIndicators!E33</f>
        <v>0</v>
      </c>
      <c r="F38">
        <f>tblIndicators!F33</f>
        <v>1</v>
      </c>
      <c r="G38">
        <f>tblIndicators!G33</f>
        <v>0</v>
      </c>
      <c r="H38">
        <f>MIN(Data2010!D35:V35)</f>
        <v>6.149</v>
      </c>
      <c r="I38">
        <f>MAX(Data2010!D35:V35)</f>
        <v>1573.4087</v>
      </c>
      <c r="J38" s="22">
        <f t="shared" si="3"/>
        <v>1567.2597000000001</v>
      </c>
      <c r="K38" t="e">
        <f>MATCH(B38,Weights!C$4:C$36,0)</f>
        <v>#N/A</v>
      </c>
      <c r="L38" s="95">
        <f>tblIndicators!S33</f>
        <v>0</v>
      </c>
      <c r="M38" t="e">
        <f>INDEX(Weights!G$4:G$36,K38)</f>
        <v>#N/A</v>
      </c>
      <c r="N38" s="36" t="e">
        <f t="shared" si="4"/>
        <v>#N/A</v>
      </c>
      <c r="P38" t="str">
        <f>tblIndicators!Q33</f>
        <v xml:space="preserve">      Nominal GDP , 2009</v>
      </c>
      <c r="Q38" s="103"/>
      <c r="S38" s="38">
        <f>IF($D38="WS",SUMPRODUCT(($C$35:$C39=$B38)*($Q$35:$Q39)*(S$35:S39)),IF($D38="MM",100*ABS(($G38-(Data2010!D35-$H38)/$J38)),IF($D38="XX",ABS((100*$G38)-((Data2010!D35-$E38)*$F38)),"na")))</f>
        <v>308.73989999999998</v>
      </c>
      <c r="T38" s="38">
        <f>IF($D38="WS",SUMPRODUCT(($C$35:$C39=$B38)*($Q$35:$Q39)*(T$35:T39)),IF($D38="MM",100*ABS(($G38-(Data2010!E35-$H38)/$J38)),IF($D38="XX",ABS((100*$G38)-((Data2010!E35-$E38)*$F38)),"na")))</f>
        <v>1573.4087</v>
      </c>
      <c r="U38" s="38">
        <f>IF($D38="WS",SUMPRODUCT(($C$35:$C39=$B38)*($Q$35:$Q39)*(U$35:U39)),IF($D38="MM",100*ABS(($G38-(Data2010!F35-$H38)/$J38)),IF($D38="XX",ABS((100*$G38)-((Data2010!F35-$E38)*$F38)),"na")))</f>
        <v>163.30510000000001</v>
      </c>
      <c r="V38" s="38">
        <f>IF($D38="WS",SUMPRODUCT(($C$35:$C39=$B38)*($Q$35:$Q39)*(V$35:V39)),IF($D38="MM",100*ABS(($G38-(Data2010!G35-$H38)/$J38)),IF($D38="XX",ABS((100*$G38)-((Data2010!G35-$E38)*$F38)),"na")))</f>
        <v>230.67150000000001</v>
      </c>
      <c r="W38" s="38">
        <f>IF($D38="WS",SUMPRODUCT(($C$35:$C39=$B38)*($Q$35:$Q39)*(W$35:W39)),IF($D38="MM",100*ABS(($G38-(Data2010!H35-$H38)/$J38)),IF($D38="XX",ABS((100*$G38)-((Data2010!H35-$E38)*$F38)),"na")))</f>
        <v>29.303100000000001</v>
      </c>
      <c r="X38" s="38">
        <f>IF($D38="WS",SUMPRODUCT(($C$35:$C39=$B38)*($Q$35:$Q39)*(X$35:X39)),IF($D38="MM",100*ABS(($G38-(Data2010!I35-$H38)/$J38)),IF($D38="XX",ABS((100*$G38)-((Data2010!I35-$E38)*$F38)),"na")))</f>
        <v>45.959000000000003</v>
      </c>
      <c r="Y38" s="38">
        <f>IF($D38="WS",SUMPRODUCT(($C$35:$C39=$B38)*($Q$35:$Q39)*(Y$35:Y39)),IF($D38="MM",100*ABS(($G38-(Data2010!J35-$H38)/$J38)),IF($D38="XX",ABS((100*$G38)-((Data2010!J35-$E38)*$F38)),"na")))</f>
        <v>52.021900000000002</v>
      </c>
      <c r="Z38" s="38">
        <f>IF($D38="WS",SUMPRODUCT(($C$35:$C39=$B38)*($Q$35:$Q39)*(Z$35:Z39)),IF($D38="MM",100*ABS(($G38-(Data2010!K35-$H38)/$J38)),IF($D38="XX",ABS((100*$G38)-((Data2010!K35-$E38)*$F38)),"na")))</f>
        <v>21.469799999999999</v>
      </c>
      <c r="AA38" s="38">
        <f>IF($D38="WS",SUMPRODUCT(($C$35:$C39=$B38)*($Q$35:$Q39)*(AA$35:AA39)),IF($D38="MM",100*ABS(($G38-(Data2010!L35-$H38)/$J38)),IF($D38="XX",ABS((100*$G38)-((Data2010!L35-$E38)*$F38)),"na")))</f>
        <v>37.301000000000002</v>
      </c>
      <c r="AB38" s="38">
        <f>IF($D38="WS",SUMPRODUCT(($C$35:$C39=$B38)*($Q$35:$Q39)*(AB$35:AB39)),IF($D38="MM",100*ABS(($G38-(Data2010!M35-$H38)/$J38)),IF($D38="XX",ABS((100*$G38)-((Data2010!M35-$E38)*$F38)),"na")))</f>
        <v>14.4085</v>
      </c>
      <c r="AC38" s="38">
        <f>IF($D38="WS",SUMPRODUCT(($C$35:$C39=$B38)*($Q$35:$Q39)*(AC$35:AC39)),IF($D38="MM",100*ABS(($G38-(Data2010!N35-$H38)/$J38)),IF($D38="XX",ABS((100*$G38)-((Data2010!N35-$E38)*$F38)),"na")))</f>
        <v>12.337999999999999</v>
      </c>
      <c r="AD38" s="38">
        <f>IF($D38="WS",SUMPRODUCT(($C$35:$C39=$B38)*($Q$35:$Q39)*(AD$35:AD39)),IF($D38="MM",100*ABS(($G38-(Data2010!O35-$H38)/$J38)),IF($D38="XX",ABS((100*$G38)-((Data2010!O35-$E38)*$F38)),"na")))</f>
        <v>874.90350000000001</v>
      </c>
      <c r="AE38" s="38">
        <f>IF($D38="WS",SUMPRODUCT(($C$35:$C39=$B38)*($Q$35:$Q39)*(AE$35:AE39)),IF($D38="MM",100*ABS(($G38-(Data2010!P35-$H38)/$J38)),IF($D38="XX",ABS((100*$G38)-((Data2010!P35-$E38)*$F38)),"na")))</f>
        <v>6.149</v>
      </c>
      <c r="AF38" s="38">
        <f>IF($D38="WS",SUMPRODUCT(($C$35:$C39=$B38)*($Q$35:$Q39)*(AF$35:AF39)),IF($D38="MM",100*ABS(($G38-(Data2010!Q35-$H38)/$J38)),IF($D38="XX",ABS((100*$G38)-((Data2010!Q35-$E38)*$F38)),"na")))</f>
        <v>24.594999999999999</v>
      </c>
      <c r="AG38" s="38">
        <f>IF($D38="WS",SUMPRODUCT(($C$35:$C39=$B38)*($Q$35:$Q39)*(AG$35:AG39)),IF($D38="MM",100*ABS(($G38-(Data2010!R35-$H38)/$J38)),IF($D38="XX",ABS((100*$G38)-((Data2010!R35-$E38)*$F38)),"na")))</f>
        <v>13.98</v>
      </c>
      <c r="AH38" s="38">
        <f>IF($D38="WS",SUMPRODUCT(($C$35:$C39=$B38)*($Q$35:$Q39)*(AH$35:AH39)),IF($D38="MM",100*ABS(($G38-(Data2010!S35-$H38)/$J38)),IF($D38="XX",ABS((100*$G38)-((Data2010!S35-$E38)*$F38)),"na")))</f>
        <v>126.73779999999999</v>
      </c>
      <c r="AI38" s="38">
        <f>IF($D38="WS",SUMPRODUCT(($C$35:$C39=$B38)*($Q$35:$Q39)*(AI$35:AI39)),IF($D38="MM",100*ABS(($G38-(Data2010!T35-$H38)/$J38)),IF($D38="XX",ABS((100*$G38)-((Data2010!T35-$E38)*$F38)),"na")))</f>
        <v>25.257999999999999</v>
      </c>
      <c r="AJ38" s="38">
        <f>IF($D38="WS",SUMPRODUCT(($C$35:$C39=$B38)*($Q$35:$Q39)*(AJ$35:AJ39)),IF($D38="MM",100*ABS(($G38-(Data2010!U35-$H38)/$J38)),IF($D38="XX",ABS((100*$G38)-((Data2010!U35-$E38)*$F38)),"na")))</f>
        <v>31.510899999999999</v>
      </c>
      <c r="AK38" s="38">
        <f>IF($D38="WS",SUMPRODUCT(($C$35:$C39=$B38)*($Q$35:$Q39)*(AK$35:AK39)),IF($D38="MM",100*ABS(($G38-(Data2010!V35-$H38)/$J38)),IF($D38="XX",ABS((100*$G38)-((Data2010!V35-$E38)*$F38)),"na")))</f>
        <v>326.13299999999998</v>
      </c>
    </row>
    <row r="39" spans="2:37">
      <c r="B39" t="str">
        <f>tblIndicators!A34</f>
        <v>DEPE06</v>
      </c>
      <c r="C39" t="str">
        <f>tblIndicators!B34</f>
        <v>DEPE</v>
      </c>
      <c r="D39" t="str">
        <f>tblIndicators!D34</f>
        <v>XX</v>
      </c>
      <c r="E39">
        <f>tblIndicators!E34</f>
        <v>0</v>
      </c>
      <c r="F39">
        <f>tblIndicators!F34</f>
        <v>1</v>
      </c>
      <c r="G39">
        <f>tblIndicators!G34</f>
        <v>0</v>
      </c>
      <c r="H39">
        <f>MIN(Data2010!D36:V36)</f>
        <v>2940</v>
      </c>
      <c r="I39">
        <f>MAX(Data2010!D36:V36)</f>
        <v>15330</v>
      </c>
      <c r="J39" s="22">
        <f t="shared" si="3"/>
        <v>12390</v>
      </c>
      <c r="K39" t="e">
        <f>MATCH(B39,Weights!C$4:C$36,0)</f>
        <v>#N/A</v>
      </c>
      <c r="L39" s="95">
        <f>tblIndicators!S34</f>
        <v>0</v>
      </c>
      <c r="M39" t="e">
        <f>INDEX(Weights!G$4:G$36,K39)</f>
        <v>#N/A</v>
      </c>
      <c r="N39" s="36" t="e">
        <f t="shared" si="4"/>
        <v>#N/A</v>
      </c>
      <c r="P39" t="str">
        <f>tblIndicators!Q34</f>
        <v xml:space="preserve">      GDP per capita (PPP), 2009</v>
      </c>
      <c r="Q39" s="103"/>
      <c r="S39" s="38">
        <f>IF($D39="WS",SUMPRODUCT(($C$35:$C40=$B39)*($Q$35:$Q40)*(S$35:S40)),IF($D39="MM",100*ABS(($G39-(Data2010!D36-$H39)/$J39)),IF($D39="XX",ABS((100*$G39)-((Data2010!D36-$E39)*$F39)),"na")))</f>
        <v>14560</v>
      </c>
      <c r="T39" s="38">
        <f>IF($D39="WS",SUMPRODUCT(($C$35:$C40=$B39)*($Q$35:$Q40)*(T$35:T40)),IF($D39="MM",100*ABS(($G39-(Data2010!E36-$H39)/$J39)),IF($D39="XX",ABS((100*$G39)-((Data2010!E36-$E39)*$F39)),"na")))</f>
        <v>10360</v>
      </c>
      <c r="U39" s="38">
        <f>IF($D39="WS",SUMPRODUCT(($C$35:$C40=$B39)*($Q$35:$Q40)*(U$35:U40)),IF($D39="MM",100*ABS(($G39-(Data2010!F36-$H39)/$J39)),IF($D39="XX",ABS((100*$G39)-((Data2010!F36-$E39)*$F39)),"na")))</f>
        <v>14390</v>
      </c>
      <c r="V39" s="38">
        <f>IF($D39="WS",SUMPRODUCT(($C$35:$C40=$B39)*($Q$35:$Q40)*(V$35:V40)),IF($D39="MM",100*ABS(($G39-(Data2010!G36-$H39)/$J39)),IF($D39="XX",ABS((100*$G39)-((Data2010!G36-$E39)*$F39)),"na")))</f>
        <v>8700</v>
      </c>
      <c r="W39" s="38">
        <f>IF($D39="WS",SUMPRODUCT(($C$35:$C40=$B39)*($Q$35:$Q40)*(W$35:W40)),IF($D39="MM",100*ABS(($G39-(Data2010!H36-$H39)/$J39)),IF($D39="XX",ABS((100*$G39)-((Data2010!H36-$E39)*$F39)),"na")))</f>
        <v>10251.4</v>
      </c>
      <c r="X39" s="38">
        <f>IF($D39="WS",SUMPRODUCT(($C$35:$C40=$B39)*($Q$35:$Q40)*(X$35:X40)),IF($D39="MM",100*ABS(($G39-(Data2010!I36-$H39)/$J39)),IF($D39="XX",ABS((100*$G39)-((Data2010!I36-$E39)*$F39)),"na")))</f>
        <v>10650</v>
      </c>
      <c r="Y39" s="38">
        <f>IF($D39="WS",SUMPRODUCT(($C$35:$C40=$B39)*($Q$35:$Q40)*(Y$35:Y40)),IF($D39="MM",100*ABS(($G39-(Data2010!J36-$H39)/$J39)),IF($D39="XX",ABS((100*$G39)-((Data2010!J36-$E39)*$F39)),"na")))</f>
        <v>7890</v>
      </c>
      <c r="Z39" s="38">
        <f>IF($D39="WS",SUMPRODUCT(($C$35:$C40=$B39)*($Q$35:$Q40)*(Z$35:Z40)),IF($D39="MM",100*ABS(($G39-(Data2010!K36-$H39)/$J39)),IF($D39="XX",ABS((100*$G39)-((Data2010!K36-$E39)*$F39)),"na")))</f>
        <v>4840</v>
      </c>
      <c r="AA39" s="38">
        <f>IF($D39="WS",SUMPRODUCT(($C$35:$C40=$B39)*($Q$35:$Q40)*(AA$35:AA40)),IF($D39="MM",100*ABS(($G39-(Data2010!L36-$H39)/$J39)),IF($D39="XX",ABS((100*$G39)-((Data2010!L36-$E39)*$F39)),"na")))</f>
        <v>9310</v>
      </c>
      <c r="AB39" s="38">
        <f>IF($D39="WS",SUMPRODUCT(($C$35:$C40=$B39)*($Q$35:$Q40)*(AB$35:AB40)),IF($D39="MM",100*ABS(($G39-(Data2010!M36-$H39)/$J39)),IF($D39="XX",ABS((100*$G39)-((Data2010!M36-$E39)*$F39)),"na")))</f>
        <v>3740</v>
      </c>
      <c r="AC39" s="38">
        <f>IF($D39="WS",SUMPRODUCT(($C$35:$C40=$B39)*($Q$35:$Q40)*(AC$35:AC40)),IF($D39="MM",100*ABS(($G39-(Data2010!N36-$H39)/$J39)),IF($D39="XX",ABS((100*$G39)-((Data2010!N36-$E39)*$F39)),"na")))</f>
        <v>4790</v>
      </c>
      <c r="AD39" s="38">
        <f>IF($D39="WS",SUMPRODUCT(($C$35:$C40=$B39)*($Q$35:$Q40)*(AD$35:AD40)),IF($D39="MM",100*ABS(($G39-(Data2010!O36-$H39)/$J39)),IF($D39="XX",ABS((100*$G39)-((Data2010!O36-$E39)*$F39)),"na")))</f>
        <v>14916.9</v>
      </c>
      <c r="AE39" s="38">
        <f>IF($D39="WS",SUMPRODUCT(($C$35:$C40=$B39)*($Q$35:$Q40)*(AE$35:AE40)),IF($D39="MM",100*ABS(($G39-(Data2010!P36-$H39)/$J39)),IF($D39="XX",ABS((100*$G39)-((Data2010!P36-$E39)*$F39)),"na")))</f>
        <v>2940</v>
      </c>
      <c r="AF39" s="38">
        <f>IF($D39="WS",SUMPRODUCT(($C$35:$C40=$B39)*($Q$35:$Q40)*(AF$35:AF40)),IF($D39="MM",100*ABS(($G39-(Data2010!Q36-$H39)/$J39)),IF($D39="XX",ABS((100*$G39)-((Data2010!Q36-$E39)*$F39)),"na")))</f>
        <v>15330</v>
      </c>
      <c r="AG39" s="38">
        <f>IF($D39="WS",SUMPRODUCT(($C$35:$C40=$B39)*($Q$35:$Q40)*(AG$35:AG40)),IF($D39="MM",100*ABS(($G39-(Data2010!R36-$H39)/$J39)),IF($D39="XX",ABS((100*$G39)-((Data2010!R36-$E39)*$F39)),"na")))</f>
        <v>4510</v>
      </c>
      <c r="AH39" s="38">
        <f>IF($D39="WS",SUMPRODUCT(($C$35:$C40=$B39)*($Q$35:$Q40)*(AH$35:AH40)),IF($D39="MM",100*ABS(($G39-(Data2010!S36-$H39)/$J39)),IF($D39="XX",ABS((100*$G39)-((Data2010!S36-$E39)*$F39)),"na")))</f>
        <v>8510</v>
      </c>
      <c r="AI39" s="38">
        <f>IF($D39="WS",SUMPRODUCT(($C$35:$C40=$B39)*($Q$35:$Q40)*(AI$35:AI40)),IF($D39="MM",100*ABS(($G39-(Data2010!T36-$H39)/$J39)),IF($D39="XX",ABS((100*$G39)-((Data2010!T36-$E39)*$F39)),"na")))</f>
        <v>13890</v>
      </c>
      <c r="AJ39" s="38">
        <f>IF($D39="WS",SUMPRODUCT(($C$35:$C40=$B39)*($Q$35:$Q40)*(AJ$35:AJ40)),IF($D39="MM",100*ABS(($G39-(Data2010!U36-$H39)/$J39)),IF($D39="XX",ABS((100*$G39)-((Data2010!U36-$E39)*$F39)),"na")))</f>
        <v>13160</v>
      </c>
      <c r="AK39" s="38">
        <f>IF($D39="WS",SUMPRODUCT(($C$35:$C40=$B39)*($Q$35:$Q40)*(AK$35:AK40)),IF($D39="MM",100*ABS(($G39-(Data2010!V36-$H39)/$J39)),IF($D39="XX",ABS((100*$G39)-((Data2010!V36-$E39)*$F39)),"na")))</f>
        <v>12390</v>
      </c>
    </row>
    <row r="40" spans="2:37">
      <c r="B40" t="str">
        <f>tblIndicators!A35</f>
        <v>DEPE07</v>
      </c>
      <c r="C40" t="str">
        <f>tblIndicators!B35</f>
        <v>DEPE</v>
      </c>
      <c r="D40" t="str">
        <f>tblIndicators!D35</f>
        <v>XX</v>
      </c>
      <c r="E40">
        <f>tblIndicators!E35</f>
        <v>0</v>
      </c>
      <c r="F40">
        <f>tblIndicators!F35</f>
        <v>1</v>
      </c>
      <c r="G40">
        <f>tblIndicators!G35</f>
        <v>0</v>
      </c>
      <c r="H40">
        <f>MIN(Data2010!D37:V37)</f>
        <v>0.41535921488327476</v>
      </c>
      <c r="I40">
        <f>MAX(Data2010!D37:V37)</f>
        <v>2.7003275506342619</v>
      </c>
      <c r="J40" s="22">
        <f t="shared" si="3"/>
        <v>2.2849683357509871</v>
      </c>
      <c r="K40" t="e">
        <f>MATCH(B40,Weights!C$4:C$36,0)</f>
        <v>#N/A</v>
      </c>
      <c r="L40" s="95">
        <f>tblIndicators!S35</f>
        <v>0</v>
      </c>
      <c r="M40" t="e">
        <f>INDEX(Weights!G$4:G$36,K40)</f>
        <v>#N/A</v>
      </c>
      <c r="N40" s="36" t="e">
        <f t="shared" si="4"/>
        <v>#N/A</v>
      </c>
      <c r="P40" t="str">
        <f>tblIndicators!Q35</f>
        <v xml:space="preserve">      Electricity, water and gas sector value (% GDP),  2008</v>
      </c>
      <c r="Q40" s="103"/>
      <c r="S40" s="38">
        <f>IF($D40="WS",SUMPRODUCT(($C$35:$C41=$B40)*($Q$35:$Q41)*(S$35:S41)),IF($D40="MM",100*ABS(($G40-(Data2010!D37-$H40)/$J40)),IF($D40="XX",ABS((100*$G40)-((Data2010!D37-$E40)*$F40)),"na")))</f>
        <v>2.7003275506342619</v>
      </c>
      <c r="T40" s="38">
        <f>IF($D40="WS",SUMPRODUCT(($C$35:$C41=$B40)*($Q$35:$Q41)*(T$35:T41)),IF($D40="MM",100*ABS(($G40-(Data2010!E37-$H40)/$J40)),IF($D40="XX",ABS((100*$G40)-((Data2010!E37-$E40)*$F40)),"na")))</f>
        <v>1.4887246606848268</v>
      </c>
      <c r="U40" s="38">
        <f>IF($D40="WS",SUMPRODUCT(($C$35:$C41=$B40)*($Q$35:$Q41)*(U$35:U41)),IF($D40="MM",100*ABS(($G40-(Data2010!F37-$H40)/$J40)),IF($D40="XX",ABS((100*$G40)-((Data2010!F37-$E40)*$F40)),"na")))</f>
        <v>1.0860391149673807</v>
      </c>
      <c r="V40" s="38">
        <f>IF($D40="WS",SUMPRODUCT(($C$35:$C41=$B40)*($Q$35:$Q41)*(V$35:V41)),IF($D40="MM",100*ABS(($G40-(Data2010!G37-$H40)/$J40)),IF($D40="XX",ABS((100*$G40)-((Data2010!G37-$E40)*$F40)),"na")))</f>
        <v>1.5157758175884632</v>
      </c>
      <c r="W40" s="38">
        <f>IF($D40="WS",SUMPRODUCT(($C$35:$C41=$B40)*($Q$35:$Q41)*(W$35:W41)),IF($D40="MM",100*ABS(($G40-(Data2010!H37-$H40)/$J40)),IF($D40="XX",ABS((100*$G40)-((Data2010!H37-$E40)*$F40)),"na")))</f>
        <v>1.7362141806571363</v>
      </c>
      <c r="X40" s="38">
        <f>IF($D40="WS",SUMPRODUCT(($C$35:$C41=$B40)*($Q$35:$Q41)*(X$35:X41)),IF($D40="MM",100*ABS(($G40-(Data2010!I37-$H40)/$J40)),IF($D40="XX",ABS((100*$G40)-((Data2010!I37-$E40)*$F40)),"na")))</f>
        <v>1.3686108938817472</v>
      </c>
      <c r="Y40" s="38">
        <f>IF($D40="WS",SUMPRODUCT(($C$35:$C41=$B40)*($Q$35:$Q41)*(Y$35:Y41)),IF($D40="MM",100*ABS(($G40-(Data2010!J37-$H40)/$J40)),IF($D40="XX",ABS((100*$G40)-((Data2010!J37-$E40)*$F40)),"na")))</f>
        <v>0.41535921488327476</v>
      </c>
      <c r="Z40" s="38">
        <f>IF($D40="WS",SUMPRODUCT(($C$35:$C41=$B40)*($Q$35:$Q41)*(Z$35:Z41)),IF($D40="MM",100*ABS(($G40-(Data2010!K37-$H40)/$J40)),IF($D40="XX",ABS((100*$G40)-((Data2010!K37-$E40)*$F40)),"na")))</f>
        <v>1.3986520106753517</v>
      </c>
      <c r="AA40" s="38">
        <f>IF($D40="WS",SUMPRODUCT(($C$35:$C41=$B40)*($Q$35:$Q41)*(AA$35:AA41)),IF($D40="MM",100*ABS(($G40-(Data2010!L37-$H40)/$J40)),IF($D40="XX",ABS((100*$G40)-((Data2010!L37-$E40)*$F40)),"na")))</f>
        <v>1.5243757553149904</v>
      </c>
      <c r="AB40" s="38">
        <f>IF($D40="WS",SUMPRODUCT(($C$35:$C41=$B40)*($Q$35:$Q41)*(AB$35:AB41)),IF($D40="MM",100*ABS(($G40-(Data2010!M37-$H40)/$J40)),IF($D40="XX",ABS((100*$G40)-((Data2010!M37-$E40)*$F40)),"na")))</f>
        <v>1.7018281091434044</v>
      </c>
      <c r="AC40" s="38">
        <f>IF($D40="WS",SUMPRODUCT(($C$35:$C41=$B40)*($Q$35:$Q41)*(AC$35:AC41)),IF($D40="MM",100*ABS(($G40-(Data2010!N37-$H40)/$J40)),IF($D40="XX",ABS((100*$G40)-((Data2010!N37-$E40)*$F40)),"na")))</f>
        <v>2.1716172088802508</v>
      </c>
      <c r="AD40" s="38">
        <f>IF($D40="WS",SUMPRODUCT(($C$35:$C41=$B40)*($Q$35:$Q41)*(AD$35:AD41)),IF($D40="MM",100*ABS(($G40-(Data2010!O37-$H40)/$J40)),IF($D40="XX",ABS((100*$G40)-((Data2010!O37-$E40)*$F40)),"na")))</f>
        <v>0.85837989969813278</v>
      </c>
      <c r="AE40" s="38">
        <f>IF($D40="WS",SUMPRODUCT(($C$35:$C41=$B40)*($Q$35:$Q41)*(AE$35:AE41)),IF($D40="MM",100*ABS(($G40-(Data2010!P37-$H40)/$J40)),IF($D40="XX",ABS((100*$G40)-((Data2010!P37-$E40)*$F40)),"na")))</f>
        <v>2.5186462875121776</v>
      </c>
      <c r="AF40" s="38">
        <f>IF($D40="WS",SUMPRODUCT(($C$35:$C41=$B40)*($Q$35:$Q41)*(AF$35:AF41)),IF($D40="MM",100*ABS(($G40-(Data2010!Q37-$H40)/$J40)),IF($D40="XX",ABS((100*$G40)-((Data2010!Q37-$E40)*$F40)),"na")))</f>
        <v>1.9427034412091193</v>
      </c>
      <c r="AG40" s="38">
        <f>IF($D40="WS",SUMPRODUCT(($C$35:$C41=$B40)*($Q$35:$Q41)*(AG$35:AG41)),IF($D40="MM",100*ABS(($G40-(Data2010!R37-$H40)/$J40)),IF($D40="XX",ABS((100*$G40)-((Data2010!R37-$E40)*$F40)),"na")))</f>
        <v>1.3895669808840649</v>
      </c>
      <c r="AH40" s="38">
        <f>IF($D40="WS",SUMPRODUCT(($C$35:$C41=$B40)*($Q$35:$Q41)*(AH$35:AH41)),IF($D40="MM",100*ABS(($G40-(Data2010!S37-$H40)/$J40)),IF($D40="XX",ABS((100*$G40)-((Data2010!S37-$E40)*$F40)),"na")))</f>
        <v>1.4713781196044577</v>
      </c>
      <c r="AI40" s="38">
        <f>IF($D40="WS",SUMPRODUCT(($C$35:$C41=$B40)*($Q$35:$Q41)*(AI$35:AI41)),IF($D40="MM",100*ABS(($G40-(Data2010!T37-$H40)/$J40)),IF($D40="XX",ABS((100*$G40)-((Data2010!T37-$E40)*$F40)),"na")))</f>
        <v>0.83144906268730745</v>
      </c>
      <c r="AJ40" s="38">
        <f>IF($D40="WS",SUMPRODUCT(($C$35:$C41=$B40)*($Q$35:$Q41)*(AJ$35:AJ41)),IF($D40="MM",100*ABS(($G40-(Data2010!U37-$H40)/$J40)),IF($D40="XX",ABS((100*$G40)-((Data2010!U37-$E40)*$F40)),"na")))</f>
        <v>1.1277327311916248</v>
      </c>
      <c r="AK40" s="38">
        <f>IF($D40="WS",SUMPRODUCT(($C$35:$C41=$B40)*($Q$35:$Q41)*(AK$35:AK41)),IF($D40="MM",100*ABS(($G40-(Data2010!V37-$H40)/$J40)),IF($D40="XX",ABS((100*$G40)-((Data2010!V37-$E40)*$F40)),"na")))</f>
        <v>1.1337779054840635</v>
      </c>
    </row>
    <row r="41" spans="2:37">
      <c r="B41" t="str">
        <f>tblIndicators!A36</f>
        <v>DEPE08</v>
      </c>
      <c r="C41" t="str">
        <f>tblIndicators!B36</f>
        <v>DEPE</v>
      </c>
      <c r="D41" t="str">
        <f>tblIndicators!D36</f>
        <v>XX</v>
      </c>
      <c r="E41">
        <f>tblIndicators!E36</f>
        <v>0</v>
      </c>
      <c r="F41">
        <f>tblIndicators!F36</f>
        <v>1</v>
      </c>
      <c r="G41">
        <f>tblIndicators!G36</f>
        <v>0</v>
      </c>
      <c r="H41">
        <f>MIN(Data2010!D38:V38)</f>
        <v>3.8469135234439449</v>
      </c>
      <c r="I41">
        <f>MAX(Data2010!D38:V38)</f>
        <v>15.469046195884212</v>
      </c>
      <c r="J41" s="22">
        <f t="shared" si="3"/>
        <v>11.622132672440268</v>
      </c>
      <c r="K41" t="e">
        <f>MATCH(B41,Weights!C$4:C$36,0)</f>
        <v>#N/A</v>
      </c>
      <c r="L41" s="95">
        <f>tblIndicators!S36</f>
        <v>0</v>
      </c>
      <c r="M41" t="e">
        <f>INDEX(Weights!G$4:G$36,K41)</f>
        <v>#N/A</v>
      </c>
      <c r="N41" s="36" t="e">
        <f t="shared" si="4"/>
        <v>#N/A</v>
      </c>
      <c r="P41" t="str">
        <f>tblIndicators!Q36</f>
        <v xml:space="preserve">      Transport, storage and communications sector value (% of GDP) in 2008</v>
      </c>
      <c r="Q41" s="103"/>
      <c r="S41" s="38">
        <f>IF($D41="WS",SUMPRODUCT(($C$35:$C42=$B41)*($Q$35:$Q42)*(S$35:S42)),IF($D41="MM",100*ABS(($G41-(Data2010!D38-$H41)/$J41)),IF($D41="XX",ABS((100*$G41)-((Data2010!D38-$E41)*$F41)),"na")))</f>
        <v>13.16773642996904</v>
      </c>
      <c r="T41" s="38">
        <f>IF($D41="WS",SUMPRODUCT(($C$35:$C42=$B41)*($Q$35:$Q42)*(T$35:T42)),IF($D41="MM",100*ABS(($G41-(Data2010!E38-$H41)/$J41)),IF($D41="XX",ABS((100*$G41)-((Data2010!E38-$E41)*$F41)),"na")))</f>
        <v>3.8713576532636651</v>
      </c>
      <c r="U41" s="38">
        <f>IF($D41="WS",SUMPRODUCT(($C$35:$C42=$B41)*($Q$35:$Q42)*(U$35:U42)),IF($D41="MM",100*ABS(($G41-(Data2010!F38-$H41)/$J41)),IF($D41="XX",ABS((100*$G41)-((Data2010!F38-$E41)*$F41)),"na")))</f>
        <v>6.553963647686686</v>
      </c>
      <c r="V41" s="38">
        <f>IF($D41="WS",SUMPRODUCT(($C$35:$C42=$B41)*($Q$35:$Q42)*(V$35:V42)),IF($D41="MM",100*ABS(($G41-(Data2010!G38-$H41)/$J41)),IF($D41="XX",ABS((100*$G41)-((Data2010!G38-$E41)*$F41)),"na")))</f>
        <v>3.8469135234439449</v>
      </c>
      <c r="W41" s="38">
        <f>IF($D41="WS",SUMPRODUCT(($C$35:$C42=$B41)*($Q$35:$Q42)*(W$35:W42)),IF($D41="MM",100*ABS(($G41-(Data2010!H38-$H41)/$J41)),IF($D41="XX",ABS((100*$G41)-((Data2010!H38-$E41)*$F41)),"na")))</f>
        <v>9.0487039202350594</v>
      </c>
      <c r="X41" s="38">
        <f>IF($D41="WS",SUMPRODUCT(($C$35:$C42=$B41)*($Q$35:$Q42)*(X$35:X42)),IF($D41="MM",100*ABS(($G41-(Data2010!I38-$H41)/$J41)),IF($D41="XX",ABS((100*$G41)-((Data2010!I38-$E41)*$F41)),"na")))</f>
        <v>11.549597124957165</v>
      </c>
      <c r="Y41" s="38">
        <f>IF($D41="WS",SUMPRODUCT(($C$35:$C42=$B41)*($Q$35:$Q42)*(Y$35:Y42)),IF($D41="MM",100*ABS(($G41-(Data2010!J38-$H41)/$J41)),IF($D41="XX",ABS((100*$G41)-((Data2010!J38-$E41)*$F41)),"na")))</f>
        <v>4.6451571248051504</v>
      </c>
      <c r="Z41" s="38">
        <f>IF($D41="WS",SUMPRODUCT(($C$35:$C42=$B41)*($Q$35:$Q42)*(Z$35:Z42)),IF($D41="MM",100*ABS(($G41-(Data2010!K38-$H41)/$J41)),IF($D41="XX",ABS((100*$G41)-((Data2010!K38-$E41)*$F41)),"na")))</f>
        <v>7.1936038358890855</v>
      </c>
      <c r="AA41" s="38">
        <f>IF($D41="WS",SUMPRODUCT(($C$35:$C42=$B41)*($Q$35:$Q42)*(AA$35:AA42)),IF($D41="MM",100*ABS(($G41-(Data2010!L38-$H41)/$J41)),IF($D41="XX",ABS((100*$G41)-((Data2010!L38-$E41)*$F41)),"na")))</f>
        <v>6.2860858523274556</v>
      </c>
      <c r="AB41" s="38">
        <f>IF($D41="WS",SUMPRODUCT(($C$35:$C42=$B41)*($Q$35:$Q42)*(AB$35:AB42)),IF($D41="MM",100*ABS(($G41-(Data2010!M38-$H41)/$J41)),IF($D41="XX",ABS((100*$G41)-((Data2010!M38-$E41)*$F41)),"na")))</f>
        <v>8.399296771150464</v>
      </c>
      <c r="AC41" s="38">
        <f>IF($D41="WS",SUMPRODUCT(($C$35:$C42=$B41)*($Q$35:$Q42)*(AC$35:AC42)),IF($D41="MM",100*ABS(($G41-(Data2010!N38-$H41)/$J41)),IF($D41="XX",ABS((100*$G41)-((Data2010!N38-$E41)*$F41)),"na")))</f>
        <v>7.5630041943251571</v>
      </c>
      <c r="AD41" s="38">
        <f>IF($D41="WS",SUMPRODUCT(($C$35:$C42=$B41)*($Q$35:$Q42)*(AD$35:AD42)),IF($D41="MM",100*ABS(($G41-(Data2010!O38-$H41)/$J41)),IF($D41="XX",ABS((100*$G41)-((Data2010!O38-$E41)*$F41)),"na")))</f>
        <v>5.76303147172466</v>
      </c>
      <c r="AE41" s="38">
        <f>IF($D41="WS",SUMPRODUCT(($C$35:$C42=$B41)*($Q$35:$Q42)*(AE$35:AE42)),IF($D41="MM",100*ABS(($G41-(Data2010!P38-$H41)/$J41)),IF($D41="XX",ABS((100*$G41)-((Data2010!P38-$E41)*$F41)),"na")))</f>
        <v>4.6151757622219032</v>
      </c>
      <c r="AF41" s="38">
        <f>IF($D41="WS",SUMPRODUCT(($C$35:$C42=$B41)*($Q$35:$Q42)*(AF$35:AF42)),IF($D41="MM",100*ABS(($G41-(Data2010!Q38-$H41)/$J41)),IF($D41="XX",ABS((100*$G41)-((Data2010!Q38-$E41)*$F41)),"na")))</f>
        <v>15.469046195884212</v>
      </c>
      <c r="AG41" s="38">
        <f>IF($D41="WS",SUMPRODUCT(($C$35:$C42=$B41)*($Q$35:$Q42)*(AG$35:AG42)),IF($D41="MM",100*ABS(($G41-(Data2010!R38-$H41)/$J41)),IF($D41="XX",ABS((100*$G41)-((Data2010!R38-$E41)*$F41)),"na")))</f>
        <v>4.8950313591467305</v>
      </c>
      <c r="AH41" s="38">
        <f>IF($D41="WS",SUMPRODUCT(($C$35:$C42=$B41)*($Q$35:$Q42)*(AH$35:AH42)),IF($D41="MM",100*ABS(($G41-(Data2010!S38-$H41)/$J41)),IF($D41="XX",ABS((100*$G41)-((Data2010!S38-$E41)*$F41)),"na")))</f>
        <v>6.0746664573850255</v>
      </c>
      <c r="AI41" s="38">
        <f>IF($D41="WS",SUMPRODUCT(($C$35:$C42=$B41)*($Q$35:$Q42)*(AI$35:AI42)),IF($D41="MM",100*ABS(($G41-(Data2010!T38-$H41)/$J41)),IF($D41="XX",ABS((100*$G41)-((Data2010!T38-$E41)*$F41)),"na")))</f>
        <v>4.1294669615360764</v>
      </c>
      <c r="AJ41" s="38">
        <f>IF($D41="WS",SUMPRODUCT(($C$35:$C42=$B41)*($Q$35:$Q42)*(AJ$35:AJ42)),IF($D41="MM",100*ABS(($G41-(Data2010!U38-$H41)/$J41)),IF($D41="XX",ABS((100*$G41)-((Data2010!U38-$E41)*$F41)),"na")))</f>
        <v>9.6852547983167412</v>
      </c>
      <c r="AK41" s="38">
        <f>IF($D41="WS",SUMPRODUCT(($C$35:$C42=$B41)*($Q$35:$Q42)*(AK$35:AK42)),IF($D41="MM",100*ABS(($G41-(Data2010!V38-$H41)/$J41)),IF($D41="XX",ABS((100*$G41)-((Data2010!V38-$E41)*$F41)),"na")))</f>
        <v>4.9853341329975249</v>
      </c>
    </row>
    <row r="42" spans="2:37">
      <c r="B42" t="str">
        <f>tblIndicators!A37</f>
        <v>DEPE09</v>
      </c>
      <c r="C42" t="str">
        <f>tblIndicators!B37</f>
        <v>DEPE</v>
      </c>
      <c r="D42" t="str">
        <f>tblIndicators!D37</f>
        <v>XX</v>
      </c>
      <c r="E42">
        <f>tblIndicators!E37</f>
        <v>0</v>
      </c>
      <c r="F42">
        <f>tblIndicators!F37</f>
        <v>1</v>
      </c>
      <c r="G42">
        <f>tblIndicators!G37</f>
        <v>0</v>
      </c>
      <c r="H42">
        <f>MIN(Data2010!D39:V39)</f>
        <v>573.54248003414443</v>
      </c>
      <c r="I42">
        <f>MAX(Data2010!D39:V39)</f>
        <v>8769.0763114482106</v>
      </c>
      <c r="J42" s="22">
        <f t="shared" si="3"/>
        <v>8195.5338314140663</v>
      </c>
      <c r="K42" t="e">
        <f>MATCH(B42,Weights!C$4:C$36,0)</f>
        <v>#N/A</v>
      </c>
      <c r="L42" s="95">
        <f>tblIndicators!S37</f>
        <v>0</v>
      </c>
      <c r="M42" t="e">
        <f>INDEX(Weights!G$4:G$36,K42)</f>
        <v>#N/A</v>
      </c>
      <c r="N42" s="36" t="e">
        <f t="shared" si="4"/>
        <v>#N/A</v>
      </c>
      <c r="P42" t="str">
        <f>tblIndicators!Q37</f>
        <v xml:space="preserve">      Electric power production, 2007</v>
      </c>
      <c r="Q42" s="103"/>
      <c r="S42" s="38">
        <f>IF($D42="WS",SUMPRODUCT(($C$35:$C43=$B42)*($Q$35:$Q43)*(S$35:S43)),IF($D42="MM",100*ABS(($G42-(Data2010!D39-$H42)/$J42)),IF($D42="XX",ABS((100*$G42)-((Data2010!D39-$E42)*$F42)),"na")))</f>
        <v>2914.1464908048056</v>
      </c>
      <c r="T42" s="38">
        <f>IF($D42="WS",SUMPRODUCT(($C$35:$C43=$B42)*($Q$35:$Q43)*(T$35:T43)),IF($D42="MM",100*ABS(($G42-(Data2010!E39-$H42)/$J42)),IF($D42="XX",ABS((100*$G42)-((Data2010!E39-$E42)*$F42)),"na")))</f>
        <v>2341.3739307114961</v>
      </c>
      <c r="U42" s="38">
        <f>IF($D42="WS",SUMPRODUCT(($C$35:$C43=$B42)*($Q$35:$Q43)*(U$35:U43)),IF($D42="MM",100*ABS(($G42-(Data2010!F39-$H42)/$J42)),IF($D42="XX",ABS((100*$G42)-((Data2010!F39-$E42)*$F42)),"na")))</f>
        <v>3516.982760719362</v>
      </c>
      <c r="V42" s="38">
        <f>IF($D42="WS",SUMPRODUCT(($C$35:$C43=$B42)*($Q$35:$Q43)*(V$35:V43)),IF($D42="MM",100*ABS(($G42-(Data2010!G39-$H42)/$J42)),IF($D42="XX",ABS((100*$G42)-((Data2010!G39-$E42)*$F42)),"na")))</f>
        <v>1246.9497758594591</v>
      </c>
      <c r="W42" s="38">
        <f>IF($D42="WS",SUMPRODUCT(($C$35:$C43=$B42)*($Q$35:$Q43)*(W$35:W43)),IF($D42="MM",100*ABS(($G42-(Data2010!H39-$H42)/$J42)),IF($D42="XX",ABS((100*$G42)-((Data2010!H39-$E42)*$F42)),"na")))</f>
        <v>2029.7022819236286</v>
      </c>
      <c r="X42" s="38">
        <f>IF($D42="WS",SUMPRODUCT(($C$35:$C43=$B42)*($Q$35:$Q43)*(X$35:X43)),IF($D42="MM",100*ABS(($G42-(Data2010!I39-$H42)/$J42)),IF($D42="XX",ABS((100*$G42)-((Data2010!I39-$E42)*$F42)),"na")))</f>
        <v>1512.0720186074834</v>
      </c>
      <c r="Y42" s="38">
        <f>IF($D42="WS",SUMPRODUCT(($C$35:$C43=$B42)*($Q$35:$Q43)*(Y$35:Y43)),IF($D42="MM",100*ABS(($G42-(Data2010!J39-$H42)/$J42)),IF($D42="XX",ABS((100*$G42)-((Data2010!J39-$E42)*$F42)),"na")))</f>
        <v>1299.2982889811785</v>
      </c>
      <c r="Z42" s="38">
        <f>IF($D42="WS",SUMPRODUCT(($C$35:$C43=$B42)*($Q$35:$Q43)*(Z$35:Z43)),IF($D42="MM",100*ABS(($G42-(Data2010!K39-$H42)/$J42)),IF($D42="XX",ABS((100*$G42)-((Data2010!K39-$E42)*$F42)),"na")))</f>
        <v>950.74950534333993</v>
      </c>
      <c r="AA42" s="38">
        <f>IF($D42="WS",SUMPRODUCT(($C$35:$C43=$B42)*($Q$35:$Q43)*(AA$35:AA43)),IF($D42="MM",100*ABS(($G42-(Data2010!L39-$H42)/$J42)),IF($D42="XX",ABS((100*$G42)-((Data2010!L39-$E42)*$F42)),"na")))</f>
        <v>655.62014739059816</v>
      </c>
      <c r="AB42" s="38">
        <f>IF($D42="WS",SUMPRODUCT(($C$35:$C43=$B42)*($Q$35:$Q43)*(AB$35:AB43)),IF($D42="MM",100*ABS(($G42-(Data2010!M39-$H42)/$J42)),IF($D42="XX",ABS((100*$G42)-((Data2010!M39-$E42)*$F42)),"na")))</f>
        <v>880.38561893715598</v>
      </c>
      <c r="AC42" s="38">
        <f>IF($D42="WS",SUMPRODUCT(($C$35:$C43=$B42)*($Q$35:$Q43)*(AC$35:AC43)),IF($D42="MM",100*ABS(($G42-(Data2010!N39-$H42)/$J42)),IF($D42="XX",ABS((100*$G42)-((Data2010!N39-$E42)*$F42)),"na")))</f>
        <v>2908.2891097989386</v>
      </c>
      <c r="AD42" s="38">
        <f>IF($D42="WS",SUMPRODUCT(($C$35:$C43=$B42)*($Q$35:$Q43)*(AD$35:AD43)),IF($D42="MM",100*ABS(($G42-(Data2010!O39-$H42)/$J42)),IF($D42="XX",ABS((100*$G42)-((Data2010!O39-$E42)*$F42)),"na")))</f>
        <v>2445.4192590016719</v>
      </c>
      <c r="AE42" s="38">
        <f>IF($D42="WS",SUMPRODUCT(($C$35:$C43=$B42)*($Q$35:$Q43)*(AE$35:AE43)),IF($D42="MM",100*ABS(($G42-(Data2010!P39-$H42)/$J42)),IF($D42="XX",ABS((100*$G42)-((Data2010!P39-$E42)*$F42)),"na")))</f>
        <v>573.54248003414443</v>
      </c>
      <c r="AF42" s="38">
        <f>IF($D42="WS",SUMPRODUCT(($C$35:$C43=$B42)*($Q$35:$Q43)*(AF$35:AF43)),IF($D42="MM",100*ABS(($G42-(Data2010!Q39-$H42)/$J42)),IF($D42="XX",ABS((100*$G42)-((Data2010!Q39-$E42)*$F42)),"na")))</f>
        <v>1936.9845911619545</v>
      </c>
      <c r="AG42" s="38">
        <f>IF($D42="WS",SUMPRODUCT(($C$35:$C43=$B42)*($Q$35:$Q43)*(AG$35:AG43)),IF($D42="MM",100*ABS(($G42-(Data2010!R39-$H42)/$J42)),IF($D42="XX",ABS((100*$G42)-((Data2010!R39-$E42)*$F42)),"na")))</f>
        <v>8769.0763114482106</v>
      </c>
      <c r="AH42" s="38">
        <f>IF($D42="WS",SUMPRODUCT(($C$35:$C43=$B42)*($Q$35:$Q43)*(AH$35:AH43)),IF($D42="MM",100*ABS(($G42-(Data2010!S39-$H42)/$J42)),IF($D42="XX",ABS((100*$G42)-((Data2010!S39-$E42)*$F42)),"na")))</f>
        <v>1049.898098744721</v>
      </c>
      <c r="AI42" s="38">
        <f>IF($D42="WS",SUMPRODUCT(($C$35:$C43=$B42)*($Q$35:$Q43)*(AI$35:AI43)),IF($D42="MM",100*ABS(($G42-(Data2010!T39-$H42)/$J42)),IF($D42="XX",ABS((100*$G42)-((Data2010!T39-$E42)*$F42)),"na")))</f>
        <v>5768.640040475344</v>
      </c>
      <c r="AJ42" s="38">
        <f>IF($D42="WS",SUMPRODUCT(($C$35:$C43=$B42)*($Q$35:$Q43)*(AJ$35:AJ43)),IF($D42="MM",100*ABS(($G42-(Data2010!U39-$H42)/$J42)),IF($D42="XX",ABS((100*$G42)-((Data2010!U39-$E42)*$F42)),"na")))</f>
        <v>2835.8202668787867</v>
      </c>
      <c r="AK42" s="38">
        <f>IF($D42="WS",SUMPRODUCT(($C$35:$C43=$B42)*($Q$35:$Q43)*(AK$35:AK43)),IF($D42="MM",100*ABS(($G42-(Data2010!V39-$H42)/$J42)),IF($D42="XX",ABS((100*$G42)-((Data2010!V39-$E42)*$F42)),"na")))</f>
        <v>4179.0197576683768</v>
      </c>
    </row>
    <row r="43" spans="2:37">
      <c r="B43" t="str">
        <f>tblIndicators!A38</f>
        <v>DEPE10</v>
      </c>
      <c r="C43" t="str">
        <f>tblIndicators!B38</f>
        <v>DEPE</v>
      </c>
      <c r="D43" t="str">
        <f>tblIndicators!D38</f>
        <v>XX</v>
      </c>
      <c r="E43">
        <f>tblIndicators!E38</f>
        <v>0</v>
      </c>
      <c r="F43">
        <f>tblIndicators!F38</f>
        <v>1</v>
      </c>
      <c r="G43">
        <f>tblIndicators!G38</f>
        <v>0</v>
      </c>
      <c r="H43">
        <f>MIN(Data2010!D40:V40)</f>
        <v>0</v>
      </c>
      <c r="I43">
        <f>MAX(Data2010!D40:V40)</f>
        <v>100</v>
      </c>
      <c r="J43" s="22">
        <f t="shared" si="3"/>
        <v>100</v>
      </c>
      <c r="K43" t="e">
        <f>MATCH(B43,Weights!C$4:C$36,0)</f>
        <v>#N/A</v>
      </c>
      <c r="L43" s="95">
        <f>tblIndicators!S38</f>
        <v>0</v>
      </c>
      <c r="M43" t="e">
        <f>INDEX(Weights!G$4:G$36,K43)</f>
        <v>#N/A</v>
      </c>
      <c r="N43" s="36" t="e">
        <f t="shared" si="4"/>
        <v>#N/A</v>
      </c>
      <c r="P43" t="str">
        <f>tblIndicators!Q38</f>
        <v xml:space="preserve">      Improved water source, urban (% of urban population with access), 2006</v>
      </c>
      <c r="Q43" s="103"/>
      <c r="S43" s="38">
        <f>IF($D43="WS",SUMPRODUCT(($C$35:$C44=$B43)*($Q$35:$Q44)*(S$35:S44)),IF($D43="MM",100*ABS(($G43-(Data2010!D40-$H43)/$J43)),IF($D43="XX",ABS((100*$G43)-((Data2010!D40-$E43)*$F43)),"na")))</f>
        <v>98</v>
      </c>
      <c r="T43" s="38">
        <f>IF($D43="WS",SUMPRODUCT(($C$35:$C44=$B43)*($Q$35:$Q44)*(T$35:T44)),IF($D43="MM",100*ABS(($G43-(Data2010!E40-$H43)/$J43)),IF($D43="XX",ABS((100*$G43)-((Data2010!E40-$E43)*$F43)),"na")))</f>
        <v>97</v>
      </c>
      <c r="U43" s="38">
        <f>IF($D43="WS",SUMPRODUCT(($C$35:$C44=$B43)*($Q$35:$Q44)*(U$35:U44)),IF($D43="MM",100*ABS(($G43-(Data2010!F40-$H43)/$J43)),IF($D43="XX",ABS((100*$G43)-((Data2010!F40-$E43)*$F43)),"na")))</f>
        <v>98</v>
      </c>
      <c r="V43" s="38">
        <f>IF($D43="WS",SUMPRODUCT(($C$35:$C44=$B43)*($Q$35:$Q44)*(V$35:V44)),IF($D43="MM",100*ABS(($G43-(Data2010!G40-$H43)/$J43)),IF($D43="XX",ABS((100*$G43)-((Data2010!G40-$E43)*$F43)),"na")))</f>
        <v>99</v>
      </c>
      <c r="W43" s="38">
        <f>IF($D43="WS",SUMPRODUCT(($C$35:$C44=$B43)*($Q$35:$Q44)*(W$35:W44)),IF($D43="MM",100*ABS(($G43-(Data2010!H40-$H43)/$J43)),IF($D43="XX",ABS((100*$G43)-((Data2010!H40-$E43)*$F43)),"na")))</f>
        <v>99</v>
      </c>
      <c r="X43" s="38">
        <f>IF($D43="WS",SUMPRODUCT(($C$35:$C44=$B43)*($Q$35:$Q44)*(X$35:X44)),IF($D43="MM",100*ABS(($G43-(Data2010!I40-$H43)/$J43)),IF($D43="XX",ABS((100*$G43)-((Data2010!I40-$E43)*$F43)),"na")))</f>
        <v>97</v>
      </c>
      <c r="Y43" s="38">
        <f>IF($D43="WS",SUMPRODUCT(($C$35:$C44=$B43)*($Q$35:$Q44)*(Y$35:Y44)),IF($D43="MM",100*ABS(($G43-(Data2010!J40-$H43)/$J43)),IF($D43="XX",ABS((100*$G43)-((Data2010!J40-$E43)*$F43)),"na")))</f>
        <v>98</v>
      </c>
      <c r="Z43" s="38">
        <f>IF($D43="WS",SUMPRODUCT(($C$35:$C44=$B43)*($Q$35:$Q44)*(Z$35:Z44)),IF($D43="MM",100*ABS(($G43-(Data2010!K40-$H43)/$J43)),IF($D43="XX",ABS((100*$G43)-((Data2010!K40-$E43)*$F43)),"na")))</f>
        <v>94</v>
      </c>
      <c r="AA43" s="38">
        <f>IF($D43="WS",SUMPRODUCT(($C$35:$C44=$B43)*($Q$35:$Q44)*(AA$35:AA44)),IF($D43="MM",100*ABS(($G43-(Data2010!L40-$H43)/$J43)),IF($D43="XX",ABS((100*$G43)-((Data2010!L40-$E43)*$F43)),"na")))</f>
        <v>99</v>
      </c>
      <c r="AB43" s="38">
        <f>IF($D43="WS",SUMPRODUCT(($C$35:$C44=$B43)*($Q$35:$Q44)*(AB$35:AB44)),IF($D43="MM",100*ABS(($G43-(Data2010!M40-$H43)/$J43)),IF($D43="XX",ABS((100*$G43)-((Data2010!M40-$E43)*$F43)),"na")))</f>
        <v>95</v>
      </c>
      <c r="AC43" s="38">
        <f>IF($D43="WS",SUMPRODUCT(($C$35:$C44=$B43)*($Q$35:$Q44)*(AC$35:AC44)),IF($D43="MM",100*ABS(($G43-(Data2010!N40-$H43)/$J43)),IF($D43="XX",ABS((100*$G43)-((Data2010!N40-$E43)*$F43)),"na")))</f>
        <v>97</v>
      </c>
      <c r="AD43" s="38">
        <f>IF($D43="WS",SUMPRODUCT(($C$35:$C44=$B43)*($Q$35:$Q44)*(AD$35:AD44)),IF($D43="MM",100*ABS(($G43-(Data2010!O40-$H43)/$J43)),IF($D43="XX",ABS((100*$G43)-((Data2010!O40-$E43)*$F43)),"na")))</f>
        <v>98</v>
      </c>
      <c r="AE43" s="38">
        <f>IF($D43="WS",SUMPRODUCT(($C$35:$C44=$B43)*($Q$35:$Q44)*(AE$35:AE44)),IF($D43="MM",100*ABS(($G43-(Data2010!P40-$H43)/$J43)),IF($D43="XX",ABS((100*$G43)-((Data2010!P40-$E43)*$F43)),"na")))</f>
        <v>90</v>
      </c>
      <c r="AF43" s="38">
        <f>IF($D43="WS",SUMPRODUCT(($C$35:$C44=$B43)*($Q$35:$Q44)*(AF$35:AF44)),IF($D43="MM",100*ABS(($G43-(Data2010!Q40-$H43)/$J43)),IF($D43="XX",ABS((100*$G43)-((Data2010!Q40-$E43)*$F43)),"na")))</f>
        <v>96</v>
      </c>
      <c r="AG43" s="38">
        <f>IF($D43="WS",SUMPRODUCT(($C$35:$C44=$B43)*($Q$35:$Q44)*(AG$35:AG44)),IF($D43="MM",100*ABS(($G43-(Data2010!R40-$H43)/$J43)),IF($D43="XX",ABS((100*$G43)-((Data2010!R40-$E43)*$F43)),"na")))</f>
        <v>94</v>
      </c>
      <c r="AH43" s="38">
        <f>IF($D43="WS",SUMPRODUCT(($C$35:$C44=$B43)*($Q$35:$Q44)*(AH$35:AH44)),IF($D43="MM",100*ABS(($G43-(Data2010!S40-$H43)/$J43)),IF($D43="XX",ABS((100*$G43)-((Data2010!S40-$E43)*$F43)),"na")))</f>
        <v>92</v>
      </c>
      <c r="AI43" s="38">
        <f>IF($D43="WS",SUMPRODUCT(($C$35:$C44=$B43)*($Q$35:$Q44)*(AI$35:AI44)),IF($D43="MM",100*ABS(($G43-(Data2010!T40-$H43)/$J43)),IF($D43="XX",ABS((100*$G43)-((Data2010!T40-$E43)*$F43)),"na")))</f>
        <v>97</v>
      </c>
      <c r="AJ43" s="38">
        <f>IF($D43="WS",SUMPRODUCT(($C$35:$C44=$B43)*($Q$35:$Q44)*(AJ$35:AJ44)),IF($D43="MM",100*ABS(($G43-(Data2010!U40-$H43)/$J43)),IF($D43="XX",ABS((100*$G43)-((Data2010!U40-$E43)*$F43)),"na")))</f>
        <v>100</v>
      </c>
      <c r="AK43" s="38">
        <f>IF($D43="WS",SUMPRODUCT(($C$35:$C44=$B43)*($Q$35:$Q44)*(AK$35:AK44)),IF($D43="MM",100*ABS(($G43-(Data2010!V40-$H43)/$J43)),IF($D43="XX",ABS((100*$G43)-((Data2010!V40-$E43)*$F43)),"na")))</f>
        <v>0</v>
      </c>
    </row>
    <row r="44" spans="2:37">
      <c r="B44" t="str">
        <f>tblIndicators!A39</f>
        <v>DEPE11</v>
      </c>
      <c r="C44" t="str">
        <f>tblIndicators!B39</f>
        <v>DEPE</v>
      </c>
      <c r="D44" t="str">
        <f>tblIndicators!D39</f>
        <v>XX</v>
      </c>
      <c r="E44">
        <f>tblIndicators!E39</f>
        <v>0</v>
      </c>
      <c r="F44">
        <f>tblIndicators!F39</f>
        <v>1</v>
      </c>
      <c r="G44">
        <f>tblIndicators!G39</f>
        <v>0</v>
      </c>
      <c r="H44">
        <f>MIN(Data2010!D41:V41)</f>
        <v>0</v>
      </c>
      <c r="I44">
        <f>MAX(Data2010!D41:V41)</f>
        <v>100</v>
      </c>
      <c r="J44" s="22">
        <f t="shared" si="3"/>
        <v>100</v>
      </c>
      <c r="K44" t="e">
        <f>MATCH(B44,Weights!C$4:C$36,0)</f>
        <v>#N/A</v>
      </c>
      <c r="L44" s="95">
        <f>tblIndicators!S39</f>
        <v>0</v>
      </c>
      <c r="M44" t="e">
        <f>INDEX(Weights!G$4:G$36,K44)</f>
        <v>#N/A</v>
      </c>
      <c r="N44" s="36" t="e">
        <f t="shared" si="4"/>
        <v>#N/A</v>
      </c>
      <c r="P44" t="str">
        <f>tblIndicators!Q39</f>
        <v xml:space="preserve">      Improved water source, rural (% of rural population with access), 2006</v>
      </c>
      <c r="Q44" s="103"/>
      <c r="S44" s="38">
        <f>IF($D44="WS",SUMPRODUCT(($C$35:$C45=$B44)*($Q$35:$Q45)*(S$35:S45)),IF($D44="MM",100*ABS(($G44-(Data2010!D41-$H44)/$J44)),IF($D44="XX",ABS((100*$G44)-((Data2010!D41-$E44)*$F44)),"na")))</f>
        <v>80</v>
      </c>
      <c r="T44" s="38">
        <f>IF($D44="WS",SUMPRODUCT(($C$35:$C45=$B44)*($Q$35:$Q45)*(T$35:T45)),IF($D44="MM",100*ABS(($G44-(Data2010!E41-$H44)/$J44)),IF($D44="XX",ABS((100*$G44)-((Data2010!E41-$E44)*$F44)),"na")))</f>
        <v>58</v>
      </c>
      <c r="U44" s="38">
        <f>IF($D44="WS",SUMPRODUCT(($C$35:$C45=$B44)*($Q$35:$Q45)*(U$35:U45)),IF($D44="MM",100*ABS(($G44-(Data2010!F41-$H44)/$J44)),IF($D44="XX",ABS((100*$G44)-((Data2010!F41-$E44)*$F44)),"na")))</f>
        <v>72</v>
      </c>
      <c r="V44" s="38">
        <f>IF($D44="WS",SUMPRODUCT(($C$35:$C45=$B44)*($Q$35:$Q45)*(V$35:V45)),IF($D44="MM",100*ABS(($G44-(Data2010!G41-$H44)/$J44)),IF($D44="XX",ABS((100*$G44)-((Data2010!G41-$E44)*$F44)),"na")))</f>
        <v>77</v>
      </c>
      <c r="W44" s="38">
        <f>IF($D44="WS",SUMPRODUCT(($C$35:$C45=$B44)*($Q$35:$Q45)*(W$35:W45)),IF($D44="MM",100*ABS(($G44-(Data2010!H41-$H44)/$J44)),IF($D44="XX",ABS((100*$G44)-((Data2010!H41-$E44)*$F44)),"na")))</f>
        <v>96</v>
      </c>
      <c r="X44" s="38">
        <f>IF($D44="WS",SUMPRODUCT(($C$35:$C45=$B44)*($Q$35:$Q45)*(X$35:X45)),IF($D44="MM",100*ABS(($G44-(Data2010!I41-$H44)/$J44)),IF($D44="XX",ABS((100*$G44)-((Data2010!I41-$E44)*$F44)),"na")))</f>
        <v>91</v>
      </c>
      <c r="Y44" s="38">
        <f>IF($D44="WS",SUMPRODUCT(($C$35:$C45=$B44)*($Q$35:$Q45)*(Y$35:Y45)),IF($D44="MM",100*ABS(($G44-(Data2010!J41-$H44)/$J44)),IF($D44="XX",ABS((100*$G44)-((Data2010!J41-$E44)*$F44)),"na")))</f>
        <v>91</v>
      </c>
      <c r="Z44" s="38">
        <f>IF($D44="WS",SUMPRODUCT(($C$35:$C45=$B44)*($Q$35:$Q45)*(Z$35:Z45)),IF($D44="MM",100*ABS(($G44-(Data2010!K41-$H44)/$J44)),IF($D44="XX",ABS((100*$G44)-((Data2010!K41-$E44)*$F44)),"na")))</f>
        <v>68</v>
      </c>
      <c r="AA44" s="38">
        <f>IF($D44="WS",SUMPRODUCT(($C$35:$C45=$B44)*($Q$35:$Q45)*(AA$35:AA45)),IF($D44="MM",100*ABS(($G44-(Data2010!L41-$H44)/$J44)),IF($D44="XX",ABS((100*$G44)-((Data2010!L41-$E44)*$F44)),"na")))</f>
        <v>94</v>
      </c>
      <c r="AB44" s="38">
        <f>IF($D44="WS",SUMPRODUCT(($C$35:$C45=$B44)*($Q$35:$Q45)*(AB$35:AB45)),IF($D44="MM",100*ABS(($G44-(Data2010!M41-$H44)/$J44)),IF($D44="XX",ABS((100*$G44)-((Data2010!M41-$E44)*$F44)),"na")))</f>
        <v>74</v>
      </c>
      <c r="AC44" s="38">
        <f>IF($D44="WS",SUMPRODUCT(($C$35:$C45=$B44)*($Q$35:$Q45)*(AC$35:AC45)),IF($D44="MM",100*ABS(($G44-(Data2010!N41-$H44)/$J44)),IF($D44="XX",ABS((100*$G44)-((Data2010!N41-$E44)*$F44)),"na")))</f>
        <v>88</v>
      </c>
      <c r="AD44" s="38">
        <f>IF($D44="WS",SUMPRODUCT(($C$35:$C45=$B44)*($Q$35:$Q45)*(AD$35:AD45)),IF($D44="MM",100*ABS(($G44-(Data2010!O41-$H44)/$J44)),IF($D44="XX",ABS((100*$G44)-((Data2010!O41-$E44)*$F44)),"na")))</f>
        <v>85</v>
      </c>
      <c r="AE44" s="38">
        <f>IF($D44="WS",SUMPRODUCT(($C$35:$C45=$B44)*($Q$35:$Q45)*(AE$35:AE45)),IF($D44="MM",100*ABS(($G44-(Data2010!P41-$H44)/$J44)),IF($D44="XX",ABS((100*$G44)-((Data2010!P41-$E44)*$F44)),"na")))</f>
        <v>63</v>
      </c>
      <c r="AF44" s="38">
        <f>IF($D44="WS",SUMPRODUCT(($C$35:$C45=$B44)*($Q$35:$Q45)*(AF$35:AF45)),IF($D44="MM",100*ABS(($G44-(Data2010!Q41-$H44)/$J44)),IF($D44="XX",ABS((100*$G44)-((Data2010!Q41-$E44)*$F44)),"na")))</f>
        <v>81</v>
      </c>
      <c r="AG44" s="38">
        <f>IF($D44="WS",SUMPRODUCT(($C$35:$C45=$B44)*($Q$35:$Q45)*(AG$35:AG45)),IF($D44="MM",100*ABS(($G44-(Data2010!R41-$H44)/$J44)),IF($D44="XX",ABS((100*$G44)-((Data2010!R41-$E44)*$F44)),"na")))</f>
        <v>52</v>
      </c>
      <c r="AH44" s="38">
        <f>IF($D44="WS",SUMPRODUCT(($C$35:$C45=$B44)*($Q$35:$Q45)*(AH$35:AH45)),IF($D44="MM",100*ABS(($G44-(Data2010!S41-$H44)/$J44)),IF($D44="XX",ABS((100*$G44)-((Data2010!S41-$E44)*$F44)),"na")))</f>
        <v>63</v>
      </c>
      <c r="AI44" s="38">
        <f>IF($D44="WS",SUMPRODUCT(($C$35:$C45=$B44)*($Q$35:$Q45)*(AI$35:AI45)),IF($D44="MM",100*ABS(($G44-(Data2010!T41-$H44)/$J44)),IF($D44="XX",ABS((100*$G44)-((Data2010!T41-$E44)*$F44)),"na")))</f>
        <v>93</v>
      </c>
      <c r="AJ44" s="38">
        <f>IF($D44="WS",SUMPRODUCT(($C$35:$C45=$B44)*($Q$35:$Q45)*(AJ$35:AJ45)),IF($D44="MM",100*ABS(($G44-(Data2010!U41-$H44)/$J44)),IF($D44="XX",ABS((100*$G44)-((Data2010!U41-$E44)*$F44)),"na")))</f>
        <v>100</v>
      </c>
      <c r="AK44" s="38">
        <f>IF($D44="WS",SUMPRODUCT(($C$35:$C45=$B44)*($Q$35:$Q45)*(AK$35:AK45)),IF($D44="MM",100*ABS(($G44-(Data2010!V41-$H44)/$J44)),IF($D44="XX",ABS((100*$G44)-((Data2010!V41-$E44)*$F44)),"na")))</f>
        <v>0</v>
      </c>
    </row>
    <row r="45" spans="2:37">
      <c r="J45" s="22"/>
      <c r="L45" s="95"/>
      <c r="N45" s="36"/>
      <c r="Q45" s="103"/>
      <c r="S45" s="38"/>
      <c r="T45" s="38"/>
      <c r="U45" s="38"/>
      <c r="V45" s="38"/>
      <c r="W45" s="38"/>
      <c r="X45" s="38"/>
      <c r="Y45" s="38"/>
      <c r="Z45" s="38"/>
      <c r="AA45" s="38"/>
      <c r="AB45" s="38"/>
      <c r="AC45" s="38"/>
      <c r="AD45" s="38"/>
      <c r="AE45" s="38"/>
      <c r="AF45" s="38"/>
      <c r="AG45" s="38"/>
      <c r="AH45" s="38"/>
      <c r="AI45" s="38"/>
      <c r="AJ45" s="38"/>
      <c r="AK45" s="38"/>
    </row>
    <row r="46" spans="2:37">
      <c r="J46" s="22"/>
      <c r="L46" s="95"/>
      <c r="N46" s="36"/>
      <c r="Q46" s="103"/>
      <c r="S46" s="38"/>
      <c r="T46" s="38"/>
      <c r="U46" s="38"/>
      <c r="V46" s="38"/>
      <c r="W46" s="38"/>
      <c r="X46" s="38"/>
      <c r="Y46" s="38"/>
      <c r="Z46" s="38"/>
      <c r="AA46" s="38"/>
      <c r="AB46" s="38"/>
      <c r="AC46" s="38"/>
      <c r="AD46" s="38"/>
      <c r="AE46" s="38"/>
      <c r="AF46" s="38"/>
      <c r="AG46" s="38"/>
      <c r="AH46" s="38"/>
      <c r="AI46" s="38"/>
      <c r="AJ46" s="38"/>
      <c r="AK46" s="38"/>
    </row>
    <row r="47" spans="2:37">
      <c r="J47" s="22"/>
      <c r="L47" s="95"/>
      <c r="N47" s="36"/>
      <c r="P47" t="s">
        <v>359</v>
      </c>
      <c r="Q47" s="103"/>
      <c r="S47" s="38"/>
      <c r="T47" s="38"/>
      <c r="U47" s="38"/>
      <c r="V47" s="38"/>
      <c r="W47" s="38"/>
      <c r="X47" s="38"/>
      <c r="Y47" s="38"/>
      <c r="Z47" s="38"/>
      <c r="AA47" s="38"/>
      <c r="AB47" s="38"/>
      <c r="AC47" s="38"/>
      <c r="AD47" s="38"/>
      <c r="AE47" s="38"/>
      <c r="AF47" s="38"/>
      <c r="AG47" s="38"/>
      <c r="AH47" s="38"/>
      <c r="AI47" s="38"/>
      <c r="AJ47" s="38"/>
      <c r="AK47" s="38"/>
    </row>
  </sheetData>
  <phoneticPr fontId="0"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11"/>
  <dimension ref="B2:AI40"/>
  <sheetViews>
    <sheetView workbookViewId="0">
      <pane xSplit="3" ySplit="3" topLeftCell="D4" activePane="bottomRight" state="frozen"/>
      <selection pane="topRight" activeCell="D1" sqref="D1"/>
      <selection pane="bottomLeft" activeCell="A4" sqref="A4"/>
      <selection pane="bottomRight" activeCell="C31" sqref="C31"/>
    </sheetView>
  </sheetViews>
  <sheetFormatPr defaultRowHeight="15"/>
  <cols>
    <col min="1" max="1" width="2.7109375" customWidth="1"/>
    <col min="3" max="3" width="41.7109375" bestFit="1" customWidth="1"/>
    <col min="21" max="21" width="9.140625" style="21"/>
  </cols>
  <sheetData>
    <row r="2" spans="2:35">
      <c r="D2" t="str">
        <f>Data2010!D3</f>
        <v>Argentina</v>
      </c>
      <c r="E2" t="str">
        <f>Data2010!E3</f>
        <v>Brazil</v>
      </c>
      <c r="F2" t="str">
        <f>Data2010!F3</f>
        <v xml:space="preserve">Chile </v>
      </c>
      <c r="G2" t="str">
        <f>Data2010!G3</f>
        <v>Colombia</v>
      </c>
      <c r="H2" t="str">
        <f>Data2010!H3</f>
        <v>Costa Rica</v>
      </c>
      <c r="I2" t="str">
        <f>Data2010!I3</f>
        <v>Dominican Rep.</v>
      </c>
      <c r="J2" t="str">
        <f>Data2010!J3</f>
        <v>Ecuador</v>
      </c>
      <c r="K2" t="str">
        <f>Data2010!K3</f>
        <v>El Salvador</v>
      </c>
      <c r="L2" t="str">
        <f>Data2010!L3</f>
        <v>Guatemala</v>
      </c>
      <c r="M2" t="str">
        <f>Data2010!M3</f>
        <v>Honduras</v>
      </c>
      <c r="N2" t="str">
        <f>Data2010!N3</f>
        <v>Jamaica</v>
      </c>
      <c r="O2" t="str">
        <f>Data2010!O3</f>
        <v>Mexico</v>
      </c>
      <c r="P2" t="str">
        <f>Data2010!P3</f>
        <v>Nicaragua</v>
      </c>
      <c r="Q2" t="str">
        <f>Data2010!Q3</f>
        <v>Panama</v>
      </c>
      <c r="R2" t="str">
        <f>Data2010!R3</f>
        <v>Paraguay</v>
      </c>
      <c r="S2" t="str">
        <f>Data2010!S3</f>
        <v>Peru</v>
      </c>
      <c r="T2" t="str">
        <f>Data2010!T3</f>
        <v>Trinidad &amp; Tobago</v>
      </c>
      <c r="U2" s="21" t="str">
        <f>Data2010!U3</f>
        <v>Uruguay</v>
      </c>
      <c r="V2" t="str">
        <f>Data2010!V3</f>
        <v>Venezuela</v>
      </c>
    </row>
    <row r="3" spans="2:35">
      <c r="B3" t="str">
        <f>tblIndicators!A2</f>
        <v>TOTL</v>
      </c>
      <c r="C3" s="39" t="str">
        <f>tblIndicators!H2</f>
        <v>OVERALL SCORE</v>
      </c>
      <c r="D3" s="181"/>
      <c r="E3" s="181"/>
      <c r="F3" s="181"/>
      <c r="G3" s="181"/>
      <c r="H3" s="181"/>
      <c r="I3" s="181"/>
      <c r="J3" s="181"/>
      <c r="K3" s="181"/>
      <c r="L3" s="181"/>
      <c r="M3" s="181"/>
      <c r="N3" s="181"/>
      <c r="O3" s="181"/>
      <c r="P3" s="181"/>
      <c r="Q3" s="181"/>
      <c r="R3" s="181"/>
      <c r="S3" s="181"/>
      <c r="T3" s="181"/>
      <c r="U3" s="182"/>
      <c r="V3" s="181"/>
      <c r="W3" s="181"/>
    </row>
    <row r="4" spans="2:35">
      <c r="B4" t="str">
        <f>tblIndicators!A3</f>
        <v>LEGF</v>
      </c>
      <c r="C4" s="39" t="str">
        <f>tblIndicators!H3</f>
        <v>Regulatory framework</v>
      </c>
      <c r="D4" s="181"/>
      <c r="E4" s="181"/>
      <c r="F4" s="181"/>
      <c r="G4" s="181"/>
      <c r="H4" s="181"/>
      <c r="I4" s="181"/>
      <c r="J4" s="181"/>
      <c r="K4" s="181"/>
      <c r="L4" s="181"/>
      <c r="M4" s="181"/>
      <c r="N4" s="181"/>
      <c r="O4" s="181"/>
      <c r="P4" s="181"/>
      <c r="Q4" s="181"/>
      <c r="R4" s="181"/>
      <c r="S4" s="181"/>
      <c r="T4" s="181"/>
      <c r="U4" s="182"/>
      <c r="V4" s="181"/>
      <c r="W4" s="181"/>
    </row>
    <row r="5" spans="2:35" s="21" customFormat="1">
      <c r="B5" s="21" t="str">
        <f>tblIndicators!A4</f>
        <v>LEGF01</v>
      </c>
      <c r="C5" s="21" t="str">
        <f>tblIndicators!H4</f>
        <v>Consistency and quality of PPP regulations</v>
      </c>
      <c r="D5" s="182" t="s">
        <v>387</v>
      </c>
      <c r="E5" s="182" t="s">
        <v>324</v>
      </c>
      <c r="F5" s="182" t="s">
        <v>323</v>
      </c>
      <c r="G5" s="182" t="s">
        <v>322</v>
      </c>
      <c r="H5" s="182" t="s">
        <v>321</v>
      </c>
      <c r="I5" s="182" t="s">
        <v>320</v>
      </c>
      <c r="J5" s="182" t="s">
        <v>15</v>
      </c>
      <c r="K5" s="182" t="s">
        <v>26</v>
      </c>
      <c r="L5" s="182" t="s">
        <v>319</v>
      </c>
      <c r="M5" s="182" t="s">
        <v>318</v>
      </c>
      <c r="N5" s="182" t="s">
        <v>317</v>
      </c>
      <c r="O5" s="182" t="s">
        <v>316</v>
      </c>
      <c r="P5" s="182" t="s">
        <v>315</v>
      </c>
      <c r="Q5" s="182" t="s">
        <v>391</v>
      </c>
      <c r="R5" s="182" t="s">
        <v>1096</v>
      </c>
      <c r="S5" s="182" t="s">
        <v>314</v>
      </c>
      <c r="T5" s="182" t="s">
        <v>23</v>
      </c>
      <c r="U5" s="182" t="s">
        <v>25</v>
      </c>
      <c r="V5" s="182" t="s">
        <v>313</v>
      </c>
      <c r="W5" s="182"/>
      <c r="X5" s="182"/>
      <c r="Y5" s="182"/>
      <c r="Z5" s="182"/>
      <c r="AA5" s="182"/>
    </row>
    <row r="6" spans="2:35">
      <c r="B6" t="str">
        <f>tblIndicators!A5</f>
        <v>LEGF02</v>
      </c>
      <c r="C6" t="str">
        <f>tblIndicators!H5</f>
        <v>Effective PPP selection and decision making</v>
      </c>
      <c r="D6" s="182" t="s">
        <v>310</v>
      </c>
      <c r="E6" s="182" t="s">
        <v>311</v>
      </c>
      <c r="F6" s="182" t="s">
        <v>312</v>
      </c>
      <c r="G6" s="182" t="s">
        <v>309</v>
      </c>
      <c r="H6" s="182" t="s">
        <v>298</v>
      </c>
      <c r="I6" s="182" t="s">
        <v>299</v>
      </c>
      <c r="J6" s="182" t="s">
        <v>22</v>
      </c>
      <c r="K6" s="182" t="s">
        <v>300</v>
      </c>
      <c r="L6" s="182" t="s">
        <v>301</v>
      </c>
      <c r="M6" s="182" t="s">
        <v>302</v>
      </c>
      <c r="N6" s="182" t="s">
        <v>303</v>
      </c>
      <c r="O6" s="182" t="s">
        <v>304</v>
      </c>
      <c r="P6" s="182" t="s">
        <v>305</v>
      </c>
      <c r="Q6" s="182" t="s">
        <v>1080</v>
      </c>
      <c r="R6" s="182" t="s">
        <v>306</v>
      </c>
      <c r="S6" s="182" t="s">
        <v>307</v>
      </c>
      <c r="T6" s="182" t="s">
        <v>308</v>
      </c>
      <c r="U6" s="182" t="s">
        <v>284</v>
      </c>
      <c r="V6" s="182" t="s">
        <v>285</v>
      </c>
      <c r="W6" s="182"/>
      <c r="X6" s="182"/>
      <c r="Y6" s="182"/>
      <c r="Z6" s="182"/>
      <c r="AA6" s="182"/>
    </row>
    <row r="7" spans="2:35">
      <c r="B7" t="str">
        <f>tblIndicators!A6</f>
        <v>LEGF03</v>
      </c>
      <c r="C7" t="str">
        <f>tblIndicators!H6</f>
        <v>Fairness/openness of bids, contract changes</v>
      </c>
      <c r="D7" s="182" t="s">
        <v>286</v>
      </c>
      <c r="E7" s="182" t="s">
        <v>287</v>
      </c>
      <c r="F7" s="182" t="s">
        <v>288</v>
      </c>
      <c r="G7" s="182" t="s">
        <v>289</v>
      </c>
      <c r="H7" s="182" t="s">
        <v>698</v>
      </c>
      <c r="I7" s="182" t="s">
        <v>290</v>
      </c>
      <c r="J7" s="182" t="s">
        <v>291</v>
      </c>
      <c r="K7" s="182" t="s">
        <v>292</v>
      </c>
      <c r="L7" s="182" t="s">
        <v>293</v>
      </c>
      <c r="M7" s="182" t="s">
        <v>294</v>
      </c>
      <c r="N7" s="182" t="s">
        <v>295</v>
      </c>
      <c r="O7" s="182" t="s">
        <v>296</v>
      </c>
      <c r="P7" s="182" t="s">
        <v>297</v>
      </c>
      <c r="Q7" s="182" t="s">
        <v>283</v>
      </c>
      <c r="R7" s="182" t="s">
        <v>279</v>
      </c>
      <c r="S7" s="182" t="s">
        <v>280</v>
      </c>
      <c r="T7" s="182" t="s">
        <v>1081</v>
      </c>
      <c r="U7" s="182" t="s">
        <v>258</v>
      </c>
      <c r="V7" s="182" t="s">
        <v>259</v>
      </c>
      <c r="W7" s="182"/>
      <c r="X7" s="182"/>
      <c r="Y7" s="182"/>
      <c r="Z7" s="182"/>
      <c r="AA7" s="182"/>
    </row>
    <row r="8" spans="2:35">
      <c r="B8" t="str">
        <f>tblIndicators!A7</f>
        <v>LEGF04</v>
      </c>
      <c r="C8" t="str">
        <f>tblIndicators!H7</f>
        <v>Dispute resolution mechanisms</v>
      </c>
      <c r="D8" s="182" t="s">
        <v>260</v>
      </c>
      <c r="E8" s="182" t="s">
        <v>261</v>
      </c>
      <c r="F8" s="182" t="s">
        <v>262</v>
      </c>
      <c r="G8" s="182" t="s">
        <v>263</v>
      </c>
      <c r="H8" s="182" t="s">
        <v>264</v>
      </c>
      <c r="I8" s="182" t="s">
        <v>265</v>
      </c>
      <c r="J8" s="182" t="s">
        <v>266</v>
      </c>
      <c r="K8" s="182" t="s">
        <v>267</v>
      </c>
      <c r="L8" s="182" t="s">
        <v>268</v>
      </c>
      <c r="M8" s="182" t="s">
        <v>269</v>
      </c>
      <c r="N8" s="182" t="s">
        <v>270</v>
      </c>
      <c r="O8" s="182" t="s">
        <v>271</v>
      </c>
      <c r="P8" s="182" t="s">
        <v>272</v>
      </c>
      <c r="Q8" s="182" t="s">
        <v>273</v>
      </c>
      <c r="R8" s="182" t="s">
        <v>274</v>
      </c>
      <c r="S8" s="182" t="s">
        <v>275</v>
      </c>
      <c r="T8" s="182" t="s">
        <v>276</v>
      </c>
      <c r="U8" s="182" t="s">
        <v>277</v>
      </c>
      <c r="V8" s="182" t="s">
        <v>278</v>
      </c>
      <c r="W8" s="182"/>
      <c r="X8" s="182"/>
      <c r="Y8" s="182"/>
      <c r="Z8" s="182"/>
      <c r="AA8" s="182"/>
    </row>
    <row r="9" spans="2:35">
      <c r="B9" t="str">
        <f>tblIndicators!A8</f>
        <v>INST</v>
      </c>
      <c r="C9" s="39" t="str">
        <f>tblIndicators!H8</f>
        <v>Institutional framework</v>
      </c>
      <c r="D9" s="182"/>
      <c r="E9" s="182"/>
      <c r="F9" s="182"/>
      <c r="G9" s="182"/>
      <c r="H9" s="182"/>
      <c r="I9" s="182"/>
      <c r="J9" s="182"/>
      <c r="K9" s="182"/>
      <c r="L9" s="182"/>
      <c r="M9" s="182"/>
      <c r="N9" s="182"/>
      <c r="O9" s="182"/>
      <c r="P9" s="182"/>
      <c r="Q9" s="182"/>
      <c r="R9" s="182"/>
      <c r="S9" s="182"/>
      <c r="T9" s="182"/>
      <c r="U9" s="182"/>
      <c r="V9" s="182"/>
      <c r="W9" s="182"/>
      <c r="X9" s="182"/>
      <c r="Y9" s="182"/>
      <c r="Z9" s="182"/>
      <c r="AA9" s="182"/>
    </row>
    <row r="10" spans="2:35">
      <c r="B10" t="str">
        <f>tblIndicators!A9</f>
        <v>INST01</v>
      </c>
      <c r="C10" t="str">
        <f>tblIndicators!H9</f>
        <v>Quality of institutional design</v>
      </c>
      <c r="D10" s="182" t="s">
        <v>281</v>
      </c>
      <c r="E10" s="182" t="s">
        <v>282</v>
      </c>
      <c r="F10" s="182" t="s">
        <v>257</v>
      </c>
      <c r="G10" s="182" t="s">
        <v>255</v>
      </c>
      <c r="H10" s="182" t="s">
        <v>256</v>
      </c>
      <c r="I10" s="182" t="s">
        <v>254</v>
      </c>
      <c r="J10" s="182" t="s">
        <v>21</v>
      </c>
      <c r="K10" s="182" t="s">
        <v>251</v>
      </c>
      <c r="L10" s="182" t="s">
        <v>252</v>
      </c>
      <c r="M10" s="182" t="s">
        <v>253</v>
      </c>
      <c r="N10" s="182" t="s">
        <v>250</v>
      </c>
      <c r="O10" s="182" t="s">
        <v>246</v>
      </c>
      <c r="P10" s="182" t="s">
        <v>247</v>
      </c>
      <c r="Q10" s="182" t="s">
        <v>248</v>
      </c>
      <c r="R10" s="182" t="s">
        <v>249</v>
      </c>
      <c r="S10" s="182" t="s">
        <v>245</v>
      </c>
      <c r="T10" s="182" t="s">
        <v>244</v>
      </c>
      <c r="U10" s="182" t="s">
        <v>243</v>
      </c>
      <c r="V10" s="182" t="s">
        <v>238</v>
      </c>
      <c r="W10" s="182"/>
      <c r="X10" s="182"/>
      <c r="Y10" s="182"/>
      <c r="Z10" s="182"/>
      <c r="AA10" s="182"/>
    </row>
    <row r="11" spans="2:35">
      <c r="B11" t="str">
        <f>tblIndicators!A10</f>
        <v>INST02</v>
      </c>
      <c r="C11" t="str">
        <f>tblIndicators!H10</f>
        <v>PPP contract, hold-up and expropriation risk</v>
      </c>
      <c r="D11" s="182" t="s">
        <v>239</v>
      </c>
      <c r="E11" s="182" t="s">
        <v>240</v>
      </c>
      <c r="F11" s="182" t="s">
        <v>241</v>
      </c>
      <c r="G11" s="182" t="s">
        <v>242</v>
      </c>
      <c r="H11" s="182" t="s">
        <v>623</v>
      </c>
      <c r="I11" s="182" t="s">
        <v>237</v>
      </c>
      <c r="J11" s="182" t="s">
        <v>223</v>
      </c>
      <c r="K11" s="182" t="s">
        <v>224</v>
      </c>
      <c r="L11" s="182" t="s">
        <v>225</v>
      </c>
      <c r="M11" s="182" t="s">
        <v>1067</v>
      </c>
      <c r="N11" s="182" t="s">
        <v>226</v>
      </c>
      <c r="O11" s="182" t="s">
        <v>227</v>
      </c>
      <c r="P11" s="182" t="s">
        <v>228</v>
      </c>
      <c r="Q11" s="182" t="s">
        <v>229</v>
      </c>
      <c r="R11" s="182" t="s">
        <v>230</v>
      </c>
      <c r="S11" s="182" t="s">
        <v>231</v>
      </c>
      <c r="T11" s="182" t="s">
        <v>232</v>
      </c>
      <c r="U11" s="182" t="s">
        <v>233</v>
      </c>
      <c r="V11" s="182" t="s">
        <v>234</v>
      </c>
      <c r="W11" s="182"/>
      <c r="X11" s="182"/>
      <c r="Y11" s="182"/>
      <c r="Z11" s="182"/>
      <c r="AA11" s="182"/>
    </row>
    <row r="12" spans="2:35">
      <c r="B12" t="str">
        <f>tblIndicators!A11</f>
        <v>OPER</v>
      </c>
      <c r="C12" s="39" t="str">
        <f>tblIndicators!H11</f>
        <v>Operational maturity</v>
      </c>
      <c r="D12" s="182"/>
      <c r="E12" s="182"/>
      <c r="F12" s="182"/>
      <c r="G12" s="182"/>
      <c r="H12" s="182"/>
      <c r="I12" s="182"/>
      <c r="J12" s="182"/>
      <c r="K12" s="182"/>
      <c r="L12" s="182"/>
      <c r="M12" s="182"/>
      <c r="N12" s="182"/>
      <c r="O12" s="182"/>
      <c r="P12" s="182"/>
      <c r="Q12" s="182"/>
      <c r="R12" s="182"/>
      <c r="S12" s="182"/>
      <c r="T12" s="182"/>
      <c r="U12" s="182"/>
      <c r="V12" s="182"/>
      <c r="W12" s="182"/>
      <c r="X12" s="182"/>
      <c r="Y12" s="182"/>
      <c r="Z12" s="182"/>
      <c r="AA12" s="182"/>
    </row>
    <row r="13" spans="2:35">
      <c r="B13" t="str">
        <f>tblIndicators!A12</f>
        <v>OPER01</v>
      </c>
      <c r="C13" t="str">
        <f>tblIndicators!H12</f>
        <v>Public capacity to plan and oversee PPPs</v>
      </c>
      <c r="D13" s="182" t="s">
        <v>235</v>
      </c>
      <c r="E13" s="182" t="s">
        <v>236</v>
      </c>
      <c r="F13" s="182" t="s">
        <v>200</v>
      </c>
      <c r="G13" s="182" t="s">
        <v>201</v>
      </c>
      <c r="H13" s="182" t="s">
        <v>202</v>
      </c>
      <c r="I13" s="182" t="s">
        <v>203</v>
      </c>
      <c r="J13" s="182" t="s">
        <v>20</v>
      </c>
      <c r="K13" s="182" t="s">
        <v>204</v>
      </c>
      <c r="L13" s="182" t="s">
        <v>205</v>
      </c>
      <c r="M13" s="182" t="s">
        <v>206</v>
      </c>
      <c r="N13" s="182" t="s">
        <v>207</v>
      </c>
      <c r="O13" s="182" t="s">
        <v>16</v>
      </c>
      <c r="P13" s="182" t="s">
        <v>208</v>
      </c>
      <c r="Q13" s="182" t="s">
        <v>209</v>
      </c>
      <c r="R13" s="182" t="s">
        <v>210</v>
      </c>
      <c r="S13" s="182" t="s">
        <v>18</v>
      </c>
      <c r="T13" s="182" t="s">
        <v>211</v>
      </c>
      <c r="U13" s="182" t="s">
        <v>24</v>
      </c>
      <c r="V13" s="182" t="s">
        <v>212</v>
      </c>
      <c r="W13" s="182"/>
      <c r="X13" s="182"/>
      <c r="Y13" s="182"/>
      <c r="Z13" s="182"/>
      <c r="AA13" s="182"/>
    </row>
    <row r="14" spans="2:35">
      <c r="B14" s="49" t="str">
        <f>tblIndicators!A13</f>
        <v>OPER02</v>
      </c>
      <c r="C14" s="49" t="str">
        <f>tblIndicators!H13</f>
        <v xml:space="preserve">Methods and criteria for awarding projects </v>
      </c>
      <c r="D14" s="193" t="s">
        <v>1056</v>
      </c>
      <c r="E14" s="193" t="s">
        <v>213</v>
      </c>
      <c r="F14" s="193" t="s">
        <v>214</v>
      </c>
      <c r="G14" s="193" t="s">
        <v>215</v>
      </c>
      <c r="H14" s="193" t="s">
        <v>216</v>
      </c>
      <c r="I14" s="193" t="s">
        <v>217</v>
      </c>
      <c r="J14" s="193" t="s">
        <v>218</v>
      </c>
      <c r="K14" s="193" t="s">
        <v>219</v>
      </c>
      <c r="L14" s="193" t="s">
        <v>220</v>
      </c>
      <c r="M14" s="193" t="s">
        <v>221</v>
      </c>
      <c r="N14" s="193" t="s">
        <v>222</v>
      </c>
      <c r="O14" s="193" t="s">
        <v>199</v>
      </c>
      <c r="P14" s="193" t="s">
        <v>390</v>
      </c>
      <c r="Q14" s="193" t="s">
        <v>1062</v>
      </c>
      <c r="R14" s="193" t="s">
        <v>179</v>
      </c>
      <c r="S14" s="193" t="s">
        <v>180</v>
      </c>
      <c r="T14" s="193" t="s">
        <v>181</v>
      </c>
      <c r="U14" s="193" t="s">
        <v>182</v>
      </c>
      <c r="V14" s="193" t="s">
        <v>183</v>
      </c>
      <c r="W14" s="193"/>
      <c r="X14" s="193"/>
      <c r="Y14" s="193"/>
      <c r="Z14" s="193"/>
      <c r="AA14" s="193"/>
      <c r="AB14" s="49"/>
      <c r="AC14" s="49"/>
      <c r="AD14" s="49"/>
      <c r="AE14" s="49"/>
      <c r="AF14" s="49"/>
      <c r="AG14" s="49"/>
      <c r="AH14" s="49"/>
      <c r="AI14" s="49"/>
    </row>
    <row r="15" spans="2:35">
      <c r="B15" s="49" t="str">
        <f>tblIndicators!A14</f>
        <v>OPER03</v>
      </c>
      <c r="C15" s="49" t="str">
        <f>tblIndicators!H14</f>
        <v>Regulators' risk allocation record</v>
      </c>
      <c r="D15" s="193" t="s">
        <v>184</v>
      </c>
      <c r="E15" s="193" t="s">
        <v>185</v>
      </c>
      <c r="F15" s="193" t="s">
        <v>186</v>
      </c>
      <c r="G15" s="193" t="s">
        <v>187</v>
      </c>
      <c r="H15" s="193" t="s">
        <v>188</v>
      </c>
      <c r="I15" s="193" t="s">
        <v>189</v>
      </c>
      <c r="J15" s="193" t="s">
        <v>190</v>
      </c>
      <c r="K15" s="193" t="s">
        <v>191</v>
      </c>
      <c r="L15" s="193" t="s">
        <v>192</v>
      </c>
      <c r="M15" s="193" t="s">
        <v>193</v>
      </c>
      <c r="N15" s="193" t="s">
        <v>194</v>
      </c>
      <c r="O15" s="193" t="s">
        <v>195</v>
      </c>
      <c r="P15" s="193" t="s">
        <v>196</v>
      </c>
      <c r="Q15" s="193" t="s">
        <v>197</v>
      </c>
      <c r="R15" s="193" t="s">
        <v>198</v>
      </c>
      <c r="S15" s="193" t="s">
        <v>19</v>
      </c>
      <c r="T15" s="193" t="s">
        <v>140</v>
      </c>
      <c r="U15" s="193" t="s">
        <v>141</v>
      </c>
      <c r="V15" s="193" t="s">
        <v>142</v>
      </c>
      <c r="W15" s="193"/>
      <c r="X15" s="193"/>
      <c r="Y15" s="193"/>
      <c r="Z15" s="193"/>
      <c r="AA15" s="193"/>
      <c r="AB15" s="49"/>
      <c r="AC15" s="49"/>
      <c r="AD15" s="49"/>
      <c r="AE15" s="49"/>
      <c r="AF15" s="49"/>
      <c r="AG15" s="49"/>
      <c r="AH15" s="49"/>
      <c r="AI15" s="49"/>
    </row>
    <row r="16" spans="2:35" s="21" customFormat="1">
      <c r="B16" s="218" t="str">
        <f>tblIndicators!A15</f>
        <v>OPER04</v>
      </c>
      <c r="C16" s="218" t="str">
        <f>tblIndicators!H15</f>
        <v>Experience in PPP projects (concessions)</v>
      </c>
      <c r="D16" s="193" t="s">
        <v>143</v>
      </c>
      <c r="E16" s="193" t="s">
        <v>144</v>
      </c>
      <c r="F16" s="193" t="s">
        <v>145</v>
      </c>
      <c r="G16" s="193" t="s">
        <v>146</v>
      </c>
      <c r="H16" s="193" t="s">
        <v>147</v>
      </c>
      <c r="I16" s="193" t="s">
        <v>148</v>
      </c>
      <c r="J16" s="193" t="s">
        <v>149</v>
      </c>
      <c r="K16" s="193" t="s">
        <v>150</v>
      </c>
      <c r="L16" s="193" t="s">
        <v>151</v>
      </c>
      <c r="M16" s="193" t="s">
        <v>152</v>
      </c>
      <c r="N16" s="193" t="s">
        <v>153</v>
      </c>
      <c r="O16" s="193" t="s">
        <v>154</v>
      </c>
      <c r="P16" s="193" t="s">
        <v>155</v>
      </c>
      <c r="Q16" s="193" t="s">
        <v>156</v>
      </c>
      <c r="R16" s="193" t="s">
        <v>157</v>
      </c>
      <c r="S16" s="193" t="s">
        <v>158</v>
      </c>
      <c r="T16" s="193" t="s">
        <v>159</v>
      </c>
      <c r="U16" s="193" t="s">
        <v>160</v>
      </c>
      <c r="V16" s="193" t="s">
        <v>1082</v>
      </c>
      <c r="W16" s="193"/>
      <c r="X16" s="193"/>
      <c r="Y16" s="193"/>
      <c r="Z16" s="193"/>
      <c r="AA16" s="193"/>
      <c r="AB16" s="218"/>
      <c r="AC16" s="218"/>
      <c r="AD16" s="218"/>
      <c r="AE16" s="218"/>
      <c r="AF16" s="218"/>
      <c r="AG16" s="218"/>
      <c r="AH16" s="218"/>
      <c r="AI16" s="218"/>
    </row>
    <row r="17" spans="2:35">
      <c r="B17" s="49" t="str">
        <f>tblIndicators!A16</f>
        <v>OPER05</v>
      </c>
      <c r="C17" s="49" t="str">
        <f>tblIndicators!H16</f>
        <v>Quality of PPP projects (concessions)</v>
      </c>
      <c r="D17" s="193" t="s">
        <v>161</v>
      </c>
      <c r="E17" s="193" t="s">
        <v>162</v>
      </c>
      <c r="F17" s="193" t="s">
        <v>163</v>
      </c>
      <c r="G17" s="193" t="s">
        <v>164</v>
      </c>
      <c r="H17" s="193" t="s">
        <v>165</v>
      </c>
      <c r="I17" s="193" t="s">
        <v>166</v>
      </c>
      <c r="J17" s="193" t="s">
        <v>167</v>
      </c>
      <c r="K17" s="193" t="s">
        <v>168</v>
      </c>
      <c r="L17" s="193" t="s">
        <v>169</v>
      </c>
      <c r="M17" s="193" t="s">
        <v>170</v>
      </c>
      <c r="N17" s="193" t="s">
        <v>1055</v>
      </c>
      <c r="O17" s="193" t="s">
        <v>171</v>
      </c>
      <c r="P17" s="193" t="s">
        <v>172</v>
      </c>
      <c r="Q17" s="193" t="s">
        <v>173</v>
      </c>
      <c r="R17" s="193" t="s">
        <v>174</v>
      </c>
      <c r="S17" s="193" t="s">
        <v>175</v>
      </c>
      <c r="T17" s="193" t="s">
        <v>176</v>
      </c>
      <c r="U17" s="193" t="s">
        <v>177</v>
      </c>
      <c r="V17" s="193" t="s">
        <v>178</v>
      </c>
      <c r="W17" s="193"/>
      <c r="X17" s="193"/>
      <c r="Y17" s="193"/>
      <c r="Z17" s="193"/>
      <c r="AA17" s="193"/>
      <c r="AB17" s="49"/>
      <c r="AC17" s="49"/>
      <c r="AD17" s="49"/>
      <c r="AE17" s="49"/>
      <c r="AF17" s="49"/>
      <c r="AG17" s="49"/>
      <c r="AH17" s="49"/>
      <c r="AI17" s="49"/>
    </row>
    <row r="18" spans="2:35">
      <c r="B18" s="49" t="str">
        <f>tblIndicators!A17</f>
        <v>INVT</v>
      </c>
      <c r="C18" s="219" t="str">
        <f>tblIndicators!H17</f>
        <v>Investment climate</v>
      </c>
      <c r="D18" s="193" t="s">
        <v>888</v>
      </c>
      <c r="E18" s="193" t="s">
        <v>888</v>
      </c>
      <c r="F18" s="193" t="s">
        <v>888</v>
      </c>
      <c r="G18" s="193" t="s">
        <v>888</v>
      </c>
      <c r="H18" s="193" t="s">
        <v>888</v>
      </c>
      <c r="I18" s="193" t="s">
        <v>888</v>
      </c>
      <c r="J18" s="193" t="s">
        <v>888</v>
      </c>
      <c r="K18" s="193" t="s">
        <v>888</v>
      </c>
      <c r="L18" s="193" t="s">
        <v>888</v>
      </c>
      <c r="M18" s="193" t="s">
        <v>888</v>
      </c>
      <c r="N18" s="193" t="s">
        <v>888</v>
      </c>
      <c r="O18" s="193" t="s">
        <v>888</v>
      </c>
      <c r="P18" s="193" t="s">
        <v>888</v>
      </c>
      <c r="Q18" s="193" t="s">
        <v>888</v>
      </c>
      <c r="R18" s="193" t="s">
        <v>888</v>
      </c>
      <c r="S18" s="193" t="s">
        <v>888</v>
      </c>
      <c r="T18" s="193" t="s">
        <v>888</v>
      </c>
      <c r="U18" s="193" t="s">
        <v>888</v>
      </c>
      <c r="V18" s="193" t="s">
        <v>888</v>
      </c>
      <c r="W18" s="193"/>
      <c r="X18" s="193"/>
      <c r="Y18" s="193"/>
      <c r="Z18" s="193"/>
      <c r="AA18" s="193"/>
      <c r="AB18" s="49"/>
      <c r="AC18" s="49"/>
      <c r="AD18" s="49"/>
      <c r="AE18" s="49"/>
      <c r="AF18" s="49"/>
      <c r="AG18" s="49"/>
      <c r="AH18" s="49"/>
      <c r="AI18" s="49"/>
    </row>
    <row r="19" spans="2:35" ht="12" customHeight="1">
      <c r="B19" s="49" t="str">
        <f>tblIndicators!A18</f>
        <v>INVT01</v>
      </c>
      <c r="C19" s="49" t="str">
        <f>tblIndicators!H18</f>
        <v>Political distortion</v>
      </c>
      <c r="D19" s="193" t="s">
        <v>139</v>
      </c>
      <c r="E19" s="193" t="s">
        <v>138</v>
      </c>
      <c r="F19" s="220" t="s">
        <v>1079</v>
      </c>
      <c r="G19" s="193" t="s">
        <v>137</v>
      </c>
      <c r="H19" s="193" t="s">
        <v>135</v>
      </c>
      <c r="I19" s="216" t="s">
        <v>1077</v>
      </c>
      <c r="J19" s="193" t="s">
        <v>136</v>
      </c>
      <c r="K19" s="193" t="s">
        <v>134</v>
      </c>
      <c r="L19" s="193" t="s">
        <v>133</v>
      </c>
      <c r="M19" s="193" t="s">
        <v>1083</v>
      </c>
      <c r="N19" s="193" t="s">
        <v>1084</v>
      </c>
      <c r="O19" s="193" t="s">
        <v>132</v>
      </c>
      <c r="P19" s="193" t="s">
        <v>94</v>
      </c>
      <c r="Q19" s="193" t="s">
        <v>1085</v>
      </c>
      <c r="R19" s="193" t="s">
        <v>1057</v>
      </c>
      <c r="S19" s="193" t="s">
        <v>95</v>
      </c>
      <c r="T19" s="193" t="s">
        <v>96</v>
      </c>
      <c r="U19" s="193" t="s">
        <v>97</v>
      </c>
      <c r="V19" s="193" t="s">
        <v>1086</v>
      </c>
      <c r="W19" s="193"/>
      <c r="X19" s="193"/>
      <c r="Y19" s="193"/>
      <c r="Z19" s="193"/>
      <c r="AA19" s="193"/>
      <c r="AB19" s="49"/>
      <c r="AC19" s="49"/>
      <c r="AD19" s="49"/>
      <c r="AE19" s="49"/>
      <c r="AF19" s="49"/>
      <c r="AG19" s="49"/>
      <c r="AH19" s="49"/>
      <c r="AI19" s="49"/>
    </row>
    <row r="20" spans="2:35" s="21" customFormat="1">
      <c r="B20" s="218" t="str">
        <f>tblIndicators!A19</f>
        <v>INVT02</v>
      </c>
      <c r="C20" s="218" t="str">
        <f>tblIndicators!H19</f>
        <v>Business environment</v>
      </c>
      <c r="D20" s="193" t="s">
        <v>98</v>
      </c>
      <c r="E20" s="193" t="s">
        <v>99</v>
      </c>
      <c r="F20" s="193" t="s">
        <v>1087</v>
      </c>
      <c r="G20" s="193" t="s">
        <v>113</v>
      </c>
      <c r="H20" s="193" t="s">
        <v>114</v>
      </c>
      <c r="I20" s="217" t="s">
        <v>1078</v>
      </c>
      <c r="J20" s="193" t="s">
        <v>101</v>
      </c>
      <c r="K20" s="193" t="s">
        <v>102</v>
      </c>
      <c r="L20" s="193" t="s">
        <v>71</v>
      </c>
      <c r="M20" s="193" t="s">
        <v>1088</v>
      </c>
      <c r="N20" s="193" t="s">
        <v>1089</v>
      </c>
      <c r="O20" s="193" t="s">
        <v>73</v>
      </c>
      <c r="P20" s="193" t="s">
        <v>74</v>
      </c>
      <c r="Q20" s="193" t="s">
        <v>1090</v>
      </c>
      <c r="R20" s="193" t="s">
        <v>75</v>
      </c>
      <c r="S20" s="193" t="s">
        <v>76</v>
      </c>
      <c r="T20" s="193" t="s">
        <v>79</v>
      </c>
      <c r="U20" s="193" t="s">
        <v>115</v>
      </c>
      <c r="V20" s="193" t="s">
        <v>1091</v>
      </c>
      <c r="W20" s="193"/>
      <c r="X20" s="193"/>
      <c r="Y20" s="193"/>
      <c r="Z20" s="193"/>
      <c r="AA20" s="193"/>
      <c r="AB20" s="218"/>
      <c r="AC20" s="218"/>
      <c r="AD20" s="218"/>
      <c r="AE20" s="218"/>
      <c r="AF20" s="218"/>
      <c r="AG20" s="218"/>
      <c r="AH20" s="218"/>
      <c r="AI20" s="218"/>
    </row>
    <row r="21" spans="2:35" s="21" customFormat="1">
      <c r="B21" s="218" t="str">
        <f>tblIndicators!A20</f>
        <v>INVT03</v>
      </c>
      <c r="C21" s="218" t="str">
        <f>tblIndicators!H20</f>
        <v>Political will</v>
      </c>
      <c r="D21" s="193" t="s">
        <v>116</v>
      </c>
      <c r="E21" s="193" t="s">
        <v>117</v>
      </c>
      <c r="F21" s="193" t="s">
        <v>118</v>
      </c>
      <c r="G21" s="193" t="s">
        <v>119</v>
      </c>
      <c r="H21" s="193" t="s">
        <v>120</v>
      </c>
      <c r="I21" s="193" t="s">
        <v>121</v>
      </c>
      <c r="J21" s="193" t="s">
        <v>122</v>
      </c>
      <c r="K21" s="193" t="s">
        <v>123</v>
      </c>
      <c r="L21" s="193" t="s">
        <v>124</v>
      </c>
      <c r="M21" s="193" t="s">
        <v>125</v>
      </c>
      <c r="N21" s="193" t="s">
        <v>126</v>
      </c>
      <c r="O21" s="193" t="s">
        <v>77</v>
      </c>
      <c r="P21" s="193" t="s">
        <v>129</v>
      </c>
      <c r="Q21" s="193" t="s">
        <v>1060</v>
      </c>
      <c r="R21" s="193" t="s">
        <v>1097</v>
      </c>
      <c r="S21" s="193" t="s">
        <v>130</v>
      </c>
      <c r="T21" s="193" t="s">
        <v>93</v>
      </c>
      <c r="U21" s="193" t="s">
        <v>80</v>
      </c>
      <c r="V21" s="193" t="s">
        <v>81</v>
      </c>
      <c r="W21" s="193"/>
      <c r="X21" s="193"/>
      <c r="Y21" s="193"/>
      <c r="Z21" s="193"/>
      <c r="AA21" s="193"/>
      <c r="AB21" s="218"/>
      <c r="AC21" s="218"/>
      <c r="AD21" s="218"/>
      <c r="AE21" s="218"/>
      <c r="AF21" s="218"/>
      <c r="AG21" s="218"/>
      <c r="AH21" s="218"/>
      <c r="AI21" s="218"/>
    </row>
    <row r="22" spans="2:35" s="21" customFormat="1">
      <c r="B22" s="218" t="str">
        <f>tblIndicators!A21</f>
        <v>FINC</v>
      </c>
      <c r="C22" s="221" t="str">
        <f>tblIndicators!H21</f>
        <v>Financial facilities</v>
      </c>
      <c r="D22" s="193" t="s">
        <v>888</v>
      </c>
      <c r="E22" s="193" t="s">
        <v>888</v>
      </c>
      <c r="F22" s="193" t="s">
        <v>888</v>
      </c>
      <c r="G22" s="193" t="s">
        <v>888</v>
      </c>
      <c r="H22" s="193" t="s">
        <v>888</v>
      </c>
      <c r="I22" s="193" t="s">
        <v>888</v>
      </c>
      <c r="J22" s="193" t="s">
        <v>888</v>
      </c>
      <c r="K22" s="193" t="s">
        <v>888</v>
      </c>
      <c r="L22" s="193" t="s">
        <v>888</v>
      </c>
      <c r="M22" s="193" t="s">
        <v>888</v>
      </c>
      <c r="N22" s="193" t="s">
        <v>888</v>
      </c>
      <c r="O22" s="193" t="s">
        <v>888</v>
      </c>
      <c r="P22" s="193" t="s">
        <v>888</v>
      </c>
      <c r="Q22" s="193" t="s">
        <v>888</v>
      </c>
      <c r="R22" s="193" t="s">
        <v>888</v>
      </c>
      <c r="S22" s="193" t="s">
        <v>888</v>
      </c>
      <c r="T22" s="193" t="s">
        <v>888</v>
      </c>
      <c r="U22" s="193" t="s">
        <v>888</v>
      </c>
      <c r="V22" s="193" t="s">
        <v>888</v>
      </c>
      <c r="W22" s="193"/>
      <c r="X22" s="193"/>
      <c r="Y22" s="193"/>
      <c r="Z22" s="193"/>
      <c r="AA22" s="193"/>
      <c r="AB22" s="218"/>
      <c r="AC22" s="218"/>
      <c r="AD22" s="218"/>
      <c r="AE22" s="218"/>
      <c r="AF22" s="218"/>
      <c r="AG22" s="218"/>
      <c r="AH22" s="218"/>
      <c r="AI22" s="218"/>
    </row>
    <row r="23" spans="2:35" s="21" customFormat="1">
      <c r="B23" s="218" t="str">
        <f>tblIndicators!A22</f>
        <v>FINC01</v>
      </c>
      <c r="C23" s="218" t="str">
        <f>tblIndicators!H22</f>
        <v>Government payment risk</v>
      </c>
      <c r="D23" s="193" t="s">
        <v>82</v>
      </c>
      <c r="E23" s="193" t="s">
        <v>83</v>
      </c>
      <c r="F23" s="193" t="s">
        <v>84</v>
      </c>
      <c r="G23" s="193" t="s">
        <v>85</v>
      </c>
      <c r="H23" s="193" t="s">
        <v>86</v>
      </c>
      <c r="I23" s="193" t="s">
        <v>87</v>
      </c>
      <c r="J23" s="193" t="s">
        <v>88</v>
      </c>
      <c r="K23" s="193" t="s">
        <v>127</v>
      </c>
      <c r="L23" s="193" t="s">
        <v>128</v>
      </c>
      <c r="M23" s="193" t="s">
        <v>1059</v>
      </c>
      <c r="N23" s="193" t="s">
        <v>100</v>
      </c>
      <c r="O23" s="193" t="s">
        <v>89</v>
      </c>
      <c r="P23" s="193" t="s">
        <v>90</v>
      </c>
      <c r="Q23" s="193" t="s">
        <v>91</v>
      </c>
      <c r="R23" s="193" t="s">
        <v>92</v>
      </c>
      <c r="S23" s="193" t="s">
        <v>103</v>
      </c>
      <c r="T23" s="193" t="s">
        <v>104</v>
      </c>
      <c r="U23" s="193" t="s">
        <v>105</v>
      </c>
      <c r="V23" s="193" t="s">
        <v>106</v>
      </c>
      <c r="W23" s="193"/>
      <c r="X23" s="193"/>
      <c r="Y23" s="193"/>
      <c r="Z23" s="193"/>
      <c r="AA23" s="193"/>
      <c r="AB23" s="218"/>
      <c r="AC23" s="218"/>
      <c r="AD23" s="218"/>
      <c r="AE23" s="218"/>
      <c r="AF23" s="218"/>
      <c r="AG23" s="218"/>
      <c r="AH23" s="218"/>
      <c r="AI23" s="218"/>
    </row>
    <row r="24" spans="2:35" s="21" customFormat="1">
      <c r="B24" s="218" t="str">
        <f>tblIndicators!A23</f>
        <v>FINC02</v>
      </c>
      <c r="C24" s="218" t="str">
        <f>tblIndicators!H23</f>
        <v>Capital market: private infrastructure finance</v>
      </c>
      <c r="D24" s="193" t="s">
        <v>107</v>
      </c>
      <c r="E24" s="193" t="s">
        <v>108</v>
      </c>
      <c r="F24" s="193" t="s">
        <v>109</v>
      </c>
      <c r="G24" s="193" t="s">
        <v>110</v>
      </c>
      <c r="H24" s="193" t="s">
        <v>111</v>
      </c>
      <c r="I24" s="193" t="s">
        <v>112</v>
      </c>
      <c r="J24" s="193" t="s">
        <v>78</v>
      </c>
      <c r="K24" s="193" t="s">
        <v>72</v>
      </c>
      <c r="L24" s="193" t="s">
        <v>131</v>
      </c>
      <c r="M24" s="193" t="s">
        <v>50</v>
      </c>
      <c r="N24" s="193" t="s">
        <v>64</v>
      </c>
      <c r="O24" s="193" t="s">
        <v>70</v>
      </c>
      <c r="P24" s="193" t="s">
        <v>65</v>
      </c>
      <c r="Q24" s="193" t="s">
        <v>66</v>
      </c>
      <c r="R24" s="193" t="s">
        <v>67</v>
      </c>
      <c r="S24" s="193" t="s">
        <v>68</v>
      </c>
      <c r="T24" s="193" t="s">
        <v>69</v>
      </c>
      <c r="U24" s="193" t="s">
        <v>27</v>
      </c>
      <c r="V24" s="193" t="s">
        <v>28</v>
      </c>
      <c r="W24" s="193"/>
      <c r="X24" s="193"/>
      <c r="Y24" s="193"/>
      <c r="Z24" s="193"/>
      <c r="AA24" s="193"/>
      <c r="AB24" s="218"/>
      <c r="AC24" s="218"/>
      <c r="AD24" s="218"/>
      <c r="AE24" s="218"/>
      <c r="AF24" s="218"/>
      <c r="AG24" s="218"/>
      <c r="AH24" s="218"/>
      <c r="AI24" s="218"/>
    </row>
    <row r="25" spans="2:35" s="21" customFormat="1">
      <c r="B25" s="218" t="str">
        <f>tblIndicators!A24</f>
        <v>FINC03</v>
      </c>
      <c r="C25" s="218" t="str">
        <f>tblIndicators!H24</f>
        <v>Marketable debt</v>
      </c>
      <c r="D25" s="222" t="s">
        <v>1073</v>
      </c>
      <c r="E25" s="217" t="s">
        <v>1073</v>
      </c>
      <c r="F25" s="217" t="s">
        <v>1074</v>
      </c>
      <c r="G25" s="217" t="s">
        <v>1073</v>
      </c>
      <c r="H25" s="217" t="s">
        <v>1073</v>
      </c>
      <c r="I25" s="217" t="s">
        <v>1075</v>
      </c>
      <c r="J25" s="217" t="s">
        <v>1075</v>
      </c>
      <c r="K25" s="217" t="s">
        <v>1076</v>
      </c>
      <c r="L25" s="217" t="s">
        <v>1075</v>
      </c>
      <c r="M25" s="217" t="s">
        <v>1075</v>
      </c>
      <c r="N25" s="217" t="s">
        <v>1076</v>
      </c>
      <c r="O25" s="217" t="s">
        <v>1073</v>
      </c>
      <c r="P25" s="217" t="s">
        <v>1075</v>
      </c>
      <c r="Q25" s="217" t="s">
        <v>1074</v>
      </c>
      <c r="R25" s="217" t="s">
        <v>1075</v>
      </c>
      <c r="S25" s="217" t="s">
        <v>1073</v>
      </c>
      <c r="T25" s="217" t="s">
        <v>1073</v>
      </c>
      <c r="U25" s="217" t="s">
        <v>1075</v>
      </c>
      <c r="V25" s="217" t="s">
        <v>1075</v>
      </c>
      <c r="W25" s="222"/>
      <c r="X25" s="222"/>
      <c r="Y25" s="193"/>
      <c r="Z25" s="193"/>
      <c r="AA25" s="193"/>
      <c r="AB25" s="218"/>
      <c r="AC25" s="218"/>
      <c r="AD25" s="218"/>
      <c r="AE25" s="218"/>
      <c r="AF25" s="218"/>
      <c r="AG25" s="218"/>
      <c r="AH25" s="218"/>
      <c r="AI25" s="218"/>
    </row>
    <row r="26" spans="2:35" s="21" customFormat="1">
      <c r="B26" s="218" t="str">
        <f>tblIndicators!A25</f>
        <v>FINC04</v>
      </c>
      <c r="C26" s="218" t="str">
        <f>tblIndicators!H25</f>
        <v>Government support and affordability for low income users</v>
      </c>
      <c r="D26" s="193" t="s">
        <v>44</v>
      </c>
      <c r="E26" s="193" t="s">
        <v>45</v>
      </c>
      <c r="F26" s="193" t="s">
        <v>46</v>
      </c>
      <c r="G26" s="193" t="s">
        <v>47</v>
      </c>
      <c r="H26" s="193" t="s">
        <v>48</v>
      </c>
      <c r="I26" s="193" t="s">
        <v>49</v>
      </c>
      <c r="J26" s="193" t="s">
        <v>51</v>
      </c>
      <c r="K26" s="193" t="s">
        <v>52</v>
      </c>
      <c r="L26" s="193" t="s">
        <v>53</v>
      </c>
      <c r="M26" s="193" t="s">
        <v>54</v>
      </c>
      <c r="N26" s="193" t="s">
        <v>55</v>
      </c>
      <c r="O26" s="193" t="s">
        <v>1058</v>
      </c>
      <c r="P26" s="193" t="s">
        <v>56</v>
      </c>
      <c r="Q26" s="193" t="s">
        <v>57</v>
      </c>
      <c r="R26" s="193" t="s">
        <v>58</v>
      </c>
      <c r="S26" s="193" t="s">
        <v>612</v>
      </c>
      <c r="T26" s="193" t="s">
        <v>59</v>
      </c>
      <c r="U26" s="193" t="s">
        <v>60</v>
      </c>
      <c r="V26" s="193" t="s">
        <v>61</v>
      </c>
      <c r="W26" s="193"/>
      <c r="X26" s="193"/>
      <c r="Y26" s="193"/>
      <c r="Z26" s="193"/>
      <c r="AA26" s="193"/>
      <c r="AB26" s="218"/>
      <c r="AC26" s="218"/>
      <c r="AD26" s="218"/>
      <c r="AE26" s="218"/>
      <c r="AF26" s="218"/>
      <c r="AG26" s="218"/>
      <c r="AH26" s="218"/>
      <c r="AI26" s="218"/>
    </row>
    <row r="27" spans="2:35" s="21" customFormat="1">
      <c r="B27" s="218" t="str">
        <f>tblIndicators!A26</f>
        <v>NEWSEC</v>
      </c>
      <c r="C27" s="221" t="str">
        <f>tblIndicators!H26</f>
        <v>Subnational adjustment</v>
      </c>
      <c r="D27" s="193"/>
      <c r="E27" s="193" t="s">
        <v>888</v>
      </c>
      <c r="F27" s="193"/>
      <c r="G27" s="193"/>
      <c r="H27" s="193"/>
      <c r="I27" s="193"/>
      <c r="J27" s="193"/>
      <c r="K27" s="193"/>
      <c r="L27" s="193"/>
      <c r="M27" s="193"/>
      <c r="N27" s="193"/>
      <c r="O27" s="193"/>
      <c r="P27" s="193"/>
      <c r="Q27" s="193"/>
      <c r="R27" s="193"/>
      <c r="S27" s="193"/>
      <c r="T27" s="193"/>
      <c r="U27" s="193"/>
      <c r="V27" s="193"/>
      <c r="W27" s="193"/>
      <c r="X27" s="218"/>
      <c r="Y27" s="218"/>
      <c r="Z27" s="218"/>
      <c r="AA27" s="218"/>
      <c r="AB27" s="218"/>
      <c r="AC27" s="218"/>
      <c r="AD27" s="218"/>
      <c r="AE27" s="218"/>
      <c r="AF27" s="218"/>
      <c r="AG27" s="218"/>
      <c r="AH27" s="218"/>
      <c r="AI27" s="218"/>
    </row>
    <row r="28" spans="2:35" s="21" customFormat="1">
      <c r="B28" s="218" t="str">
        <f>tblIndicators!A27</f>
        <v>NEWSEC01</v>
      </c>
      <c r="C28" s="223" t="str">
        <f>tblIndicators!H27</f>
        <v>Subnational adjustment factor</v>
      </c>
      <c r="D28" s="193" t="s">
        <v>62</v>
      </c>
      <c r="E28" s="193" t="s">
        <v>63</v>
      </c>
      <c r="F28" s="193" t="s">
        <v>29</v>
      </c>
      <c r="G28" s="193" t="s">
        <v>30</v>
      </c>
      <c r="H28" s="193" t="s">
        <v>31</v>
      </c>
      <c r="I28" s="193" t="s">
        <v>32</v>
      </c>
      <c r="J28" s="193" t="s">
        <v>33</v>
      </c>
      <c r="K28" s="193" t="s">
        <v>34</v>
      </c>
      <c r="L28" s="193" t="s">
        <v>1066</v>
      </c>
      <c r="M28" s="193" t="s">
        <v>35</v>
      </c>
      <c r="N28" s="193" t="s">
        <v>36</v>
      </c>
      <c r="O28" s="193" t="s">
        <v>17</v>
      </c>
      <c r="P28" s="193" t="s">
        <v>37</v>
      </c>
      <c r="Q28" s="193" t="s">
        <v>38</v>
      </c>
      <c r="R28" s="193" t="s">
        <v>39</v>
      </c>
      <c r="S28" s="193" t="s">
        <v>40</v>
      </c>
      <c r="T28" s="193" t="s">
        <v>41</v>
      </c>
      <c r="U28" s="193" t="s">
        <v>42</v>
      </c>
      <c r="V28" s="193" t="s">
        <v>43</v>
      </c>
      <c r="W28" s="193"/>
      <c r="X28" s="218"/>
      <c r="Y28" s="218"/>
      <c r="Z28" s="218"/>
      <c r="AA28" s="218"/>
      <c r="AB28" s="218"/>
      <c r="AC28" s="218"/>
      <c r="AD28" s="218"/>
      <c r="AE28" s="218"/>
      <c r="AF28" s="218"/>
      <c r="AG28" s="218"/>
      <c r="AH28" s="218"/>
      <c r="AI28" s="218"/>
    </row>
    <row r="29" spans="2:35" s="21" customFormat="1">
      <c r="B29" s="218"/>
      <c r="C29" s="218"/>
      <c r="D29" s="218"/>
      <c r="E29" s="218"/>
      <c r="F29" s="218"/>
      <c r="G29" s="218"/>
      <c r="H29" s="218"/>
      <c r="I29" s="218"/>
      <c r="J29" s="218"/>
      <c r="K29" s="218"/>
      <c r="L29" s="218"/>
      <c r="M29" s="218"/>
      <c r="N29" s="218"/>
      <c r="O29" s="218"/>
      <c r="P29" s="218"/>
      <c r="Q29" s="218"/>
      <c r="R29" s="218"/>
      <c r="S29" s="218"/>
      <c r="T29" s="218"/>
      <c r="U29" s="218"/>
      <c r="V29" s="218"/>
      <c r="W29" s="218"/>
      <c r="X29" s="218"/>
      <c r="Y29" s="218"/>
      <c r="Z29" s="218"/>
      <c r="AA29" s="218"/>
      <c r="AB29" s="218"/>
      <c r="AC29" s="218"/>
      <c r="AD29" s="218"/>
      <c r="AE29" s="218"/>
      <c r="AF29" s="218"/>
      <c r="AG29" s="218"/>
      <c r="AH29" s="218"/>
      <c r="AI29" s="218"/>
    </row>
    <row r="30" spans="2:35" s="21" customFormat="1">
      <c r="B30" s="218"/>
      <c r="C30" s="218"/>
      <c r="D30" s="218"/>
      <c r="E30" s="218"/>
      <c r="F30" s="218"/>
      <c r="G30" s="218"/>
      <c r="H30" s="218"/>
      <c r="I30" s="218"/>
      <c r="J30" s="218"/>
      <c r="K30" s="218"/>
      <c r="L30" s="218"/>
      <c r="M30" s="218"/>
      <c r="N30" s="218"/>
      <c r="O30" s="218"/>
      <c r="P30" s="218"/>
      <c r="Q30" s="218"/>
      <c r="R30" s="218"/>
      <c r="S30" s="218"/>
      <c r="T30" s="218"/>
      <c r="U30" s="218"/>
      <c r="V30" s="218"/>
      <c r="W30" s="218"/>
      <c r="X30" s="218"/>
      <c r="Y30" s="218"/>
      <c r="Z30" s="218"/>
      <c r="AA30" s="218"/>
      <c r="AB30" s="218"/>
      <c r="AC30" s="218"/>
      <c r="AD30" s="218"/>
      <c r="AE30" s="218"/>
      <c r="AF30" s="218"/>
      <c r="AG30" s="218"/>
      <c r="AH30" s="218"/>
      <c r="AI30" s="218"/>
    </row>
    <row r="31" spans="2:35" s="21" customFormat="1">
      <c r="B31" s="218"/>
      <c r="C31" s="218"/>
      <c r="D31" s="218"/>
      <c r="E31" s="218"/>
      <c r="F31" s="218"/>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8"/>
      <c r="AF31" s="218"/>
      <c r="AG31" s="218"/>
      <c r="AH31" s="218"/>
      <c r="AI31" s="218"/>
    </row>
    <row r="32" spans="2:35" s="21" customFormat="1">
      <c r="B32" s="218"/>
      <c r="C32" s="218"/>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row>
    <row r="33" spans="2:35" s="21" customFormat="1">
      <c r="B33" s="218"/>
      <c r="C33" s="218"/>
      <c r="D33" s="218"/>
      <c r="E33" s="218"/>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218"/>
      <c r="AH33" s="218"/>
      <c r="AI33" s="218"/>
    </row>
    <row r="34" spans="2:35" s="21" customFormat="1"/>
    <row r="35" spans="2:35" s="21" customFormat="1"/>
    <row r="36" spans="2:35" s="21" customFormat="1"/>
    <row r="37" spans="2:35" s="21" customFormat="1"/>
    <row r="38" spans="2:35" s="21" customFormat="1"/>
    <row r="39" spans="2:35" s="21" customFormat="1"/>
    <row r="40" spans="2:35" s="21" customFormat="1"/>
  </sheetData>
  <phoneticPr fontId="0" type="noConversion"/>
  <pageMargins left="0.7" right="0.7" top="0.75" bottom="0.75" header="0.3" footer="0.3"/>
  <pageSetup orientation="portrait" horizontalDpi="1200" verticalDpi="1200" r:id="rId1"/>
</worksheet>
</file>

<file path=xl/worksheets/sheet22.xml><?xml version="1.0" encoding="utf-8"?>
<worksheet xmlns="http://schemas.openxmlformats.org/spreadsheetml/2006/main" xmlns:r="http://schemas.openxmlformats.org/officeDocument/2006/relationships">
  <sheetPr codeName="Sheet12"/>
  <dimension ref="A1:V28"/>
  <sheetViews>
    <sheetView showGridLines="0" showRowColHeaders="0" workbookViewId="0">
      <pane ySplit="3" topLeftCell="A4" activePane="bottomLeft" state="frozen"/>
      <selection activeCell="H4" sqref="H4"/>
      <selection pane="bottomLeft" activeCell="M35" sqref="M35"/>
    </sheetView>
  </sheetViews>
  <sheetFormatPr defaultRowHeight="15"/>
  <cols>
    <col min="1" max="1" width="3.85546875" customWidth="1"/>
    <col min="2" max="2" width="0" hidden="1" customWidth="1"/>
    <col min="3" max="3" width="41.7109375" bestFit="1" customWidth="1"/>
    <col min="12" max="12" width="9.7109375" customWidth="1"/>
  </cols>
  <sheetData>
    <row r="1" spans="1:22" s="72" customFormat="1" ht="21.75" customHeight="1">
      <c r="A1" s="72" t="s">
        <v>838</v>
      </c>
    </row>
    <row r="3" spans="1:22" ht="25.5" customHeight="1">
      <c r="B3" s="29"/>
      <c r="C3" s="99"/>
      <c r="D3" s="99" t="s">
        <v>912</v>
      </c>
      <c r="E3" s="31" t="s">
        <v>914</v>
      </c>
      <c r="F3" s="30" t="s">
        <v>917</v>
      </c>
      <c r="G3" s="30" t="s">
        <v>920</v>
      </c>
      <c r="H3" s="30" t="s">
        <v>922</v>
      </c>
      <c r="I3" s="31" t="s">
        <v>925</v>
      </c>
      <c r="J3" s="30" t="s">
        <v>927</v>
      </c>
      <c r="K3" s="30" t="s">
        <v>930</v>
      </c>
      <c r="L3" s="30" t="s">
        <v>933</v>
      </c>
      <c r="M3" s="30" t="s">
        <v>936</v>
      </c>
      <c r="N3" s="30" t="s">
        <v>938</v>
      </c>
      <c r="O3" s="30" t="s">
        <v>940</v>
      </c>
      <c r="P3" s="30" t="s">
        <v>943</v>
      </c>
      <c r="Q3" s="30" t="s">
        <v>946</v>
      </c>
      <c r="R3" s="30" t="s">
        <v>949</v>
      </c>
      <c r="S3" s="30" t="s">
        <v>951</v>
      </c>
      <c r="T3" s="30" t="s">
        <v>953</v>
      </c>
      <c r="U3" s="30" t="s">
        <v>956</v>
      </c>
      <c r="V3" s="30" t="s">
        <v>959</v>
      </c>
    </row>
    <row r="4" spans="1:22" ht="7.5" customHeight="1">
      <c r="C4" s="86"/>
      <c r="D4" s="86"/>
      <c r="E4" s="86"/>
      <c r="F4" s="86"/>
      <c r="G4" s="86"/>
      <c r="H4" s="86"/>
      <c r="I4" s="86"/>
      <c r="J4" s="86"/>
      <c r="K4" s="86"/>
      <c r="L4" s="86"/>
      <c r="M4" s="86"/>
      <c r="N4" s="86"/>
      <c r="O4" s="86"/>
      <c r="P4" s="86"/>
      <c r="Q4" s="86"/>
      <c r="R4" s="86"/>
      <c r="S4" s="86"/>
      <c r="T4" s="86"/>
      <c r="U4" s="86"/>
      <c r="V4" s="86"/>
    </row>
    <row r="5" spans="1:22">
      <c r="B5" s="27" t="str">
        <f>tblIndicators!A3</f>
        <v>LEGF</v>
      </c>
      <c r="C5" s="27" t="str">
        <f>tblIndicators!H3</f>
        <v>Regulatory framework</v>
      </c>
      <c r="D5" s="23"/>
      <c r="E5" s="23"/>
      <c r="F5" s="23"/>
      <c r="G5" s="23"/>
      <c r="H5" s="23"/>
      <c r="I5" s="23"/>
      <c r="J5" s="23"/>
      <c r="K5" s="23"/>
      <c r="L5" s="23"/>
      <c r="M5" s="23"/>
      <c r="N5" s="23"/>
      <c r="O5" s="23"/>
      <c r="P5" s="23"/>
      <c r="Q5" s="23"/>
      <c r="R5" s="23"/>
      <c r="S5" s="23"/>
      <c r="T5" s="23"/>
      <c r="U5" s="23"/>
      <c r="V5" s="23"/>
    </row>
    <row r="6" spans="1:22">
      <c r="B6" s="24" t="str">
        <f>tblIndicators!A4</f>
        <v>LEGF01</v>
      </c>
      <c r="C6" s="24" t="str">
        <f>tblIndicators!H4</f>
        <v>Consistency and quality of PPP regulations</v>
      </c>
      <c r="D6" s="164">
        <v>2</v>
      </c>
      <c r="E6" s="164">
        <v>2</v>
      </c>
      <c r="F6" s="164">
        <v>3</v>
      </c>
      <c r="G6" s="164">
        <v>1</v>
      </c>
      <c r="H6" s="164">
        <v>2</v>
      </c>
      <c r="I6" s="164">
        <v>1</v>
      </c>
      <c r="J6" s="164">
        <v>0</v>
      </c>
      <c r="K6" s="164">
        <v>0</v>
      </c>
      <c r="L6" s="164">
        <v>1</v>
      </c>
      <c r="M6" s="164">
        <v>0</v>
      </c>
      <c r="N6" s="164">
        <v>1</v>
      </c>
      <c r="O6" s="164">
        <v>2</v>
      </c>
      <c r="P6" s="164">
        <v>0</v>
      </c>
      <c r="Q6" s="164">
        <v>1</v>
      </c>
      <c r="R6" s="164">
        <v>1</v>
      </c>
      <c r="S6" s="164">
        <v>3</v>
      </c>
      <c r="T6" s="164">
        <v>1</v>
      </c>
      <c r="U6" s="164">
        <v>1</v>
      </c>
      <c r="V6" s="164">
        <v>1</v>
      </c>
    </row>
    <row r="7" spans="1:22">
      <c r="B7" s="24" t="str">
        <f>tblIndicators!A5</f>
        <v>LEGF02</v>
      </c>
      <c r="C7" s="24" t="str">
        <f>tblIndicators!H5</f>
        <v>Effective PPP selection and decision making</v>
      </c>
      <c r="D7" s="164">
        <v>1</v>
      </c>
      <c r="E7" s="164">
        <v>2</v>
      </c>
      <c r="F7" s="164">
        <v>2</v>
      </c>
      <c r="G7" s="164">
        <v>2</v>
      </c>
      <c r="H7" s="164">
        <v>2</v>
      </c>
      <c r="I7" s="164">
        <v>0</v>
      </c>
      <c r="J7" s="164">
        <v>0</v>
      </c>
      <c r="K7" s="164">
        <v>1</v>
      </c>
      <c r="L7" s="164">
        <v>0</v>
      </c>
      <c r="M7" s="164">
        <v>1</v>
      </c>
      <c r="N7" s="164">
        <v>1</v>
      </c>
      <c r="O7" s="164">
        <v>2</v>
      </c>
      <c r="P7" s="164">
        <v>0</v>
      </c>
      <c r="Q7" s="164">
        <v>1</v>
      </c>
      <c r="R7" s="164">
        <v>1</v>
      </c>
      <c r="S7" s="164">
        <v>3</v>
      </c>
      <c r="T7" s="164">
        <v>1</v>
      </c>
      <c r="U7" s="164">
        <v>1</v>
      </c>
      <c r="V7" s="164">
        <v>0</v>
      </c>
    </row>
    <row r="8" spans="1:22">
      <c r="B8" s="24" t="str">
        <f>tblIndicators!A6</f>
        <v>LEGF03</v>
      </c>
      <c r="C8" s="24" t="str">
        <f>tblIndicators!H6</f>
        <v>Fairness/openness of bids, contract changes</v>
      </c>
      <c r="D8" s="164">
        <v>1</v>
      </c>
      <c r="E8" s="164">
        <v>1</v>
      </c>
      <c r="F8" s="164">
        <v>3</v>
      </c>
      <c r="G8" s="164">
        <v>1</v>
      </c>
      <c r="H8" s="164">
        <v>2</v>
      </c>
      <c r="I8" s="164">
        <v>1</v>
      </c>
      <c r="J8" s="164">
        <v>0</v>
      </c>
      <c r="K8" s="164">
        <v>2</v>
      </c>
      <c r="L8" s="164">
        <v>1</v>
      </c>
      <c r="M8" s="164">
        <v>1</v>
      </c>
      <c r="N8" s="164">
        <v>1</v>
      </c>
      <c r="O8" s="164">
        <v>2</v>
      </c>
      <c r="P8" s="164">
        <v>0</v>
      </c>
      <c r="Q8" s="164">
        <v>1</v>
      </c>
      <c r="R8" s="164">
        <v>1</v>
      </c>
      <c r="S8" s="164">
        <v>2</v>
      </c>
      <c r="T8" s="164">
        <v>1</v>
      </c>
      <c r="U8" s="164">
        <v>1</v>
      </c>
      <c r="V8" s="164">
        <v>0</v>
      </c>
    </row>
    <row r="9" spans="1:22">
      <c r="B9" s="24" t="str">
        <f>tblIndicators!A7</f>
        <v>LEGF04</v>
      </c>
      <c r="C9" s="24" t="str">
        <f>tblIndicators!H7</f>
        <v>Dispute resolution mechanisms</v>
      </c>
      <c r="D9" s="164">
        <v>0</v>
      </c>
      <c r="E9" s="164">
        <v>2</v>
      </c>
      <c r="F9" s="164">
        <v>2</v>
      </c>
      <c r="G9" s="164">
        <v>1</v>
      </c>
      <c r="H9" s="164">
        <v>2</v>
      </c>
      <c r="I9" s="164">
        <v>1</v>
      </c>
      <c r="J9" s="164">
        <v>1</v>
      </c>
      <c r="K9" s="164">
        <v>1</v>
      </c>
      <c r="L9" s="164">
        <v>1</v>
      </c>
      <c r="M9" s="164">
        <v>1</v>
      </c>
      <c r="N9" s="164">
        <v>1</v>
      </c>
      <c r="O9" s="164">
        <v>2</v>
      </c>
      <c r="P9" s="164">
        <v>1</v>
      </c>
      <c r="Q9" s="164">
        <v>1</v>
      </c>
      <c r="R9" s="164">
        <v>1</v>
      </c>
      <c r="S9" s="164">
        <v>2</v>
      </c>
      <c r="T9" s="164">
        <v>1</v>
      </c>
      <c r="U9" s="164">
        <v>1</v>
      </c>
      <c r="V9" s="164">
        <v>0</v>
      </c>
    </row>
    <row r="10" spans="1:22">
      <c r="B10" s="28" t="str">
        <f>tblIndicators!A8</f>
        <v>INST</v>
      </c>
      <c r="C10" s="28" t="str">
        <f>tblIndicators!H8</f>
        <v>Institutional framework</v>
      </c>
      <c r="D10" s="164"/>
      <c r="E10" s="164"/>
      <c r="F10" s="164"/>
      <c r="G10" s="164"/>
      <c r="H10" s="164"/>
      <c r="I10" s="164"/>
      <c r="J10" s="164"/>
      <c r="K10" s="164"/>
      <c r="L10" s="164"/>
      <c r="M10" s="164"/>
      <c r="N10" s="164"/>
      <c r="O10" s="164"/>
      <c r="P10" s="164"/>
      <c r="Q10" s="164"/>
      <c r="R10" s="164"/>
      <c r="S10" s="164"/>
      <c r="T10" s="164"/>
      <c r="U10" s="164"/>
      <c r="V10" s="164"/>
    </row>
    <row r="11" spans="1:22">
      <c r="B11" s="24" t="str">
        <f>tblIndicators!A9</f>
        <v>INST01</v>
      </c>
      <c r="C11" s="24" t="str">
        <f>tblIndicators!H9</f>
        <v>Quality of institutional design</v>
      </c>
      <c r="D11" s="164">
        <v>1</v>
      </c>
      <c r="E11" s="164">
        <v>3</v>
      </c>
      <c r="F11" s="164">
        <v>2</v>
      </c>
      <c r="G11" s="164">
        <v>1</v>
      </c>
      <c r="H11" s="164">
        <v>1</v>
      </c>
      <c r="I11" s="164">
        <v>1</v>
      </c>
      <c r="J11" s="164">
        <v>0</v>
      </c>
      <c r="K11" s="164">
        <v>0</v>
      </c>
      <c r="L11" s="164">
        <v>1</v>
      </c>
      <c r="M11" s="164">
        <v>1</v>
      </c>
      <c r="N11" s="164">
        <v>2</v>
      </c>
      <c r="O11" s="164">
        <v>1</v>
      </c>
      <c r="P11" s="164">
        <v>0</v>
      </c>
      <c r="Q11" s="164">
        <v>0</v>
      </c>
      <c r="R11" s="164">
        <v>1</v>
      </c>
      <c r="S11" s="164">
        <v>2</v>
      </c>
      <c r="T11" s="164">
        <v>1</v>
      </c>
      <c r="U11" s="164">
        <v>1</v>
      </c>
      <c r="V11" s="164">
        <v>0</v>
      </c>
    </row>
    <row r="12" spans="1:22">
      <c r="B12" s="24" t="str">
        <f>tblIndicators!A10</f>
        <v>INST02</v>
      </c>
      <c r="C12" s="24" t="str">
        <f>tblIndicators!H10</f>
        <v>PPP contract, hold-up and expropriation risk</v>
      </c>
      <c r="D12" s="164">
        <v>0</v>
      </c>
      <c r="E12" s="164">
        <v>2</v>
      </c>
      <c r="F12" s="164">
        <v>2</v>
      </c>
      <c r="G12" s="164">
        <v>2</v>
      </c>
      <c r="H12" s="164">
        <v>1</v>
      </c>
      <c r="I12" s="164">
        <v>1</v>
      </c>
      <c r="J12" s="164">
        <v>0</v>
      </c>
      <c r="K12" s="164">
        <v>2</v>
      </c>
      <c r="L12" s="164">
        <v>1</v>
      </c>
      <c r="M12" s="164">
        <v>2</v>
      </c>
      <c r="N12" s="164">
        <v>1</v>
      </c>
      <c r="O12" s="164">
        <v>2</v>
      </c>
      <c r="P12" s="164">
        <v>1</v>
      </c>
      <c r="Q12" s="164">
        <v>1</v>
      </c>
      <c r="R12" s="164">
        <v>1</v>
      </c>
      <c r="S12" s="164">
        <v>2</v>
      </c>
      <c r="T12" s="164">
        <v>1</v>
      </c>
      <c r="U12" s="164">
        <v>2</v>
      </c>
      <c r="V12" s="164">
        <v>0</v>
      </c>
    </row>
    <row r="13" spans="1:22">
      <c r="B13" s="28" t="str">
        <f>tblIndicators!A11</f>
        <v>OPER</v>
      </c>
      <c r="C13" s="28" t="str">
        <f>tblIndicators!H11</f>
        <v>Operational maturity</v>
      </c>
      <c r="D13" s="164"/>
      <c r="E13" s="164"/>
      <c r="F13" s="164"/>
      <c r="G13" s="164"/>
      <c r="H13" s="164"/>
      <c r="I13" s="164"/>
      <c r="J13" s="164"/>
      <c r="K13" s="164"/>
      <c r="L13" s="164"/>
      <c r="M13" s="164"/>
      <c r="N13" s="164"/>
      <c r="O13" s="164"/>
      <c r="P13" s="164"/>
      <c r="Q13" s="164"/>
      <c r="R13" s="164"/>
      <c r="S13" s="164"/>
      <c r="T13" s="164"/>
      <c r="U13" s="164"/>
      <c r="V13" s="164"/>
    </row>
    <row r="14" spans="1:22">
      <c r="B14" s="24" t="str">
        <f>tblIndicators!A12</f>
        <v>OPER01</v>
      </c>
      <c r="C14" s="24" t="str">
        <f>tblIndicators!H12</f>
        <v>Public capacity to plan and oversee PPPs</v>
      </c>
      <c r="D14" s="164">
        <v>2</v>
      </c>
      <c r="E14" s="164">
        <v>2</v>
      </c>
      <c r="F14" s="164">
        <v>3</v>
      </c>
      <c r="G14" s="164">
        <v>2</v>
      </c>
      <c r="H14" s="164">
        <v>1</v>
      </c>
      <c r="I14" s="164">
        <v>1</v>
      </c>
      <c r="J14" s="164">
        <v>1</v>
      </c>
      <c r="K14" s="164">
        <v>2</v>
      </c>
      <c r="L14" s="164">
        <v>0</v>
      </c>
      <c r="M14" s="164">
        <v>1</v>
      </c>
      <c r="N14" s="164">
        <v>1</v>
      </c>
      <c r="O14" s="164">
        <v>1</v>
      </c>
      <c r="P14" s="164">
        <v>0</v>
      </c>
      <c r="Q14" s="164">
        <v>0</v>
      </c>
      <c r="R14" s="164">
        <v>0</v>
      </c>
      <c r="S14" s="164">
        <v>1</v>
      </c>
      <c r="T14" s="164">
        <v>0</v>
      </c>
      <c r="U14" s="164">
        <v>1</v>
      </c>
      <c r="V14" s="164">
        <v>1</v>
      </c>
    </row>
    <row r="15" spans="1:22">
      <c r="B15" s="24" t="str">
        <f>tblIndicators!A13</f>
        <v>OPER02</v>
      </c>
      <c r="C15" s="24" t="str">
        <f>tblIndicators!H13</f>
        <v xml:space="preserve">Methods and criteria for awarding projects </v>
      </c>
      <c r="D15" s="164">
        <v>1</v>
      </c>
      <c r="E15" s="164">
        <v>2</v>
      </c>
      <c r="F15" s="164">
        <v>3</v>
      </c>
      <c r="G15" s="164">
        <v>2</v>
      </c>
      <c r="H15" s="164">
        <v>2</v>
      </c>
      <c r="I15" s="164">
        <v>0</v>
      </c>
      <c r="J15" s="164">
        <v>0</v>
      </c>
      <c r="K15" s="164">
        <v>1</v>
      </c>
      <c r="L15" s="164">
        <v>1</v>
      </c>
      <c r="M15" s="164">
        <v>1</v>
      </c>
      <c r="N15" s="164">
        <v>0</v>
      </c>
      <c r="O15" s="164">
        <v>1</v>
      </c>
      <c r="P15" s="164">
        <v>0</v>
      </c>
      <c r="Q15" s="164">
        <v>0</v>
      </c>
      <c r="R15" s="164">
        <v>0</v>
      </c>
      <c r="S15" s="164">
        <v>2</v>
      </c>
      <c r="T15" s="164">
        <v>1</v>
      </c>
      <c r="U15" s="164">
        <v>1</v>
      </c>
      <c r="V15" s="164">
        <v>0</v>
      </c>
    </row>
    <row r="16" spans="1:22">
      <c r="B16" s="24" t="str">
        <f>tblIndicators!A14</f>
        <v>OPER03</v>
      </c>
      <c r="C16" s="24" t="str">
        <f>tblIndicators!H14</f>
        <v>Regulators' risk allocation record</v>
      </c>
      <c r="D16" s="164">
        <v>0</v>
      </c>
      <c r="E16" s="164">
        <v>2</v>
      </c>
      <c r="F16" s="164">
        <v>2</v>
      </c>
      <c r="G16" s="164">
        <v>1</v>
      </c>
      <c r="H16" s="164">
        <v>2</v>
      </c>
      <c r="I16" s="164">
        <v>0</v>
      </c>
      <c r="J16" s="164">
        <v>0</v>
      </c>
      <c r="K16" s="164">
        <v>0</v>
      </c>
      <c r="L16" s="164">
        <v>1</v>
      </c>
      <c r="M16" s="164">
        <v>1</v>
      </c>
      <c r="N16" s="164">
        <v>1</v>
      </c>
      <c r="O16" s="164">
        <v>1</v>
      </c>
      <c r="P16" s="164">
        <v>0</v>
      </c>
      <c r="Q16" s="164">
        <v>0</v>
      </c>
      <c r="R16" s="164">
        <v>0</v>
      </c>
      <c r="S16" s="164">
        <v>3</v>
      </c>
      <c r="T16" s="164">
        <v>0</v>
      </c>
      <c r="U16" s="164">
        <v>1</v>
      </c>
      <c r="V16" s="164">
        <v>0</v>
      </c>
    </row>
    <row r="17" spans="2:22">
      <c r="B17" s="24" t="str">
        <f>tblIndicators!A15</f>
        <v>OPER04</v>
      </c>
      <c r="C17" s="24" t="str">
        <f>tblIndicators!H15</f>
        <v>Experience in PPP projects (concessions)</v>
      </c>
      <c r="D17" s="164">
        <v>27</v>
      </c>
      <c r="E17" s="164">
        <v>104</v>
      </c>
      <c r="F17" s="164">
        <v>45</v>
      </c>
      <c r="G17" s="164">
        <v>45</v>
      </c>
      <c r="H17" s="164">
        <v>5</v>
      </c>
      <c r="I17" s="164">
        <v>7</v>
      </c>
      <c r="J17" s="164">
        <v>12</v>
      </c>
      <c r="K17" s="164">
        <v>0</v>
      </c>
      <c r="L17" s="164">
        <v>2</v>
      </c>
      <c r="M17" s="164">
        <v>3</v>
      </c>
      <c r="N17" s="164">
        <v>2</v>
      </c>
      <c r="O17" s="164">
        <v>61</v>
      </c>
      <c r="P17" s="164">
        <v>1</v>
      </c>
      <c r="Q17" s="164">
        <v>3</v>
      </c>
      <c r="R17" s="164">
        <v>1</v>
      </c>
      <c r="S17" s="164">
        <v>19</v>
      </c>
      <c r="T17" s="164">
        <v>1</v>
      </c>
      <c r="U17" s="164">
        <v>5</v>
      </c>
      <c r="V17" s="164">
        <v>4</v>
      </c>
    </row>
    <row r="18" spans="2:22">
      <c r="B18" s="24" t="str">
        <f>tblIndicators!A16</f>
        <v>OPER05</v>
      </c>
      <c r="C18" s="24" t="str">
        <f>tblIndicators!H16</f>
        <v>Quality of PPP projects (concessions)</v>
      </c>
      <c r="D18" s="164">
        <v>0</v>
      </c>
      <c r="E18" s="164">
        <v>3</v>
      </c>
      <c r="F18" s="164">
        <v>4</v>
      </c>
      <c r="G18" s="164">
        <v>2</v>
      </c>
      <c r="H18" s="164">
        <v>4</v>
      </c>
      <c r="I18" s="164">
        <v>4</v>
      </c>
      <c r="J18" s="164">
        <v>4</v>
      </c>
      <c r="K18" s="164">
        <v>1</v>
      </c>
      <c r="L18" s="164">
        <v>0</v>
      </c>
      <c r="M18" s="164">
        <v>1</v>
      </c>
      <c r="N18" s="164">
        <v>1</v>
      </c>
      <c r="O18" s="164">
        <v>3</v>
      </c>
      <c r="P18" s="164">
        <v>1</v>
      </c>
      <c r="Q18" s="164">
        <v>1</v>
      </c>
      <c r="R18" s="164">
        <v>1</v>
      </c>
      <c r="S18" s="164">
        <v>3</v>
      </c>
      <c r="T18" s="164">
        <v>0</v>
      </c>
      <c r="U18" s="164">
        <v>0</v>
      </c>
      <c r="V18" s="164">
        <v>0</v>
      </c>
    </row>
    <row r="19" spans="2:22">
      <c r="B19" s="28" t="str">
        <f>tblIndicators!A17</f>
        <v>INVT</v>
      </c>
      <c r="C19" s="28" t="str">
        <f>tblIndicators!H17</f>
        <v>Investment climate</v>
      </c>
      <c r="D19" s="164"/>
      <c r="E19" s="164"/>
      <c r="F19" s="164"/>
      <c r="G19" s="164"/>
      <c r="H19" s="164"/>
      <c r="I19" s="164"/>
      <c r="J19" s="164"/>
      <c r="K19" s="164"/>
      <c r="L19" s="164"/>
      <c r="M19" s="164"/>
      <c r="N19" s="164"/>
      <c r="O19" s="164"/>
      <c r="P19" s="164"/>
      <c r="Q19" s="164"/>
      <c r="R19" s="164"/>
      <c r="S19" s="164"/>
      <c r="T19" s="164"/>
      <c r="U19" s="164"/>
      <c r="V19" s="164"/>
    </row>
    <row r="20" spans="2:22">
      <c r="B20" s="24" t="str">
        <f>tblIndicators!A18</f>
        <v>INVT01</v>
      </c>
      <c r="C20" s="24" t="str">
        <f>tblIndicators!H18</f>
        <v>Political distortion</v>
      </c>
      <c r="D20" s="164">
        <v>35.301009490404851</v>
      </c>
      <c r="E20" s="164">
        <v>41.897202495915479</v>
      </c>
      <c r="F20" s="164">
        <v>73.944616053998573</v>
      </c>
      <c r="G20" s="164">
        <v>34.444584446000015</v>
      </c>
      <c r="H20" s="164">
        <v>54.487153315921553</v>
      </c>
      <c r="I20" s="164">
        <v>24.729844425408608</v>
      </c>
      <c r="J20" s="164">
        <v>12.252525079230292</v>
      </c>
      <c r="K20" s="164">
        <v>42.08253569653651</v>
      </c>
      <c r="L20" s="164">
        <v>21.892085012720777</v>
      </c>
      <c r="M20" s="164">
        <v>16.300960598541245</v>
      </c>
      <c r="N20" s="164">
        <v>39.834574188822558</v>
      </c>
      <c r="O20" s="164">
        <v>40.712987885642164</v>
      </c>
      <c r="P20" s="164">
        <v>21.848606283801153</v>
      </c>
      <c r="Q20" s="164">
        <v>37.528681877845983</v>
      </c>
      <c r="R20" s="164">
        <v>25.871628037437148</v>
      </c>
      <c r="S20" s="164">
        <v>32.015492737199175</v>
      </c>
      <c r="T20" s="164">
        <v>39.288550849935135</v>
      </c>
      <c r="U20" s="164">
        <v>54.755211307958795</v>
      </c>
      <c r="V20" s="164">
        <v>13.745995807127882</v>
      </c>
    </row>
    <row r="21" spans="2:22">
      <c r="B21" s="24" t="str">
        <f>tblIndicators!A19</f>
        <v>INVT02</v>
      </c>
      <c r="C21" s="24" t="str">
        <f>tblIndicators!H19</f>
        <v>Business environment</v>
      </c>
      <c r="D21" s="164">
        <v>53.125638688798539</v>
      </c>
      <c r="E21" s="164">
        <v>59.879816412486079</v>
      </c>
      <c r="F21" s="164">
        <v>68.707589292777584</v>
      </c>
      <c r="G21" s="164">
        <v>53.745149813385005</v>
      </c>
      <c r="H21" s="164">
        <v>41.42744288535151</v>
      </c>
      <c r="I21" s="164">
        <v>35.61868593095673</v>
      </c>
      <c r="J21" s="164">
        <v>55.07629548647521</v>
      </c>
      <c r="K21" s="164">
        <v>65.731717056299871</v>
      </c>
      <c r="L21" s="164">
        <v>46.345729562669646</v>
      </c>
      <c r="M21" s="164">
        <v>42.431393175162832</v>
      </c>
      <c r="N21" s="164">
        <v>38.460934936305151</v>
      </c>
      <c r="O21" s="164">
        <v>61.814425598440621</v>
      </c>
      <c r="P21" s="164">
        <v>41.945009833266759</v>
      </c>
      <c r="Q21" s="164">
        <v>63.50579206788445</v>
      </c>
      <c r="R21" s="164">
        <v>40.748667244139696</v>
      </c>
      <c r="S21" s="164">
        <v>66.116085655095603</v>
      </c>
      <c r="T21" s="164">
        <v>61.579751096714993</v>
      </c>
      <c r="U21" s="164">
        <v>50.263715881875513</v>
      </c>
      <c r="V21" s="164">
        <v>41.021976137748567</v>
      </c>
    </row>
    <row r="22" spans="2:22">
      <c r="B22" s="24" t="str">
        <f>tblIndicators!A20</f>
        <v>INVT03</v>
      </c>
      <c r="C22" s="24" t="s">
        <v>1049</v>
      </c>
      <c r="D22" s="164">
        <v>0.35694444444444445</v>
      </c>
      <c r="E22" s="164">
        <v>0.21096345514950166</v>
      </c>
      <c r="F22" s="164">
        <v>0.24222222222222223</v>
      </c>
      <c r="G22" s="164">
        <v>0.30066666666666669</v>
      </c>
      <c r="H22" s="164">
        <v>0.26833333333333331</v>
      </c>
      <c r="I22" s="164">
        <v>0.34300000000000003</v>
      </c>
      <c r="J22" s="164">
        <v>0.40055555555555555</v>
      </c>
      <c r="K22" s="164">
        <v>0.40166666666666667</v>
      </c>
      <c r="L22" s="164">
        <v>0.41933333333333334</v>
      </c>
      <c r="M22" s="164">
        <v>0.32433333333333331</v>
      </c>
      <c r="N22" s="164">
        <v>0.59385903698534548</v>
      </c>
      <c r="O22" s="164">
        <v>0.3175</v>
      </c>
      <c r="P22" s="164">
        <v>0.22600000000000001</v>
      </c>
      <c r="Q22" s="164">
        <v>0.33630952380952384</v>
      </c>
      <c r="R22" s="164">
        <v>0.18527777777777779</v>
      </c>
      <c r="S22" s="164">
        <v>0.27527777777777779</v>
      </c>
      <c r="T22" s="164">
        <v>0.31853511199690948</v>
      </c>
      <c r="U22" s="164">
        <v>0.20222222222222222</v>
      </c>
      <c r="V22" s="164">
        <v>0.32916666666666666</v>
      </c>
    </row>
    <row r="23" spans="2:22">
      <c r="B23" s="28" t="str">
        <f>tblIndicators!A21</f>
        <v>FINC</v>
      </c>
      <c r="C23" s="28" t="str">
        <f>tblIndicators!H21</f>
        <v>Financial facilities</v>
      </c>
      <c r="D23" s="164"/>
      <c r="E23" s="164"/>
      <c r="F23" s="164"/>
      <c r="G23" s="164"/>
      <c r="H23" s="164"/>
      <c r="I23" s="164"/>
      <c r="J23" s="164"/>
      <c r="K23" s="164"/>
      <c r="L23" s="164"/>
      <c r="M23" s="164"/>
      <c r="N23" s="164"/>
      <c r="O23" s="164"/>
      <c r="P23" s="164"/>
      <c r="Q23" s="164"/>
      <c r="R23" s="164"/>
      <c r="S23" s="164"/>
      <c r="T23" s="164"/>
      <c r="U23" s="164"/>
      <c r="V23" s="164"/>
    </row>
    <row r="24" spans="2:22">
      <c r="B24" s="24" t="str">
        <f>tblIndicators!A22</f>
        <v>FINC01</v>
      </c>
      <c r="C24" s="24" t="str">
        <f>tblIndicators!H22</f>
        <v>Government payment risk</v>
      </c>
      <c r="D24" s="164">
        <v>0</v>
      </c>
      <c r="E24" s="164">
        <v>3</v>
      </c>
      <c r="F24" s="164">
        <v>4</v>
      </c>
      <c r="G24" s="164">
        <v>2</v>
      </c>
      <c r="H24" s="164">
        <v>2</v>
      </c>
      <c r="I24" s="164">
        <v>1</v>
      </c>
      <c r="J24" s="164">
        <v>0</v>
      </c>
      <c r="K24" s="164">
        <v>2</v>
      </c>
      <c r="L24" s="164">
        <v>2</v>
      </c>
      <c r="M24" s="164">
        <v>0</v>
      </c>
      <c r="N24" s="164">
        <v>0</v>
      </c>
      <c r="O24" s="164">
        <v>3</v>
      </c>
      <c r="P24" s="164">
        <v>0</v>
      </c>
      <c r="Q24" s="164">
        <v>3</v>
      </c>
      <c r="R24" s="164">
        <v>1</v>
      </c>
      <c r="S24" s="164">
        <v>3</v>
      </c>
      <c r="T24" s="164">
        <v>3</v>
      </c>
      <c r="U24" s="164">
        <v>1</v>
      </c>
      <c r="V24" s="164">
        <v>1</v>
      </c>
    </row>
    <row r="25" spans="2:22">
      <c r="B25" s="24" t="str">
        <f>tblIndicators!A23</f>
        <v>FINC02</v>
      </c>
      <c r="C25" s="24" t="str">
        <f>tblIndicators!H23</f>
        <v>Capital market: private infrastructure finance</v>
      </c>
      <c r="D25" s="164">
        <v>1</v>
      </c>
      <c r="E25" s="164">
        <v>3</v>
      </c>
      <c r="F25" s="164">
        <v>4</v>
      </c>
      <c r="G25" s="164">
        <v>2</v>
      </c>
      <c r="H25" s="164">
        <v>1</v>
      </c>
      <c r="I25" s="164">
        <v>1</v>
      </c>
      <c r="J25" s="164">
        <v>1</v>
      </c>
      <c r="K25" s="164">
        <v>2</v>
      </c>
      <c r="L25" s="164">
        <v>0</v>
      </c>
      <c r="M25" s="164">
        <v>0</v>
      </c>
      <c r="N25" s="164">
        <v>0</v>
      </c>
      <c r="O25" s="164">
        <v>3</v>
      </c>
      <c r="P25" s="164">
        <v>0</v>
      </c>
      <c r="Q25" s="164">
        <v>2</v>
      </c>
      <c r="R25" s="164">
        <v>1</v>
      </c>
      <c r="S25" s="164">
        <v>2</v>
      </c>
      <c r="T25" s="164">
        <v>2</v>
      </c>
      <c r="U25" s="164">
        <v>1</v>
      </c>
      <c r="V25" s="164">
        <v>1</v>
      </c>
    </row>
    <row r="26" spans="2:22">
      <c r="B26" s="24" t="str">
        <f>tblIndicators!A24</f>
        <v>FINC03</v>
      </c>
      <c r="C26" s="24" t="str">
        <f>tblIndicators!H24</f>
        <v>Marketable debt</v>
      </c>
      <c r="D26" s="164">
        <v>3</v>
      </c>
      <c r="E26" s="164">
        <v>2</v>
      </c>
      <c r="F26" s="164">
        <v>4</v>
      </c>
      <c r="G26" s="164">
        <v>3</v>
      </c>
      <c r="H26" s="164">
        <v>3</v>
      </c>
      <c r="I26" s="164">
        <v>1</v>
      </c>
      <c r="J26" s="164">
        <v>1</v>
      </c>
      <c r="K26" s="164">
        <v>2</v>
      </c>
      <c r="L26" s="164">
        <v>1</v>
      </c>
      <c r="M26" s="164">
        <v>1</v>
      </c>
      <c r="N26" s="164">
        <v>2</v>
      </c>
      <c r="O26" s="164">
        <v>3</v>
      </c>
      <c r="P26" s="164">
        <v>1</v>
      </c>
      <c r="Q26" s="164">
        <v>4</v>
      </c>
      <c r="R26" s="164">
        <v>1</v>
      </c>
      <c r="S26" s="164">
        <v>3</v>
      </c>
      <c r="T26" s="164">
        <v>3</v>
      </c>
      <c r="U26" s="164">
        <v>1</v>
      </c>
      <c r="V26" s="164">
        <v>1</v>
      </c>
    </row>
    <row r="27" spans="2:22">
      <c r="B27" s="24" t="str">
        <f>tblIndicators!A25</f>
        <v>FINC04</v>
      </c>
      <c r="C27" s="24" t="str">
        <f>tblIndicators!H25</f>
        <v>Government support and affordability for low income users</v>
      </c>
      <c r="D27" s="164">
        <v>0</v>
      </c>
      <c r="E27" s="164">
        <v>1</v>
      </c>
      <c r="F27" s="164">
        <v>3</v>
      </c>
      <c r="G27" s="164">
        <v>2</v>
      </c>
      <c r="H27" s="164">
        <v>1</v>
      </c>
      <c r="I27" s="164">
        <v>0</v>
      </c>
      <c r="J27" s="164">
        <v>1</v>
      </c>
      <c r="K27" s="164">
        <v>1</v>
      </c>
      <c r="L27" s="164">
        <v>2</v>
      </c>
      <c r="M27" s="164">
        <v>1</v>
      </c>
      <c r="N27" s="164">
        <v>1</v>
      </c>
      <c r="O27" s="164">
        <v>1</v>
      </c>
      <c r="P27" s="164">
        <v>0</v>
      </c>
      <c r="Q27" s="164">
        <v>1</v>
      </c>
      <c r="R27" s="164">
        <v>1</v>
      </c>
      <c r="S27" s="164">
        <v>1</v>
      </c>
      <c r="T27" s="164">
        <v>1</v>
      </c>
      <c r="U27" s="164">
        <v>1</v>
      </c>
      <c r="V27" s="164">
        <v>0</v>
      </c>
    </row>
    <row r="28" spans="2:22">
      <c r="B28" s="26"/>
      <c r="C28" s="26"/>
      <c r="D28" s="26"/>
      <c r="E28" s="26"/>
      <c r="F28" s="26"/>
      <c r="G28" s="26"/>
      <c r="H28" s="26"/>
      <c r="I28" s="26"/>
      <c r="J28" s="26"/>
      <c r="K28" s="26"/>
      <c r="L28" s="26"/>
      <c r="M28" s="26"/>
      <c r="N28" s="26"/>
      <c r="O28" s="26"/>
      <c r="P28" s="26"/>
      <c r="Q28" s="26"/>
      <c r="R28" s="26"/>
      <c r="S28" s="26"/>
      <c r="T28" s="26"/>
      <c r="U28" s="26"/>
      <c r="V28" s="26"/>
    </row>
  </sheetData>
  <phoneticPr fontId="0" type="noConversion"/>
  <pageMargins left="0.7" right="0.7" top="0.75" bottom="0.75" header="0.3" footer="0.3"/>
  <pageSetup paperSize="0" orientation="portrait" horizontalDpi="0" verticalDpi="0" copies="0"/>
</worksheet>
</file>

<file path=xl/worksheets/sheet23.xml><?xml version="1.0" encoding="utf-8"?>
<worksheet xmlns="http://schemas.openxmlformats.org/spreadsheetml/2006/main" xmlns:r="http://schemas.openxmlformats.org/officeDocument/2006/relationships">
  <sheetPr codeName="Sheet13"/>
  <dimension ref="A1:AK30"/>
  <sheetViews>
    <sheetView showGridLines="0" showRowColHeaders="0" workbookViewId="0">
      <selection activeCell="H4" sqref="H4"/>
    </sheetView>
  </sheetViews>
  <sheetFormatPr defaultRowHeight="15"/>
  <cols>
    <col min="1" max="1" width="1.140625" customWidth="1"/>
    <col min="2" max="13" width="5.28515625" hidden="1" customWidth="1"/>
    <col min="14" max="14" width="7" hidden="1" customWidth="1"/>
    <col min="15" max="15" width="5" customWidth="1"/>
    <col min="16" max="16" width="43.140625" bestFit="1" customWidth="1"/>
    <col min="18" max="18" width="1.85546875" customWidth="1"/>
    <col min="27" max="27" width="9.7109375" customWidth="1"/>
  </cols>
  <sheetData>
    <row r="1" spans="1:37" s="72" customFormat="1" ht="21.75" customHeight="1">
      <c r="A1" s="72" t="s">
        <v>385</v>
      </c>
    </row>
    <row r="5" spans="1:37" ht="24">
      <c r="P5" s="99"/>
      <c r="Q5" s="99"/>
      <c r="R5" s="30"/>
      <c r="S5" s="31" t="s">
        <v>912</v>
      </c>
      <c r="T5" s="31" t="s">
        <v>914</v>
      </c>
      <c r="U5" s="31" t="s">
        <v>917</v>
      </c>
      <c r="V5" s="31" t="s">
        <v>920</v>
      </c>
      <c r="W5" s="31" t="s">
        <v>922</v>
      </c>
      <c r="X5" s="31" t="s">
        <v>925</v>
      </c>
      <c r="Y5" s="31" t="s">
        <v>927</v>
      </c>
      <c r="Z5" s="31" t="s">
        <v>930</v>
      </c>
      <c r="AA5" s="31" t="s">
        <v>933</v>
      </c>
      <c r="AB5" s="31" t="s">
        <v>936</v>
      </c>
      <c r="AC5" s="31" t="s">
        <v>938</v>
      </c>
      <c r="AD5" s="31" t="s">
        <v>940</v>
      </c>
      <c r="AE5" s="31" t="s">
        <v>943</v>
      </c>
      <c r="AF5" s="31" t="s">
        <v>946</v>
      </c>
      <c r="AG5" s="31" t="s">
        <v>949</v>
      </c>
      <c r="AH5" s="31" t="s">
        <v>951</v>
      </c>
      <c r="AI5" s="31" t="s">
        <v>953</v>
      </c>
      <c r="AJ5" s="31" t="s">
        <v>956</v>
      </c>
      <c r="AK5" s="31" t="s">
        <v>959</v>
      </c>
    </row>
    <row r="6" spans="1:37">
      <c r="B6" s="32" t="s">
        <v>964</v>
      </c>
      <c r="C6" s="32" t="s">
        <v>965</v>
      </c>
      <c r="D6" s="32" t="s">
        <v>967</v>
      </c>
      <c r="E6" s="32" t="s">
        <v>968</v>
      </c>
      <c r="F6" s="32" t="s">
        <v>969</v>
      </c>
      <c r="G6" s="32" t="s">
        <v>970</v>
      </c>
      <c r="H6" s="32" t="s">
        <v>1032</v>
      </c>
      <c r="I6" s="32" t="s">
        <v>1033</v>
      </c>
      <c r="J6" s="32" t="s">
        <v>1034</v>
      </c>
      <c r="K6" s="33" t="s">
        <v>1035</v>
      </c>
      <c r="L6" s="33"/>
      <c r="M6" s="32" t="s">
        <v>1036</v>
      </c>
      <c r="N6" s="32" t="s">
        <v>1037</v>
      </c>
      <c r="Q6" s="100"/>
    </row>
    <row r="7" spans="1:37" s="95" customFormat="1">
      <c r="B7" s="95" t="s">
        <v>981</v>
      </c>
      <c r="C7" s="95">
        <v>0</v>
      </c>
      <c r="D7" s="95" t="s">
        <v>982</v>
      </c>
      <c r="E7" s="95">
        <v>0</v>
      </c>
      <c r="F7" s="95">
        <v>0</v>
      </c>
      <c r="G7" s="95">
        <v>0</v>
      </c>
      <c r="H7" s="95">
        <v>0</v>
      </c>
      <c r="I7" s="95">
        <v>0</v>
      </c>
      <c r="J7" s="96">
        <v>0</v>
      </c>
      <c r="L7" s="95">
        <v>1</v>
      </c>
      <c r="P7" s="95" t="s">
        <v>983</v>
      </c>
      <c r="Q7" s="101"/>
      <c r="S7" s="97">
        <v>21.922180593507747</v>
      </c>
      <c r="T7" s="97">
        <v>57.788431964868813</v>
      </c>
      <c r="U7" s="97">
        <v>64.301879881891978</v>
      </c>
      <c r="V7" s="97">
        <v>39.139037488999669</v>
      </c>
      <c r="W7" s="97">
        <v>45.117262598311548</v>
      </c>
      <c r="X7" s="97">
        <v>25.207743798171158</v>
      </c>
      <c r="Y7" s="97">
        <v>14.463214300773284</v>
      </c>
      <c r="Z7" s="97">
        <v>23.901547063096491</v>
      </c>
      <c r="AA7" s="97">
        <v>17.963540415998349</v>
      </c>
      <c r="AB7" s="97">
        <v>23.652316362303718</v>
      </c>
      <c r="AC7" s="97">
        <v>25.114492256089559</v>
      </c>
      <c r="AD7" s="97">
        <v>47.519377851919032</v>
      </c>
      <c r="AE7" s="97">
        <v>9.9737035188988763</v>
      </c>
      <c r="AF7" s="97">
        <v>20.96728559459838</v>
      </c>
      <c r="AG7" s="97">
        <v>22.306517860103938</v>
      </c>
      <c r="AH7" s="97">
        <v>58.887759848053179</v>
      </c>
      <c r="AI7" s="97">
        <v>22.856592224674323</v>
      </c>
      <c r="AJ7" s="97">
        <v>27.334281223057314</v>
      </c>
      <c r="AK7" s="97">
        <v>7.0871699655227509</v>
      </c>
    </row>
    <row r="8" spans="1:37" s="95" customFormat="1">
      <c r="B8" s="95" t="s">
        <v>987</v>
      </c>
      <c r="C8" s="95" t="s">
        <v>981</v>
      </c>
      <c r="D8" s="95" t="s">
        <v>982</v>
      </c>
      <c r="E8" s="95">
        <v>0</v>
      </c>
      <c r="F8" s="95">
        <v>0</v>
      </c>
      <c r="G8" s="95">
        <v>0</v>
      </c>
      <c r="H8" s="95">
        <v>0</v>
      </c>
      <c r="I8" s="95">
        <v>0</v>
      </c>
      <c r="J8" s="96">
        <v>0</v>
      </c>
      <c r="K8" s="95">
        <v>1</v>
      </c>
      <c r="L8" s="95">
        <v>1</v>
      </c>
      <c r="M8" s="178">
        <v>5</v>
      </c>
      <c r="N8" s="98">
        <v>0.41666666666666669</v>
      </c>
      <c r="P8" s="95" t="s">
        <v>363</v>
      </c>
      <c r="Q8" s="102">
        <v>0.41666666666666669</v>
      </c>
      <c r="S8" s="97">
        <v>27.777777777777775</v>
      </c>
      <c r="T8" s="97">
        <v>47.222222222222214</v>
      </c>
      <c r="U8" s="97">
        <v>61.111111111111114</v>
      </c>
      <c r="V8" s="97">
        <v>33.333333333333329</v>
      </c>
      <c r="W8" s="97">
        <v>50</v>
      </c>
      <c r="X8" s="97">
        <v>16.666666666666664</v>
      </c>
      <c r="Y8" s="97">
        <v>5.5555555555555554</v>
      </c>
      <c r="Z8" s="97">
        <v>19.444444444444443</v>
      </c>
      <c r="AA8" s="97">
        <v>16.666666666666664</v>
      </c>
      <c r="AB8" s="97">
        <v>16.666666666666664</v>
      </c>
      <c r="AC8" s="97">
        <v>25</v>
      </c>
      <c r="AD8" s="97">
        <v>50</v>
      </c>
      <c r="AE8" s="97">
        <v>5.5555555555555554</v>
      </c>
      <c r="AF8" s="97">
        <v>25</v>
      </c>
      <c r="AG8" s="97">
        <v>25</v>
      </c>
      <c r="AH8" s="97">
        <v>66.666666666666671</v>
      </c>
      <c r="AI8" s="97">
        <v>25</v>
      </c>
      <c r="AJ8" s="97">
        <v>25</v>
      </c>
      <c r="AK8" s="97">
        <v>8.3333333333333321</v>
      </c>
    </row>
    <row r="9" spans="1:37">
      <c r="B9" t="s">
        <v>990</v>
      </c>
      <c r="C9" t="s">
        <v>987</v>
      </c>
      <c r="D9" t="s">
        <v>991</v>
      </c>
      <c r="E9">
        <v>0</v>
      </c>
      <c r="F9">
        <v>25</v>
      </c>
      <c r="G9">
        <v>0</v>
      </c>
      <c r="H9">
        <v>0</v>
      </c>
      <c r="I9">
        <v>3</v>
      </c>
      <c r="J9" s="22">
        <v>3</v>
      </c>
      <c r="K9">
        <v>10</v>
      </c>
      <c r="L9">
        <v>1</v>
      </c>
      <c r="M9" s="178">
        <v>3</v>
      </c>
      <c r="N9" s="36">
        <v>0.33333333333333331</v>
      </c>
      <c r="P9" t="s">
        <v>364</v>
      </c>
      <c r="Q9" s="103">
        <v>0.33333333333333331</v>
      </c>
      <c r="S9" s="38">
        <v>50</v>
      </c>
      <c r="T9" s="38">
        <v>50</v>
      </c>
      <c r="U9" s="38">
        <v>75</v>
      </c>
      <c r="V9" s="38">
        <v>25</v>
      </c>
      <c r="W9" s="38">
        <v>50</v>
      </c>
      <c r="X9" s="38">
        <v>25</v>
      </c>
      <c r="Y9" s="38">
        <v>0</v>
      </c>
      <c r="Z9" s="38">
        <v>0</v>
      </c>
      <c r="AA9" s="38">
        <v>25</v>
      </c>
      <c r="AB9" s="38">
        <v>0</v>
      </c>
      <c r="AC9" s="38">
        <v>25</v>
      </c>
      <c r="AD9" s="38">
        <v>50</v>
      </c>
      <c r="AE9" s="38">
        <v>0</v>
      </c>
      <c r="AF9" s="38">
        <v>25</v>
      </c>
      <c r="AG9" s="38">
        <v>25</v>
      </c>
      <c r="AH9" s="38">
        <v>75</v>
      </c>
      <c r="AI9" s="38">
        <v>25</v>
      </c>
      <c r="AJ9" s="38">
        <v>25</v>
      </c>
      <c r="AK9" s="38">
        <v>25</v>
      </c>
    </row>
    <row r="10" spans="1:37">
      <c r="B10" t="s">
        <v>997</v>
      </c>
      <c r="C10" t="s">
        <v>987</v>
      </c>
      <c r="D10" t="s">
        <v>991</v>
      </c>
      <c r="E10">
        <v>0</v>
      </c>
      <c r="F10">
        <v>25</v>
      </c>
      <c r="G10">
        <v>0</v>
      </c>
      <c r="H10">
        <v>0</v>
      </c>
      <c r="I10">
        <v>3</v>
      </c>
      <c r="J10" s="22">
        <v>3</v>
      </c>
      <c r="K10">
        <v>11</v>
      </c>
      <c r="L10">
        <v>1</v>
      </c>
      <c r="M10" s="178">
        <v>3</v>
      </c>
      <c r="N10" s="36">
        <v>0.33333333333333331</v>
      </c>
      <c r="P10" t="s">
        <v>365</v>
      </c>
      <c r="Q10" s="103">
        <v>0.33333333333333331</v>
      </c>
      <c r="S10" s="38">
        <v>25</v>
      </c>
      <c r="T10" s="38">
        <v>50</v>
      </c>
      <c r="U10" s="38">
        <v>50</v>
      </c>
      <c r="V10" s="38">
        <v>50</v>
      </c>
      <c r="W10" s="38">
        <v>50</v>
      </c>
      <c r="X10" s="38">
        <v>0</v>
      </c>
      <c r="Y10" s="38">
        <v>0</v>
      </c>
      <c r="Z10" s="38">
        <v>25</v>
      </c>
      <c r="AA10" s="38">
        <v>0</v>
      </c>
      <c r="AB10" s="38">
        <v>25</v>
      </c>
      <c r="AC10" s="38">
        <v>25</v>
      </c>
      <c r="AD10" s="38">
        <v>50</v>
      </c>
      <c r="AE10" s="38">
        <v>0</v>
      </c>
      <c r="AF10" s="38">
        <v>25</v>
      </c>
      <c r="AG10" s="38">
        <v>25</v>
      </c>
      <c r="AH10" s="38">
        <v>75</v>
      </c>
      <c r="AI10" s="38">
        <v>25</v>
      </c>
      <c r="AJ10" s="38">
        <v>25</v>
      </c>
      <c r="AK10" s="38">
        <v>0</v>
      </c>
    </row>
    <row r="11" spans="1:37">
      <c r="B11" t="s">
        <v>1001</v>
      </c>
      <c r="C11" t="s">
        <v>987</v>
      </c>
      <c r="D11" t="s">
        <v>991</v>
      </c>
      <c r="E11">
        <v>0</v>
      </c>
      <c r="F11">
        <v>25</v>
      </c>
      <c r="G11">
        <v>0</v>
      </c>
      <c r="H11">
        <v>0</v>
      </c>
      <c r="I11">
        <v>3</v>
      </c>
      <c r="J11" s="22">
        <v>3</v>
      </c>
      <c r="K11">
        <v>12</v>
      </c>
      <c r="L11">
        <v>1</v>
      </c>
      <c r="M11" s="178">
        <v>1</v>
      </c>
      <c r="N11" s="36">
        <v>0.1111111111111111</v>
      </c>
      <c r="P11" t="s">
        <v>366</v>
      </c>
      <c r="Q11" s="103">
        <v>0.1111111111111111</v>
      </c>
      <c r="S11" s="38">
        <v>25</v>
      </c>
      <c r="T11" s="38">
        <v>25</v>
      </c>
      <c r="U11" s="38">
        <v>75</v>
      </c>
      <c r="V11" s="38">
        <v>25</v>
      </c>
      <c r="W11" s="38">
        <v>50</v>
      </c>
      <c r="X11" s="38">
        <v>25</v>
      </c>
      <c r="Y11" s="38">
        <v>0</v>
      </c>
      <c r="Z11" s="38">
        <v>50</v>
      </c>
      <c r="AA11" s="38">
        <v>25</v>
      </c>
      <c r="AB11" s="38">
        <v>25</v>
      </c>
      <c r="AC11" s="38">
        <v>25</v>
      </c>
      <c r="AD11" s="38">
        <v>50</v>
      </c>
      <c r="AE11" s="38">
        <v>0</v>
      </c>
      <c r="AF11" s="38">
        <v>25</v>
      </c>
      <c r="AG11" s="38">
        <v>25</v>
      </c>
      <c r="AH11" s="38">
        <v>50</v>
      </c>
      <c r="AI11" s="38">
        <v>25</v>
      </c>
      <c r="AJ11" s="38">
        <v>25</v>
      </c>
      <c r="AK11" s="38">
        <v>0</v>
      </c>
    </row>
    <row r="12" spans="1:37">
      <c r="B12" t="s">
        <v>1005</v>
      </c>
      <c r="C12" t="s">
        <v>987</v>
      </c>
      <c r="D12" t="s">
        <v>991</v>
      </c>
      <c r="E12">
        <v>0</v>
      </c>
      <c r="F12">
        <v>25</v>
      </c>
      <c r="G12">
        <v>0</v>
      </c>
      <c r="H12">
        <v>0</v>
      </c>
      <c r="I12">
        <v>2</v>
      </c>
      <c r="J12" s="22">
        <v>2</v>
      </c>
      <c r="K12">
        <v>13</v>
      </c>
      <c r="L12">
        <v>1</v>
      </c>
      <c r="M12" s="178">
        <v>2</v>
      </c>
      <c r="N12" s="36">
        <v>0.22222222222222221</v>
      </c>
      <c r="P12" t="s">
        <v>367</v>
      </c>
      <c r="Q12" s="103">
        <v>0.22222222222222221</v>
      </c>
      <c r="S12" s="38">
        <v>0</v>
      </c>
      <c r="T12" s="38">
        <v>50</v>
      </c>
      <c r="U12" s="38">
        <v>50</v>
      </c>
      <c r="V12" s="38">
        <v>25</v>
      </c>
      <c r="W12" s="38">
        <v>50</v>
      </c>
      <c r="X12" s="38">
        <v>25</v>
      </c>
      <c r="Y12" s="38">
        <v>25</v>
      </c>
      <c r="Z12" s="38">
        <v>25</v>
      </c>
      <c r="AA12" s="38">
        <v>25</v>
      </c>
      <c r="AB12" s="38">
        <v>25</v>
      </c>
      <c r="AC12" s="38">
        <v>25</v>
      </c>
      <c r="AD12" s="38">
        <v>50</v>
      </c>
      <c r="AE12" s="38">
        <v>25</v>
      </c>
      <c r="AF12" s="38">
        <v>25</v>
      </c>
      <c r="AG12" s="38">
        <v>25</v>
      </c>
      <c r="AH12" s="38">
        <v>50</v>
      </c>
      <c r="AI12" s="38">
        <v>25</v>
      </c>
      <c r="AJ12" s="38">
        <v>25</v>
      </c>
      <c r="AK12" s="38">
        <v>0</v>
      </c>
    </row>
    <row r="13" spans="1:37" s="95" customFormat="1">
      <c r="B13" s="95" t="s">
        <v>1009</v>
      </c>
      <c r="C13" s="95" t="s">
        <v>981</v>
      </c>
      <c r="D13" s="95" t="s">
        <v>982</v>
      </c>
      <c r="E13" s="95">
        <v>0</v>
      </c>
      <c r="F13" s="95">
        <v>0</v>
      </c>
      <c r="G13" s="95">
        <v>0</v>
      </c>
      <c r="H13" s="95">
        <v>0</v>
      </c>
      <c r="I13" s="95">
        <v>0</v>
      </c>
      <c r="J13" s="96">
        <v>0</v>
      </c>
      <c r="K13" s="95">
        <v>2</v>
      </c>
      <c r="L13" s="95">
        <v>1</v>
      </c>
      <c r="M13" s="178">
        <v>3</v>
      </c>
      <c r="N13" s="98">
        <v>0.25</v>
      </c>
      <c r="P13" s="95" t="s">
        <v>368</v>
      </c>
      <c r="Q13" s="102">
        <v>0.25</v>
      </c>
      <c r="S13" s="97">
        <v>12.5</v>
      </c>
      <c r="T13" s="97">
        <v>62.5</v>
      </c>
      <c r="U13" s="97">
        <v>50</v>
      </c>
      <c r="V13" s="97">
        <v>37.5</v>
      </c>
      <c r="W13" s="97">
        <v>25</v>
      </c>
      <c r="X13" s="97">
        <v>25</v>
      </c>
      <c r="Y13" s="97">
        <v>0</v>
      </c>
      <c r="Z13" s="97">
        <v>25</v>
      </c>
      <c r="AA13" s="97">
        <v>25</v>
      </c>
      <c r="AB13" s="97">
        <v>37.5</v>
      </c>
      <c r="AC13" s="97">
        <v>37.5</v>
      </c>
      <c r="AD13" s="97">
        <v>37.5</v>
      </c>
      <c r="AE13" s="97">
        <v>12.5</v>
      </c>
      <c r="AF13" s="97">
        <v>12.5</v>
      </c>
      <c r="AG13" s="97">
        <v>25</v>
      </c>
      <c r="AH13" s="97">
        <v>50</v>
      </c>
      <c r="AI13" s="97">
        <v>25</v>
      </c>
      <c r="AJ13" s="97">
        <v>37.5</v>
      </c>
      <c r="AK13" s="97">
        <v>0</v>
      </c>
    </row>
    <row r="14" spans="1:37">
      <c r="B14" t="s">
        <v>1013</v>
      </c>
      <c r="C14" t="s">
        <v>1009</v>
      </c>
      <c r="D14" t="s">
        <v>991</v>
      </c>
      <c r="E14">
        <v>0</v>
      </c>
      <c r="F14">
        <v>25</v>
      </c>
      <c r="G14">
        <v>0</v>
      </c>
      <c r="H14">
        <v>0</v>
      </c>
      <c r="I14">
        <v>3</v>
      </c>
      <c r="J14" s="22">
        <v>3</v>
      </c>
      <c r="K14">
        <v>15</v>
      </c>
      <c r="L14">
        <v>1</v>
      </c>
      <c r="M14" s="178">
        <v>1</v>
      </c>
      <c r="N14" s="36">
        <v>0.5</v>
      </c>
      <c r="P14" t="s">
        <v>369</v>
      </c>
      <c r="Q14" s="103">
        <v>0.5</v>
      </c>
      <c r="S14" s="38">
        <v>25</v>
      </c>
      <c r="T14" s="38">
        <v>75</v>
      </c>
      <c r="U14" s="38">
        <v>50</v>
      </c>
      <c r="V14" s="38">
        <v>25</v>
      </c>
      <c r="W14" s="38">
        <v>25</v>
      </c>
      <c r="X14" s="38">
        <v>25</v>
      </c>
      <c r="Y14" s="38">
        <v>0</v>
      </c>
      <c r="Z14" s="38">
        <v>0</v>
      </c>
      <c r="AA14" s="38">
        <v>25</v>
      </c>
      <c r="AB14" s="38">
        <v>25</v>
      </c>
      <c r="AC14" s="38">
        <v>50</v>
      </c>
      <c r="AD14" s="38">
        <v>25</v>
      </c>
      <c r="AE14" s="38">
        <v>0</v>
      </c>
      <c r="AF14" s="38">
        <v>0</v>
      </c>
      <c r="AG14" s="38">
        <v>25</v>
      </c>
      <c r="AH14" s="38">
        <v>50</v>
      </c>
      <c r="AI14" s="38">
        <v>25</v>
      </c>
      <c r="AJ14" s="38">
        <v>25</v>
      </c>
      <c r="AK14" s="38">
        <v>0</v>
      </c>
    </row>
    <row r="15" spans="1:37">
      <c r="B15" t="s">
        <v>1017</v>
      </c>
      <c r="C15" t="s">
        <v>1009</v>
      </c>
      <c r="D15" t="s">
        <v>991</v>
      </c>
      <c r="E15">
        <v>0</v>
      </c>
      <c r="F15">
        <v>25</v>
      </c>
      <c r="G15">
        <v>0</v>
      </c>
      <c r="H15">
        <v>0</v>
      </c>
      <c r="I15">
        <v>2</v>
      </c>
      <c r="J15" s="22">
        <v>2</v>
      </c>
      <c r="K15">
        <v>16</v>
      </c>
      <c r="L15">
        <v>1</v>
      </c>
      <c r="M15" s="178">
        <v>1</v>
      </c>
      <c r="N15" s="36">
        <v>0.5</v>
      </c>
      <c r="P15" t="s">
        <v>370</v>
      </c>
      <c r="Q15" s="103">
        <v>0.5</v>
      </c>
      <c r="S15" s="38">
        <v>0</v>
      </c>
      <c r="T15" s="38">
        <v>50</v>
      </c>
      <c r="U15" s="38">
        <v>50</v>
      </c>
      <c r="V15" s="38">
        <v>50</v>
      </c>
      <c r="W15" s="38">
        <v>25</v>
      </c>
      <c r="X15" s="38">
        <v>25</v>
      </c>
      <c r="Y15" s="38">
        <v>0</v>
      </c>
      <c r="Z15" s="38">
        <v>50</v>
      </c>
      <c r="AA15" s="38">
        <v>25</v>
      </c>
      <c r="AB15" s="38">
        <v>50</v>
      </c>
      <c r="AC15" s="38">
        <v>25</v>
      </c>
      <c r="AD15" s="38">
        <v>50</v>
      </c>
      <c r="AE15" s="38">
        <v>25</v>
      </c>
      <c r="AF15" s="38">
        <v>25</v>
      </c>
      <c r="AG15" s="38">
        <v>25</v>
      </c>
      <c r="AH15" s="38">
        <v>50</v>
      </c>
      <c r="AI15" s="38">
        <v>25</v>
      </c>
      <c r="AJ15" s="38">
        <v>50</v>
      </c>
      <c r="AK15" s="38">
        <v>0</v>
      </c>
    </row>
    <row r="16" spans="1:37" s="95" customFormat="1">
      <c r="B16" s="95" t="s">
        <v>1021</v>
      </c>
      <c r="C16" s="95" t="s">
        <v>981</v>
      </c>
      <c r="D16" s="95" t="s">
        <v>982</v>
      </c>
      <c r="E16" s="95">
        <v>0</v>
      </c>
      <c r="F16" s="95">
        <v>0</v>
      </c>
      <c r="G16" s="95">
        <v>0</v>
      </c>
      <c r="H16" s="95">
        <v>0</v>
      </c>
      <c r="I16" s="95">
        <v>0</v>
      </c>
      <c r="J16" s="96">
        <v>0</v>
      </c>
      <c r="K16" s="95">
        <v>3</v>
      </c>
      <c r="L16" s="95">
        <v>1</v>
      </c>
      <c r="M16" s="178">
        <v>3</v>
      </c>
      <c r="N16" s="98">
        <v>0.25</v>
      </c>
      <c r="P16" s="95" t="s">
        <v>371</v>
      </c>
      <c r="Q16" s="102">
        <v>0.25</v>
      </c>
      <c r="S16" s="97">
        <v>16.826923076923073</v>
      </c>
      <c r="T16" s="97">
        <v>66.666666666666657</v>
      </c>
      <c r="U16" s="97">
        <v>73.87820512820511</v>
      </c>
      <c r="V16" s="97">
        <v>44.711538461538453</v>
      </c>
      <c r="W16" s="97">
        <v>54.967948717948708</v>
      </c>
      <c r="X16" s="97">
        <v>38.621794871794869</v>
      </c>
      <c r="Y16" s="97">
        <v>39.42307692307692</v>
      </c>
      <c r="Z16" s="97">
        <v>20.833333333333329</v>
      </c>
      <c r="AA16" s="97">
        <v>8.6538461538461533</v>
      </c>
      <c r="AB16" s="97">
        <v>21.314102564102562</v>
      </c>
      <c r="AC16" s="97">
        <v>16.987179487179485</v>
      </c>
      <c r="AD16" s="97">
        <v>47.275641025641022</v>
      </c>
      <c r="AE16" s="97">
        <v>8.4935897435897427</v>
      </c>
      <c r="AF16" s="97">
        <v>8.8141025641025621</v>
      </c>
      <c r="AG16" s="97">
        <v>8.4935897435897427</v>
      </c>
      <c r="AH16" s="97">
        <v>53.044871794871796</v>
      </c>
      <c r="AI16" s="97">
        <v>4.3269230769230766</v>
      </c>
      <c r="AJ16" s="97">
        <v>13.301282051282049</v>
      </c>
      <c r="AK16" s="97">
        <v>4.8076923076923066</v>
      </c>
    </row>
    <row r="17" spans="2:37">
      <c r="B17" t="s">
        <v>1024</v>
      </c>
      <c r="C17" t="s">
        <v>1021</v>
      </c>
      <c r="D17" t="s">
        <v>991</v>
      </c>
      <c r="E17">
        <v>0</v>
      </c>
      <c r="F17">
        <v>25</v>
      </c>
      <c r="G17">
        <v>0</v>
      </c>
      <c r="H17">
        <v>0</v>
      </c>
      <c r="I17">
        <v>3</v>
      </c>
      <c r="J17" s="22">
        <v>3</v>
      </c>
      <c r="K17">
        <v>18</v>
      </c>
      <c r="L17">
        <v>1</v>
      </c>
      <c r="M17" s="178">
        <v>1</v>
      </c>
      <c r="N17" s="36">
        <v>0.16666666666666666</v>
      </c>
      <c r="P17" t="s">
        <v>372</v>
      </c>
      <c r="Q17" s="103">
        <v>0.16666666666666666</v>
      </c>
      <c r="S17" s="38">
        <v>50</v>
      </c>
      <c r="T17" s="38">
        <v>50</v>
      </c>
      <c r="U17" s="38">
        <v>75</v>
      </c>
      <c r="V17" s="38">
        <v>50</v>
      </c>
      <c r="W17" s="38">
        <v>25</v>
      </c>
      <c r="X17" s="38">
        <v>25</v>
      </c>
      <c r="Y17" s="38">
        <v>25</v>
      </c>
      <c r="Z17" s="38">
        <v>50</v>
      </c>
      <c r="AA17" s="38">
        <v>0</v>
      </c>
      <c r="AB17" s="38">
        <v>25</v>
      </c>
      <c r="AC17" s="38">
        <v>25</v>
      </c>
      <c r="AD17" s="38">
        <v>25</v>
      </c>
      <c r="AE17" s="38">
        <v>0</v>
      </c>
      <c r="AF17" s="38">
        <v>0</v>
      </c>
      <c r="AG17" s="38">
        <v>0</v>
      </c>
      <c r="AH17" s="38">
        <v>25</v>
      </c>
      <c r="AI17" s="38">
        <v>0</v>
      </c>
      <c r="AJ17" s="38">
        <v>25</v>
      </c>
      <c r="AK17" s="38">
        <v>25</v>
      </c>
    </row>
    <row r="18" spans="2:37">
      <c r="B18" t="s">
        <v>1041</v>
      </c>
      <c r="C18" t="s">
        <v>1021</v>
      </c>
      <c r="D18" t="s">
        <v>991</v>
      </c>
      <c r="E18">
        <v>0</v>
      </c>
      <c r="F18">
        <v>25</v>
      </c>
      <c r="G18">
        <v>0</v>
      </c>
      <c r="H18">
        <v>0</v>
      </c>
      <c r="I18">
        <v>3</v>
      </c>
      <c r="J18" s="22">
        <v>3</v>
      </c>
      <c r="K18">
        <v>19</v>
      </c>
      <c r="L18">
        <v>1</v>
      </c>
      <c r="M18" s="178">
        <v>1</v>
      </c>
      <c r="N18" s="36">
        <v>0.16666666666666666</v>
      </c>
      <c r="P18" t="s">
        <v>373</v>
      </c>
      <c r="Q18" s="103">
        <v>0.16666666666666666</v>
      </c>
      <c r="S18" s="38">
        <v>25</v>
      </c>
      <c r="T18" s="38">
        <v>50</v>
      </c>
      <c r="U18" s="38">
        <v>75</v>
      </c>
      <c r="V18" s="38">
        <v>50</v>
      </c>
      <c r="W18" s="38">
        <v>50</v>
      </c>
      <c r="X18" s="38">
        <v>0</v>
      </c>
      <c r="Y18" s="38">
        <v>0</v>
      </c>
      <c r="Z18" s="38">
        <v>25</v>
      </c>
      <c r="AA18" s="38">
        <v>25</v>
      </c>
      <c r="AB18" s="38">
        <v>25</v>
      </c>
      <c r="AC18" s="38">
        <v>0</v>
      </c>
      <c r="AD18" s="38">
        <v>25</v>
      </c>
      <c r="AE18" s="38">
        <v>0</v>
      </c>
      <c r="AF18" s="38">
        <v>0</v>
      </c>
      <c r="AG18" s="38">
        <v>0</v>
      </c>
      <c r="AH18" s="38">
        <v>50</v>
      </c>
      <c r="AI18" s="38">
        <v>25</v>
      </c>
      <c r="AJ18" s="38">
        <v>25</v>
      </c>
      <c r="AK18" s="38">
        <v>0</v>
      </c>
    </row>
    <row r="19" spans="2:37">
      <c r="B19" t="s">
        <v>786</v>
      </c>
      <c r="C19" t="s">
        <v>1021</v>
      </c>
      <c r="D19" t="s">
        <v>991</v>
      </c>
      <c r="E19">
        <v>0</v>
      </c>
      <c r="F19">
        <v>25</v>
      </c>
      <c r="G19">
        <v>0</v>
      </c>
      <c r="H19">
        <v>0</v>
      </c>
      <c r="I19">
        <v>3</v>
      </c>
      <c r="J19" s="22">
        <v>3</v>
      </c>
      <c r="K19">
        <v>20</v>
      </c>
      <c r="L19">
        <v>1</v>
      </c>
      <c r="M19" s="178">
        <v>1</v>
      </c>
      <c r="N19" s="36">
        <v>0.16666666666666666</v>
      </c>
      <c r="P19" t="s">
        <v>374</v>
      </c>
      <c r="Q19" s="103">
        <v>0.16666666666666666</v>
      </c>
      <c r="S19" s="38">
        <v>0</v>
      </c>
      <c r="T19" s="38">
        <v>50</v>
      </c>
      <c r="U19" s="38">
        <v>50</v>
      </c>
      <c r="V19" s="38">
        <v>25</v>
      </c>
      <c r="W19" s="38">
        <v>50</v>
      </c>
      <c r="X19" s="38">
        <v>0</v>
      </c>
      <c r="Y19" s="38">
        <v>0</v>
      </c>
      <c r="Z19" s="38">
        <v>0</v>
      </c>
      <c r="AA19" s="38">
        <v>25</v>
      </c>
      <c r="AB19" s="38">
        <v>25</v>
      </c>
      <c r="AC19" s="38">
        <v>25</v>
      </c>
      <c r="AD19" s="38">
        <v>25</v>
      </c>
      <c r="AE19" s="38">
        <v>0</v>
      </c>
      <c r="AF19" s="38">
        <v>0</v>
      </c>
      <c r="AG19" s="38">
        <v>0</v>
      </c>
      <c r="AH19" s="38">
        <v>75</v>
      </c>
      <c r="AI19" s="38">
        <v>0</v>
      </c>
      <c r="AJ19" s="38">
        <v>25</v>
      </c>
      <c r="AK19" s="38">
        <v>0</v>
      </c>
    </row>
    <row r="20" spans="2:37">
      <c r="B20" t="s">
        <v>790</v>
      </c>
      <c r="C20" t="s">
        <v>1021</v>
      </c>
      <c r="D20" t="s">
        <v>791</v>
      </c>
      <c r="E20">
        <v>0</v>
      </c>
      <c r="F20">
        <v>1</v>
      </c>
      <c r="G20">
        <v>0</v>
      </c>
      <c r="H20">
        <v>0</v>
      </c>
      <c r="I20">
        <v>104</v>
      </c>
      <c r="J20" s="22">
        <v>104</v>
      </c>
      <c r="K20">
        <v>21</v>
      </c>
      <c r="L20">
        <v>1</v>
      </c>
      <c r="M20" s="178">
        <v>1</v>
      </c>
      <c r="N20" s="36">
        <v>0.16666666666666666</v>
      </c>
      <c r="P20" t="s">
        <v>375</v>
      </c>
      <c r="Q20" s="103">
        <v>0.16666666666666666</v>
      </c>
      <c r="S20" s="38">
        <v>25.961538461538463</v>
      </c>
      <c r="T20" s="38">
        <v>100</v>
      </c>
      <c r="U20" s="38">
        <v>43.269230769230774</v>
      </c>
      <c r="V20" s="38">
        <v>43.269230769230774</v>
      </c>
      <c r="W20" s="38">
        <v>4.8076923076923084</v>
      </c>
      <c r="X20" s="38">
        <v>6.7307692307692308</v>
      </c>
      <c r="Y20" s="38">
        <v>11.538461538461538</v>
      </c>
      <c r="Z20" s="38">
        <v>0</v>
      </c>
      <c r="AA20" s="38">
        <v>1.9230769230769231</v>
      </c>
      <c r="AB20" s="38">
        <v>2.8846153846153846</v>
      </c>
      <c r="AC20" s="38">
        <v>1.9230769230769231</v>
      </c>
      <c r="AD20" s="38">
        <v>58.653846153846153</v>
      </c>
      <c r="AE20" s="38">
        <v>0.96153846153846156</v>
      </c>
      <c r="AF20" s="38">
        <v>2.8846153846153846</v>
      </c>
      <c r="AG20" s="38">
        <v>0.96153846153846156</v>
      </c>
      <c r="AH20" s="38">
        <v>18.269230769230766</v>
      </c>
      <c r="AI20" s="38">
        <v>0.96153846153846156</v>
      </c>
      <c r="AJ20" s="38">
        <v>4.8076923076923084</v>
      </c>
      <c r="AK20" s="38">
        <v>3.8461538461538463</v>
      </c>
    </row>
    <row r="21" spans="2:37">
      <c r="B21" t="s">
        <v>792</v>
      </c>
      <c r="C21" t="s">
        <v>1021</v>
      </c>
      <c r="D21" t="s">
        <v>791</v>
      </c>
      <c r="E21">
        <v>0</v>
      </c>
      <c r="F21">
        <v>25</v>
      </c>
      <c r="G21">
        <v>0</v>
      </c>
      <c r="H21">
        <v>0</v>
      </c>
      <c r="I21">
        <v>4</v>
      </c>
      <c r="J21" s="22">
        <v>4</v>
      </c>
      <c r="K21">
        <v>22</v>
      </c>
      <c r="L21">
        <v>1</v>
      </c>
      <c r="M21" s="178">
        <v>2</v>
      </c>
      <c r="N21" s="36">
        <v>0.33333333333333331</v>
      </c>
      <c r="P21" t="s">
        <v>376</v>
      </c>
      <c r="Q21" s="103">
        <v>0.33333333333333331</v>
      </c>
      <c r="S21" s="38">
        <v>0</v>
      </c>
      <c r="T21" s="38">
        <v>75</v>
      </c>
      <c r="U21" s="38">
        <v>100</v>
      </c>
      <c r="V21" s="38">
        <v>50</v>
      </c>
      <c r="W21" s="38">
        <v>100</v>
      </c>
      <c r="X21" s="38">
        <v>100</v>
      </c>
      <c r="Y21" s="38">
        <v>100</v>
      </c>
      <c r="Z21" s="38">
        <v>25</v>
      </c>
      <c r="AA21" s="38">
        <v>0</v>
      </c>
      <c r="AB21" s="38">
        <v>25</v>
      </c>
      <c r="AC21" s="38">
        <v>25</v>
      </c>
      <c r="AD21" s="38">
        <v>75</v>
      </c>
      <c r="AE21" s="38">
        <v>25</v>
      </c>
      <c r="AF21" s="38">
        <v>25</v>
      </c>
      <c r="AG21" s="38">
        <v>25</v>
      </c>
      <c r="AH21" s="38">
        <v>75</v>
      </c>
      <c r="AI21" s="38">
        <v>0</v>
      </c>
      <c r="AJ21" s="38">
        <v>0</v>
      </c>
      <c r="AK21" s="38">
        <v>0</v>
      </c>
    </row>
    <row r="22" spans="2:37" s="95" customFormat="1">
      <c r="B22" s="95" t="s">
        <v>794</v>
      </c>
      <c r="C22" s="95" t="s">
        <v>981</v>
      </c>
      <c r="D22" s="95" t="s">
        <v>982</v>
      </c>
      <c r="E22" s="95">
        <v>0</v>
      </c>
      <c r="F22" s="95">
        <v>0</v>
      </c>
      <c r="G22" s="95">
        <v>0</v>
      </c>
      <c r="H22" s="95">
        <v>0</v>
      </c>
      <c r="I22" s="95">
        <v>0</v>
      </c>
      <c r="J22" s="96">
        <v>0</v>
      </c>
      <c r="K22" s="95">
        <v>4</v>
      </c>
      <c r="L22" s="95">
        <v>1</v>
      </c>
      <c r="M22" s="178">
        <v>0.5</v>
      </c>
      <c r="N22" s="98">
        <v>4.1666666666666664E-2</v>
      </c>
      <c r="P22" s="95" t="s">
        <v>377</v>
      </c>
      <c r="Q22" s="102">
        <v>4.1666666666666664E-2</v>
      </c>
      <c r="S22" s="97">
        <v>51.559684671536345</v>
      </c>
      <c r="T22" s="97">
        <v>77.20014493462952</v>
      </c>
      <c r="U22" s="97">
        <v>93.031441951732361</v>
      </c>
      <c r="V22" s="97">
        <v>58.567668966761417</v>
      </c>
      <c r="W22" s="97">
        <v>61.339943385118197</v>
      </c>
      <c r="X22" s="97">
        <v>35.755081925338722</v>
      </c>
      <c r="Y22" s="97">
        <v>38.356459457875069</v>
      </c>
      <c r="Z22" s="97">
        <v>58.359351736538045</v>
      </c>
      <c r="AA22" s="97">
        <v>33.368559727550156</v>
      </c>
      <c r="AB22" s="97">
        <v>39.770977310673892</v>
      </c>
      <c r="AC22" s="97">
        <v>13.324737223072479</v>
      </c>
      <c r="AD22" s="97">
        <v>65.144555625543859</v>
      </c>
      <c r="AE22" s="97">
        <v>53.68512376981235</v>
      </c>
      <c r="AF22" s="97">
        <v>62.830238885745686</v>
      </c>
      <c r="AG22" s="97">
        <v>59.394890180955997</v>
      </c>
      <c r="AH22" s="97">
        <v>70.037005584045218</v>
      </c>
      <c r="AI22" s="97">
        <v>64.26334159731185</v>
      </c>
      <c r="AJ22" s="97">
        <v>76.215057045683224</v>
      </c>
      <c r="AK22" s="97">
        <v>37.079258659725554</v>
      </c>
    </row>
    <row r="23" spans="2:37">
      <c r="B23" t="s">
        <v>796</v>
      </c>
      <c r="C23" t="s">
        <v>794</v>
      </c>
      <c r="D23" t="s">
        <v>791</v>
      </c>
      <c r="E23">
        <v>0</v>
      </c>
      <c r="F23">
        <v>1</v>
      </c>
      <c r="G23">
        <v>0</v>
      </c>
      <c r="H23">
        <v>12.252525079230292</v>
      </c>
      <c r="I23">
        <v>73.944616053998573</v>
      </c>
      <c r="J23" s="22">
        <v>61.692090974768277</v>
      </c>
      <c r="K23">
        <v>24</v>
      </c>
      <c r="L23">
        <v>1</v>
      </c>
      <c r="M23" s="178">
        <v>1</v>
      </c>
      <c r="N23" s="36">
        <v>0.25</v>
      </c>
      <c r="P23" t="s">
        <v>378</v>
      </c>
      <c r="Q23" s="103">
        <v>0.25</v>
      </c>
      <c r="S23" s="38">
        <v>37.360517445585145</v>
      </c>
      <c r="T23" s="38">
        <v>48.052638431091104</v>
      </c>
      <c r="U23" s="38">
        <v>100</v>
      </c>
      <c r="V23" s="38">
        <v>35.972292422129364</v>
      </c>
      <c r="W23" s="38">
        <v>68.460361076049423</v>
      </c>
      <c r="X23" s="38">
        <v>20.22515228294251</v>
      </c>
      <c r="Y23" s="38">
        <v>0</v>
      </c>
      <c r="Z23" s="38">
        <v>48.353054898895429</v>
      </c>
      <c r="AA23" s="38">
        <v>15.625276727016777</v>
      </c>
      <c r="AB23" s="38">
        <v>6.5623250166163771</v>
      </c>
      <c r="AC23" s="38">
        <v>44.709214218193985</v>
      </c>
      <c r="AD23" s="38">
        <v>46.133081820896692</v>
      </c>
      <c r="AE23" s="38">
        <v>15.554799736801927</v>
      </c>
      <c r="AF23" s="38">
        <v>40.971470409316325</v>
      </c>
      <c r="AG23" s="38">
        <v>22.075930225443312</v>
      </c>
      <c r="AH23" s="38">
        <v>32.034848139693992</v>
      </c>
      <c r="AI23" s="38">
        <v>43.82413587142382</v>
      </c>
      <c r="AJ23" s="38">
        <v>68.894870569570855</v>
      </c>
      <c r="AK23" s="38">
        <v>2.4208463423754121</v>
      </c>
    </row>
    <row r="24" spans="2:37">
      <c r="B24" t="s">
        <v>801</v>
      </c>
      <c r="C24" t="s">
        <v>794</v>
      </c>
      <c r="D24" t="s">
        <v>791</v>
      </c>
      <c r="E24">
        <v>0</v>
      </c>
      <c r="F24">
        <v>1</v>
      </c>
      <c r="G24">
        <v>0</v>
      </c>
      <c r="H24">
        <v>35.61868593095673</v>
      </c>
      <c r="I24">
        <v>68.707589292777584</v>
      </c>
      <c r="J24" s="22">
        <v>33.088903361820854</v>
      </c>
      <c r="K24">
        <v>25</v>
      </c>
      <c r="L24">
        <v>1</v>
      </c>
      <c r="M24" s="178">
        <v>1</v>
      </c>
      <c r="N24" s="36">
        <v>0.25</v>
      </c>
      <c r="P24" t="s">
        <v>379</v>
      </c>
      <c r="Q24" s="103">
        <v>0.25</v>
      </c>
      <c r="S24" s="38">
        <v>52.908833412841204</v>
      </c>
      <c r="T24" s="38">
        <v>73.321047289595882</v>
      </c>
      <c r="U24" s="38">
        <v>100</v>
      </c>
      <c r="V24" s="38">
        <v>54.781095898582208</v>
      </c>
      <c r="W24" s="38">
        <v>17.554999906999424</v>
      </c>
      <c r="X24" s="38">
        <v>0</v>
      </c>
      <c r="Y24" s="38">
        <v>58.804032707742614</v>
      </c>
      <c r="Z24" s="38">
        <v>91.006434380924873</v>
      </c>
      <c r="AA24" s="38">
        <v>32.418855089921649</v>
      </c>
      <c r="AB24" s="38">
        <v>20.589099522913909</v>
      </c>
      <c r="AC24" s="38">
        <v>8.5897346740959328</v>
      </c>
      <c r="AD24" s="38">
        <v>79.16774811494497</v>
      </c>
      <c r="AE24" s="38">
        <v>19.119170657101815</v>
      </c>
      <c r="AF24" s="38">
        <v>84.279330239468891</v>
      </c>
      <c r="AG24" s="38">
        <v>15.503630498380675</v>
      </c>
      <c r="AH24" s="38">
        <v>92.168058247974002</v>
      </c>
      <c r="AI24" s="38">
        <v>78.458523940424868</v>
      </c>
      <c r="AJ24" s="38">
        <v>44.259641338904984</v>
      </c>
      <c r="AK24" s="38">
        <v>16.32961403316359</v>
      </c>
    </row>
    <row r="25" spans="2:37">
      <c r="B25" t="s">
        <v>806</v>
      </c>
      <c r="C25" t="s">
        <v>794</v>
      </c>
      <c r="D25" t="s">
        <v>791</v>
      </c>
      <c r="E25">
        <v>0</v>
      </c>
      <c r="F25">
        <v>33.333333333333336</v>
      </c>
      <c r="G25" s="40">
        <v>1</v>
      </c>
      <c r="H25">
        <v>0.18527777777777779</v>
      </c>
      <c r="I25">
        <v>0.59385903698534548</v>
      </c>
      <c r="J25" s="22">
        <v>0.40858125920756772</v>
      </c>
      <c r="K25">
        <v>26</v>
      </c>
      <c r="L25">
        <v>1</v>
      </c>
      <c r="M25" s="178">
        <v>2</v>
      </c>
      <c r="N25" s="36">
        <v>0.5</v>
      </c>
      <c r="P25" s="173" t="s">
        <v>1049</v>
      </c>
      <c r="Q25" s="103">
        <v>0.5</v>
      </c>
      <c r="S25" s="38">
        <v>57.984693913859509</v>
      </c>
      <c r="T25" s="38">
        <v>93.713447008915551</v>
      </c>
      <c r="U25" s="38">
        <v>86.062883903464723</v>
      </c>
      <c r="V25" s="38">
        <v>71.758643773167051</v>
      </c>
      <c r="W25" s="38">
        <v>79.672206278711968</v>
      </c>
      <c r="X25" s="38">
        <v>61.397587709206192</v>
      </c>
      <c r="Y25" s="38">
        <v>47.310902561878834</v>
      </c>
      <c r="Z25" s="38">
        <v>47.038958833165943</v>
      </c>
      <c r="AA25" s="38">
        <v>42.715053546631097</v>
      </c>
      <c r="AB25" s="38">
        <v>65.966242351582636</v>
      </c>
      <c r="AC25" s="38">
        <v>0</v>
      </c>
      <c r="AD25" s="38">
        <v>67.63869628316688</v>
      </c>
      <c r="AE25" s="38">
        <v>90.033262342672828</v>
      </c>
      <c r="AF25" s="38">
        <v>63.035077447098772</v>
      </c>
      <c r="AG25" s="38">
        <v>100</v>
      </c>
      <c r="AH25" s="38">
        <v>77.972557974256446</v>
      </c>
      <c r="AI25" s="38">
        <v>67.385353288699363</v>
      </c>
      <c r="AJ25" s="38">
        <v>95.852858137128521</v>
      </c>
      <c r="AK25" s="38">
        <v>64.783287131681604</v>
      </c>
    </row>
    <row r="26" spans="2:37" s="95" customFormat="1">
      <c r="B26" s="95" t="s">
        <v>807</v>
      </c>
      <c r="C26" s="95" t="s">
        <v>981</v>
      </c>
      <c r="D26" s="95" t="s">
        <v>982</v>
      </c>
      <c r="E26" s="95">
        <v>0</v>
      </c>
      <c r="F26" s="95">
        <v>0</v>
      </c>
      <c r="G26" s="95">
        <v>0</v>
      </c>
      <c r="H26" s="95">
        <v>0</v>
      </c>
      <c r="I26" s="95">
        <v>0</v>
      </c>
      <c r="J26" s="96">
        <v>0</v>
      </c>
      <c r="K26" s="95">
        <v>5</v>
      </c>
      <c r="L26" s="95">
        <v>1</v>
      </c>
      <c r="M26" s="178">
        <v>0.5</v>
      </c>
      <c r="N26" s="98">
        <v>4.1666666666666664E-2</v>
      </c>
      <c r="P26" s="95" t="s">
        <v>380</v>
      </c>
      <c r="Q26" s="102">
        <v>4.1666666666666664E-2</v>
      </c>
      <c r="S26" s="97">
        <v>20.833333333333332</v>
      </c>
      <c r="T26" s="97">
        <v>62.499999999999993</v>
      </c>
      <c r="U26" s="97">
        <v>95.833333333333314</v>
      </c>
      <c r="V26" s="97">
        <v>54.166666666666657</v>
      </c>
      <c r="W26" s="97">
        <v>41.666666666666664</v>
      </c>
      <c r="X26" s="97">
        <v>20.833333333333329</v>
      </c>
      <c r="Y26" s="97">
        <v>16.666666666666664</v>
      </c>
      <c r="Z26" s="97">
        <v>45.833333333333321</v>
      </c>
      <c r="AA26" s="97">
        <v>29.166666666666661</v>
      </c>
      <c r="AB26" s="97">
        <v>8.3333333333333321</v>
      </c>
      <c r="AC26" s="97">
        <v>12.499999999999998</v>
      </c>
      <c r="AD26" s="97">
        <v>66.666666666666671</v>
      </c>
      <c r="AE26" s="97">
        <v>4.1666666666666661</v>
      </c>
      <c r="AF26" s="97">
        <v>62.499999999999993</v>
      </c>
      <c r="AG26" s="97">
        <v>24.999999999999993</v>
      </c>
      <c r="AH26" s="97">
        <v>58.333333333333329</v>
      </c>
      <c r="AI26" s="97">
        <v>58.333333333333329</v>
      </c>
      <c r="AJ26" s="97">
        <v>24.999999999999993</v>
      </c>
      <c r="AK26" s="97">
        <v>20.833333333333329</v>
      </c>
    </row>
    <row r="27" spans="2:37">
      <c r="B27" t="s">
        <v>810</v>
      </c>
      <c r="C27" t="s">
        <v>807</v>
      </c>
      <c r="D27" t="s">
        <v>991</v>
      </c>
      <c r="E27">
        <v>0</v>
      </c>
      <c r="F27">
        <v>25</v>
      </c>
      <c r="G27">
        <v>0</v>
      </c>
      <c r="H27">
        <v>0</v>
      </c>
      <c r="I27">
        <v>4</v>
      </c>
      <c r="J27" s="22">
        <v>4</v>
      </c>
      <c r="K27">
        <v>28</v>
      </c>
      <c r="L27">
        <v>1</v>
      </c>
      <c r="M27" s="178">
        <v>1</v>
      </c>
      <c r="N27" s="36">
        <v>0.33333333333333331</v>
      </c>
      <c r="P27" t="s">
        <v>381</v>
      </c>
      <c r="Q27" s="103">
        <v>0.33333333333333331</v>
      </c>
      <c r="S27" s="38">
        <v>0</v>
      </c>
      <c r="T27" s="38">
        <v>75</v>
      </c>
      <c r="U27" s="38">
        <v>100</v>
      </c>
      <c r="V27" s="38">
        <v>50</v>
      </c>
      <c r="W27" s="38">
        <v>50</v>
      </c>
      <c r="X27" s="38">
        <v>25</v>
      </c>
      <c r="Y27" s="38">
        <v>0</v>
      </c>
      <c r="Z27" s="38">
        <v>50</v>
      </c>
      <c r="AA27" s="38">
        <v>50</v>
      </c>
      <c r="AB27" s="38">
        <v>0</v>
      </c>
      <c r="AC27" s="38">
        <v>0</v>
      </c>
      <c r="AD27" s="38">
        <v>75</v>
      </c>
      <c r="AE27" s="38">
        <v>0</v>
      </c>
      <c r="AF27" s="38">
        <v>75</v>
      </c>
      <c r="AG27" s="38">
        <v>25</v>
      </c>
      <c r="AH27" s="38">
        <v>75</v>
      </c>
      <c r="AI27" s="38">
        <v>75</v>
      </c>
      <c r="AJ27" s="38">
        <v>25</v>
      </c>
      <c r="AK27" s="38">
        <v>25</v>
      </c>
    </row>
    <row r="28" spans="2:37">
      <c r="B28" t="s">
        <v>812</v>
      </c>
      <c r="C28" t="s">
        <v>807</v>
      </c>
      <c r="D28" t="s">
        <v>991</v>
      </c>
      <c r="E28">
        <v>0</v>
      </c>
      <c r="F28">
        <v>25</v>
      </c>
      <c r="G28">
        <v>0</v>
      </c>
      <c r="H28">
        <v>0</v>
      </c>
      <c r="I28">
        <v>4</v>
      </c>
      <c r="J28" s="22">
        <v>4</v>
      </c>
      <c r="K28">
        <v>29</v>
      </c>
      <c r="L28">
        <v>1</v>
      </c>
      <c r="M28" s="178">
        <v>1</v>
      </c>
      <c r="N28" s="36">
        <v>0.33333333333333331</v>
      </c>
      <c r="P28" t="s">
        <v>382</v>
      </c>
      <c r="Q28" s="103">
        <v>0.33333333333333331</v>
      </c>
      <c r="S28" s="38">
        <v>25</v>
      </c>
      <c r="T28" s="38">
        <v>75</v>
      </c>
      <c r="U28" s="38">
        <v>100</v>
      </c>
      <c r="V28" s="38">
        <v>50</v>
      </c>
      <c r="W28" s="38">
        <v>25</v>
      </c>
      <c r="X28" s="38">
        <v>25</v>
      </c>
      <c r="Y28" s="38">
        <v>25</v>
      </c>
      <c r="Z28" s="38">
        <v>50</v>
      </c>
      <c r="AA28" s="38">
        <v>0</v>
      </c>
      <c r="AB28" s="38">
        <v>0</v>
      </c>
      <c r="AC28" s="38">
        <v>0</v>
      </c>
      <c r="AD28" s="38">
        <v>75</v>
      </c>
      <c r="AE28" s="38">
        <v>0</v>
      </c>
      <c r="AF28" s="38">
        <v>50</v>
      </c>
      <c r="AG28" s="38">
        <v>25</v>
      </c>
      <c r="AH28" s="38">
        <v>50</v>
      </c>
      <c r="AI28" s="38">
        <v>50</v>
      </c>
      <c r="AJ28" s="38">
        <v>25</v>
      </c>
      <c r="AK28" s="38">
        <v>25</v>
      </c>
    </row>
    <row r="29" spans="2:37">
      <c r="B29" t="s">
        <v>816</v>
      </c>
      <c r="C29" t="s">
        <v>807</v>
      </c>
      <c r="D29" t="s">
        <v>991</v>
      </c>
      <c r="E29">
        <v>0</v>
      </c>
      <c r="F29">
        <v>25</v>
      </c>
      <c r="G29">
        <v>0</v>
      </c>
      <c r="H29">
        <v>1</v>
      </c>
      <c r="I29">
        <v>4</v>
      </c>
      <c r="J29" s="22">
        <v>3</v>
      </c>
      <c r="K29">
        <v>30</v>
      </c>
      <c r="L29">
        <v>1</v>
      </c>
      <c r="M29" s="178">
        <v>0.5</v>
      </c>
      <c r="N29" s="36">
        <v>0.16666666666666666</v>
      </c>
      <c r="P29" t="s">
        <v>383</v>
      </c>
      <c r="Q29" s="103">
        <v>0.16666666666666666</v>
      </c>
      <c r="S29" s="38">
        <v>75</v>
      </c>
      <c r="T29" s="38">
        <v>50</v>
      </c>
      <c r="U29" s="38">
        <v>100</v>
      </c>
      <c r="V29" s="38">
        <v>75</v>
      </c>
      <c r="W29" s="38">
        <v>75</v>
      </c>
      <c r="X29" s="38">
        <v>25</v>
      </c>
      <c r="Y29" s="38">
        <v>25</v>
      </c>
      <c r="Z29" s="38">
        <v>50</v>
      </c>
      <c r="AA29" s="38">
        <v>25</v>
      </c>
      <c r="AB29" s="38">
        <v>25</v>
      </c>
      <c r="AC29" s="38">
        <v>50</v>
      </c>
      <c r="AD29" s="38">
        <v>75</v>
      </c>
      <c r="AE29" s="38">
        <v>25</v>
      </c>
      <c r="AF29" s="38">
        <v>100</v>
      </c>
      <c r="AG29" s="38">
        <v>25</v>
      </c>
      <c r="AH29" s="38">
        <v>75</v>
      </c>
      <c r="AI29" s="38">
        <v>75</v>
      </c>
      <c r="AJ29" s="38">
        <v>25</v>
      </c>
      <c r="AK29" s="38">
        <v>25</v>
      </c>
    </row>
    <row r="30" spans="2:37">
      <c r="B30" t="s">
        <v>820</v>
      </c>
      <c r="C30" t="s">
        <v>807</v>
      </c>
      <c r="D30" t="s">
        <v>991</v>
      </c>
      <c r="E30">
        <v>0</v>
      </c>
      <c r="F30">
        <v>25</v>
      </c>
      <c r="G30">
        <v>0</v>
      </c>
      <c r="H30">
        <v>0</v>
      </c>
      <c r="I30">
        <v>3</v>
      </c>
      <c r="J30" s="22">
        <v>3</v>
      </c>
      <c r="K30">
        <v>31</v>
      </c>
      <c r="L30">
        <v>1</v>
      </c>
      <c r="M30" s="178">
        <v>0.5</v>
      </c>
      <c r="N30" s="36">
        <v>0.16666666666666666</v>
      </c>
      <c r="P30" t="s">
        <v>384</v>
      </c>
      <c r="Q30" s="103">
        <v>0.16666666666666666</v>
      </c>
      <c r="S30" s="38">
        <v>0</v>
      </c>
      <c r="T30" s="38">
        <v>25</v>
      </c>
      <c r="U30" s="38">
        <v>75</v>
      </c>
      <c r="V30" s="38">
        <v>50</v>
      </c>
      <c r="W30" s="38">
        <v>25</v>
      </c>
      <c r="X30" s="38">
        <v>0</v>
      </c>
      <c r="Y30" s="38">
        <v>25</v>
      </c>
      <c r="Z30" s="38">
        <v>25</v>
      </c>
      <c r="AA30" s="38">
        <v>50</v>
      </c>
      <c r="AB30" s="38">
        <v>25</v>
      </c>
      <c r="AC30" s="38">
        <v>25</v>
      </c>
      <c r="AD30" s="38">
        <v>25</v>
      </c>
      <c r="AE30" s="38">
        <v>0</v>
      </c>
      <c r="AF30" s="38">
        <v>25</v>
      </c>
      <c r="AG30" s="38">
        <v>25</v>
      </c>
      <c r="AH30" s="38">
        <v>25</v>
      </c>
      <c r="AI30" s="38">
        <v>25</v>
      </c>
      <c r="AJ30" s="38">
        <v>25</v>
      </c>
      <c r="AK30" s="38">
        <v>0</v>
      </c>
    </row>
  </sheetData>
  <phoneticPr fontId="0"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sheetPr codeName="Sheet23"/>
  <dimension ref="B2:V26"/>
  <sheetViews>
    <sheetView topLeftCell="C1" workbookViewId="0">
      <selection activeCell="E1" sqref="E1:E65536"/>
    </sheetView>
  </sheetViews>
  <sheetFormatPr defaultRowHeight="15"/>
  <cols>
    <col min="1" max="1" width="2.7109375" customWidth="1"/>
    <col min="3" max="3" width="41.7109375" bestFit="1" customWidth="1"/>
  </cols>
  <sheetData>
    <row r="2" spans="2:22">
      <c r="D2" t="str">
        <f>Data2010!D3</f>
        <v>Argentina</v>
      </c>
      <c r="E2" t="str">
        <f>Data2010!E3</f>
        <v>Brazil</v>
      </c>
      <c r="F2" t="str">
        <f>Data2010!F3</f>
        <v xml:space="preserve">Chile </v>
      </c>
      <c r="G2" t="str">
        <f>Data2010!G3</f>
        <v>Colombia</v>
      </c>
      <c r="H2" t="str">
        <f>Data2010!H3</f>
        <v>Costa Rica</v>
      </c>
      <c r="I2" t="str">
        <f>Data2010!I3</f>
        <v>Dominican Rep.</v>
      </c>
      <c r="J2" t="str">
        <f>Data2010!J3</f>
        <v>Ecuador</v>
      </c>
      <c r="K2" t="str">
        <f>Data2010!K3</f>
        <v>El Salvador</v>
      </c>
      <c r="L2" t="str">
        <f>Data2010!L3</f>
        <v>Guatemala</v>
      </c>
      <c r="M2" t="str">
        <f>Data2010!M3</f>
        <v>Honduras</v>
      </c>
      <c r="N2" t="str">
        <f>Data2010!N3</f>
        <v>Jamaica</v>
      </c>
      <c r="O2" t="str">
        <f>Data2010!O3</f>
        <v>Mexico</v>
      </c>
      <c r="P2" t="str">
        <f>Data2010!P3</f>
        <v>Nicaragua</v>
      </c>
      <c r="Q2" t="str">
        <f>Data2010!Q3</f>
        <v>Panama</v>
      </c>
      <c r="R2" t="str">
        <f>Data2010!R3</f>
        <v>Paraguay</v>
      </c>
      <c r="S2" t="str">
        <f>Data2010!S3</f>
        <v>Peru</v>
      </c>
      <c r="T2" t="str">
        <f>Data2010!T3</f>
        <v>Trinidad &amp; Tobago</v>
      </c>
      <c r="U2" t="str">
        <f>Data2010!U3</f>
        <v>Uruguay</v>
      </c>
      <c r="V2" t="str">
        <f>Data2010!V3</f>
        <v>Venezuela</v>
      </c>
    </row>
    <row r="3" spans="2:22">
      <c r="B3" t="str">
        <f>tblIndicators!A2</f>
        <v>TOTL</v>
      </c>
      <c r="C3" s="39" t="str">
        <f>tblIndicators!H2</f>
        <v>OVERALL SCORE</v>
      </c>
    </row>
    <row r="4" spans="2:22">
      <c r="B4" t="str">
        <f>tblIndicators!A3</f>
        <v>LEGF</v>
      </c>
      <c r="C4" s="39" t="str">
        <f>tblIndicators!H3</f>
        <v>Regulatory framework</v>
      </c>
    </row>
    <row r="5" spans="2:22">
      <c r="B5" t="str">
        <f>tblIndicators!A4</f>
        <v>LEGF01</v>
      </c>
      <c r="C5" t="str">
        <f>tblIndicators!H4</f>
        <v>Consistency and quality of PPP regulations</v>
      </c>
      <c r="D5" t="s">
        <v>821</v>
      </c>
      <c r="E5" t="s">
        <v>822</v>
      </c>
      <c r="F5" t="s">
        <v>897</v>
      </c>
      <c r="G5" t="s">
        <v>784</v>
      </c>
      <c r="H5" t="s">
        <v>782</v>
      </c>
      <c r="I5" t="s">
        <v>783</v>
      </c>
      <c r="J5" t="s">
        <v>781</v>
      </c>
      <c r="K5" t="s">
        <v>778</v>
      </c>
      <c r="L5" t="s">
        <v>779</v>
      </c>
      <c r="M5" t="s">
        <v>780</v>
      </c>
      <c r="N5" t="s">
        <v>777</v>
      </c>
      <c r="O5" t="s">
        <v>775</v>
      </c>
      <c r="P5" t="s">
        <v>776</v>
      </c>
      <c r="Q5" t="s">
        <v>774</v>
      </c>
      <c r="R5" t="s">
        <v>773</v>
      </c>
      <c r="S5" t="s">
        <v>772</v>
      </c>
      <c r="T5" t="s">
        <v>771</v>
      </c>
      <c r="U5" t="s">
        <v>770</v>
      </c>
      <c r="V5" t="s">
        <v>769</v>
      </c>
    </row>
    <row r="6" spans="2:22">
      <c r="B6" t="str">
        <f>tblIndicators!A5</f>
        <v>LEGF02</v>
      </c>
      <c r="C6" t="str">
        <f>tblIndicators!H5</f>
        <v>Effective PPP selection and decision making</v>
      </c>
      <c r="D6" t="s">
        <v>755</v>
      </c>
      <c r="E6" t="s">
        <v>598</v>
      </c>
      <c r="F6" t="s">
        <v>599</v>
      </c>
      <c r="G6" t="s">
        <v>687</v>
      </c>
      <c r="H6" t="s">
        <v>760</v>
      </c>
      <c r="I6" t="s">
        <v>761</v>
      </c>
      <c r="J6" t="s">
        <v>762</v>
      </c>
      <c r="K6" t="s">
        <v>736</v>
      </c>
      <c r="L6" t="s">
        <v>737</v>
      </c>
      <c r="M6" t="s">
        <v>738</v>
      </c>
      <c r="N6" t="s">
        <v>720</v>
      </c>
      <c r="O6" t="s">
        <v>739</v>
      </c>
      <c r="P6" t="s">
        <v>740</v>
      </c>
      <c r="Q6" t="s">
        <v>741</v>
      </c>
      <c r="R6" t="s">
        <v>742</v>
      </c>
      <c r="S6" t="s">
        <v>519</v>
      </c>
      <c r="T6" t="s">
        <v>637</v>
      </c>
      <c r="U6" t="s">
        <v>638</v>
      </c>
      <c r="V6" t="s">
        <v>678</v>
      </c>
    </row>
    <row r="7" spans="2:22">
      <c r="B7" t="str">
        <f>tblIndicators!A6</f>
        <v>LEGF03</v>
      </c>
      <c r="C7" t="str">
        <f>tblIndicators!H6</f>
        <v>Fairness/openness of bids, contract changes</v>
      </c>
      <c r="D7" t="s">
        <v>679</v>
      </c>
      <c r="E7" t="s">
        <v>595</v>
      </c>
      <c r="F7" t="s">
        <v>596</v>
      </c>
      <c r="G7" t="s">
        <v>597</v>
      </c>
      <c r="H7" t="s">
        <v>698</v>
      </c>
      <c r="I7" t="s">
        <v>699</v>
      </c>
      <c r="J7" t="s">
        <v>750</v>
      </c>
      <c r="K7" t="s">
        <v>751</v>
      </c>
      <c r="L7" t="s">
        <v>752</v>
      </c>
      <c r="M7" t="s">
        <v>676</v>
      </c>
      <c r="N7" t="s">
        <v>732</v>
      </c>
      <c r="O7" t="s">
        <v>714</v>
      </c>
      <c r="P7" t="s">
        <v>715</v>
      </c>
      <c r="Q7" t="s">
        <v>630</v>
      </c>
      <c r="R7" t="s">
        <v>631</v>
      </c>
      <c r="S7" t="s">
        <v>701</v>
      </c>
      <c r="T7" t="s">
        <v>675</v>
      </c>
      <c r="U7" t="s">
        <v>438</v>
      </c>
      <c r="V7" t="s">
        <v>439</v>
      </c>
    </row>
    <row r="8" spans="2:22">
      <c r="B8" t="str">
        <f>tblIndicators!A7</f>
        <v>LEGF04</v>
      </c>
      <c r="C8" t="str">
        <f>tblIndicators!H7</f>
        <v>Dispute resolution mechanisms</v>
      </c>
      <c r="D8" t="s">
        <v>758</v>
      </c>
      <c r="E8" t="s">
        <v>759</v>
      </c>
      <c r="F8" t="s">
        <v>703</v>
      </c>
      <c r="G8" t="s">
        <v>718</v>
      </c>
      <c r="H8" t="s">
        <v>719</v>
      </c>
      <c r="I8" t="s">
        <v>644</v>
      </c>
      <c r="J8" t="s">
        <v>645</v>
      </c>
      <c r="K8" t="s">
        <v>704</v>
      </c>
      <c r="L8" t="s">
        <v>705</v>
      </c>
      <c r="M8" t="s">
        <v>632</v>
      </c>
      <c r="N8" t="s">
        <v>633</v>
      </c>
      <c r="O8" t="s">
        <v>757</v>
      </c>
      <c r="P8" t="s">
        <v>749</v>
      </c>
      <c r="Q8" t="s">
        <v>667</v>
      </c>
      <c r="R8" t="s">
        <v>668</v>
      </c>
      <c r="S8" t="s">
        <v>709</v>
      </c>
      <c r="T8" t="s">
        <v>710</v>
      </c>
      <c r="U8" t="s">
        <v>711</v>
      </c>
      <c r="V8" t="s">
        <v>669</v>
      </c>
    </row>
    <row r="9" spans="2:22">
      <c r="B9" t="str">
        <f>tblIndicators!A8</f>
        <v>INST</v>
      </c>
      <c r="C9" s="39" t="str">
        <f>tblIndicators!H8</f>
        <v>Institutional framework</v>
      </c>
    </row>
    <row r="10" spans="2:22">
      <c r="B10" t="str">
        <f>tblIndicators!A9</f>
        <v>INST01</v>
      </c>
      <c r="C10" t="str">
        <f>tblIndicators!H9</f>
        <v>Quality of institutional design</v>
      </c>
      <c r="D10" t="s">
        <v>670</v>
      </c>
      <c r="E10" t="s">
        <v>476</v>
      </c>
      <c r="F10" t="s">
        <v>589</v>
      </c>
      <c r="G10" t="s">
        <v>716</v>
      </c>
      <c r="H10" t="s">
        <v>717</v>
      </c>
      <c r="I10" t="s">
        <v>593</v>
      </c>
      <c r="J10" t="s">
        <v>594</v>
      </c>
      <c r="K10" t="s">
        <v>414</v>
      </c>
      <c r="L10" t="s">
        <v>415</v>
      </c>
      <c r="M10" t="s">
        <v>635</v>
      </c>
      <c r="N10" t="s">
        <v>636</v>
      </c>
      <c r="O10" t="s">
        <v>685</v>
      </c>
      <c r="P10" t="s">
        <v>686</v>
      </c>
      <c r="Q10" t="s">
        <v>606</v>
      </c>
      <c r="R10" t="s">
        <v>607</v>
      </c>
      <c r="S10" t="s">
        <v>734</v>
      </c>
      <c r="T10" t="s">
        <v>735</v>
      </c>
      <c r="U10" t="s">
        <v>706</v>
      </c>
      <c r="V10" t="s">
        <v>696</v>
      </c>
    </row>
    <row r="11" spans="2:22">
      <c r="B11" t="str">
        <f>tblIndicators!A10</f>
        <v>INST02</v>
      </c>
      <c r="C11" t="str">
        <f>tblIndicators!H10</f>
        <v>PPP contract, hold-up and expropriation risk</v>
      </c>
      <c r="D11" t="s">
        <v>697</v>
      </c>
      <c r="E11" t="s">
        <v>502</v>
      </c>
      <c r="F11" t="s">
        <v>680</v>
      </c>
      <c r="G11" t="s">
        <v>681</v>
      </c>
      <c r="H11" t="s">
        <v>623</v>
      </c>
      <c r="I11" t="s">
        <v>700</v>
      </c>
      <c r="J11" t="s">
        <v>629</v>
      </c>
      <c r="K11" t="s">
        <v>511</v>
      </c>
      <c r="L11" t="s">
        <v>673</v>
      </c>
      <c r="M11" t="s">
        <v>674</v>
      </c>
      <c r="N11" t="s">
        <v>517</v>
      </c>
      <c r="O11" t="s">
        <v>518</v>
      </c>
      <c r="P11" t="s">
        <v>392</v>
      </c>
      <c r="Q11" t="s">
        <v>393</v>
      </c>
      <c r="R11" t="s">
        <v>520</v>
      </c>
      <c r="S11" t="s">
        <v>521</v>
      </c>
      <c r="T11" t="s">
        <v>639</v>
      </c>
      <c r="U11" t="s">
        <v>640</v>
      </c>
      <c r="V11" t="s">
        <v>641</v>
      </c>
    </row>
    <row r="12" spans="2:22">
      <c r="B12" t="str">
        <f>tblIndicators!A11</f>
        <v>OPER</v>
      </c>
      <c r="C12" s="39" t="str">
        <f>tblIndicators!H11</f>
        <v>Operational maturity</v>
      </c>
    </row>
    <row r="13" spans="2:22">
      <c r="B13" t="str">
        <f>tblIndicators!A12</f>
        <v>OPER01</v>
      </c>
      <c r="C13" t="str">
        <f>tblIndicators!H12</f>
        <v>Public capacity to plan and oversee PPPs</v>
      </c>
      <c r="D13" t="s">
        <v>642</v>
      </c>
      <c r="E13" t="s">
        <v>643</v>
      </c>
      <c r="F13" t="s">
        <v>646</v>
      </c>
      <c r="G13" t="s">
        <v>647</v>
      </c>
      <c r="H13" t="s">
        <v>721</v>
      </c>
      <c r="I13" t="s">
        <v>722</v>
      </c>
      <c r="J13" t="s">
        <v>682</v>
      </c>
      <c r="K13" t="s">
        <v>683</v>
      </c>
      <c r="L13" t="s">
        <v>684</v>
      </c>
      <c r="M13" t="s">
        <v>725</v>
      </c>
      <c r="N13" t="s">
        <v>745</v>
      </c>
      <c r="O13" t="s">
        <v>746</v>
      </c>
      <c r="P13" t="s">
        <v>747</v>
      </c>
      <c r="Q13" t="s">
        <v>748</v>
      </c>
      <c r="R13" t="s">
        <v>665</v>
      </c>
      <c r="S13" t="s">
        <v>666</v>
      </c>
      <c r="T13" t="s">
        <v>664</v>
      </c>
      <c r="U13" t="s">
        <v>581</v>
      </c>
      <c r="V13" t="s">
        <v>582</v>
      </c>
    </row>
    <row r="14" spans="2:22">
      <c r="B14" t="str">
        <f>tblIndicators!A13</f>
        <v>OPER02</v>
      </c>
      <c r="C14" t="str">
        <f>tblIndicators!H13</f>
        <v xml:space="preserve">Methods and criteria for awarding projects </v>
      </c>
      <c r="D14" t="s">
        <v>634</v>
      </c>
      <c r="E14" t="s">
        <v>707</v>
      </c>
      <c r="F14" t="s">
        <v>708</v>
      </c>
      <c r="G14" t="s">
        <v>462</v>
      </c>
      <c r="H14" t="s">
        <v>583</v>
      </c>
      <c r="I14" t="s">
        <v>753</v>
      </c>
      <c r="J14" t="s">
        <v>756</v>
      </c>
      <c r="K14" t="s">
        <v>712</v>
      </c>
      <c r="L14" t="s">
        <v>713</v>
      </c>
      <c r="M14" t="s">
        <v>467</v>
      </c>
      <c r="N14" t="s">
        <v>468</v>
      </c>
      <c r="O14" t="s">
        <v>469</v>
      </c>
      <c r="P14" t="s">
        <v>470</v>
      </c>
      <c r="Q14" t="s">
        <v>590</v>
      </c>
      <c r="R14" t="s">
        <v>702</v>
      </c>
      <c r="S14" t="s">
        <v>591</v>
      </c>
      <c r="T14" t="s">
        <v>592</v>
      </c>
      <c r="U14" t="s">
        <v>473</v>
      </c>
      <c r="V14" t="s">
        <v>474</v>
      </c>
    </row>
    <row r="15" spans="2:22">
      <c r="B15" t="str">
        <f>tblIndicators!A14</f>
        <v>OPER03</v>
      </c>
      <c r="C15" t="str">
        <f>tblIndicators!H14</f>
        <v>Regulators' risk allocation record</v>
      </c>
      <c r="D15" t="s">
        <v>475</v>
      </c>
      <c r="E15" t="s">
        <v>416</v>
      </c>
      <c r="F15" t="s">
        <v>477</v>
      </c>
      <c r="G15" t="s">
        <v>600</v>
      </c>
      <c r="H15" t="s">
        <v>601</v>
      </c>
      <c r="I15" t="s">
        <v>480</v>
      </c>
      <c r="J15" t="s">
        <v>602</v>
      </c>
      <c r="K15" t="s">
        <v>603</v>
      </c>
      <c r="L15" t="s">
        <v>604</v>
      </c>
      <c r="M15" t="s">
        <v>605</v>
      </c>
      <c r="N15" t="s">
        <v>608</v>
      </c>
      <c r="O15" t="s">
        <v>688</v>
      </c>
      <c r="P15" t="s">
        <v>689</v>
      </c>
      <c r="Q15" t="s">
        <v>690</v>
      </c>
      <c r="R15" t="s">
        <v>763</v>
      </c>
      <c r="S15" t="s">
        <v>764</v>
      </c>
      <c r="T15" t="s">
        <v>765</v>
      </c>
      <c r="U15" t="s">
        <v>766</v>
      </c>
      <c r="V15" t="s">
        <v>767</v>
      </c>
    </row>
    <row r="16" spans="2:22">
      <c r="B16" t="str">
        <f>tblIndicators!A15</f>
        <v>OPER04</v>
      </c>
      <c r="C16" t="str">
        <f>tblIndicators!H15</f>
        <v>Experience in PPP projects (concessions)</v>
      </c>
      <c r="D16" t="s">
        <v>768</v>
      </c>
      <c r="E16" t="s">
        <v>618</v>
      </c>
      <c r="F16" t="s">
        <v>619</v>
      </c>
      <c r="G16" t="s">
        <v>620</v>
      </c>
      <c r="H16" t="s">
        <v>531</v>
      </c>
      <c r="I16" t="s">
        <v>729</v>
      </c>
      <c r="J16" t="s">
        <v>730</v>
      </c>
      <c r="K16" t="s">
        <v>503</v>
      </c>
      <c r="L16" t="s">
        <v>743</v>
      </c>
      <c r="M16" t="s">
        <v>744</v>
      </c>
      <c r="N16" t="s">
        <v>731</v>
      </c>
      <c r="O16" t="s">
        <v>621</v>
      </c>
      <c r="P16" t="s">
        <v>622</v>
      </c>
      <c r="Q16" t="s">
        <v>624</v>
      </c>
      <c r="R16" t="s">
        <v>507</v>
      </c>
      <c r="S16" t="s">
        <v>508</v>
      </c>
      <c r="T16" t="s">
        <v>733</v>
      </c>
      <c r="U16" t="s">
        <v>677</v>
      </c>
      <c r="V16" t="s">
        <v>628</v>
      </c>
    </row>
    <row r="17" spans="2:22">
      <c r="B17" t="str">
        <f>tblIndicators!A16</f>
        <v>OPER05</v>
      </c>
      <c r="C17" t="str">
        <f>tblIndicators!H16</f>
        <v>Quality of PPP projects (concessions)</v>
      </c>
      <c r="D17" t="s">
        <v>427</v>
      </c>
      <c r="E17" t="s">
        <v>428</v>
      </c>
      <c r="F17" t="s">
        <v>429</v>
      </c>
      <c r="G17" t="s">
        <v>512</v>
      </c>
      <c r="H17" t="s">
        <v>513</v>
      </c>
      <c r="I17" t="s">
        <v>514</v>
      </c>
      <c r="J17" t="s">
        <v>515</v>
      </c>
      <c r="K17" t="s">
        <v>516</v>
      </c>
      <c r="L17" t="s">
        <v>434</v>
      </c>
      <c r="M17" t="s">
        <v>435</v>
      </c>
      <c r="N17" t="s">
        <v>436</v>
      </c>
      <c r="O17" t="s">
        <v>437</v>
      </c>
      <c r="P17" t="s">
        <v>405</v>
      </c>
      <c r="Q17" t="s">
        <v>406</v>
      </c>
      <c r="R17" t="s">
        <v>407</v>
      </c>
      <c r="S17" t="s">
        <v>408</v>
      </c>
      <c r="T17" t="s">
        <v>409</v>
      </c>
      <c r="U17" t="s">
        <v>394</v>
      </c>
      <c r="V17" t="s">
        <v>395</v>
      </c>
    </row>
    <row r="18" spans="2:22">
      <c r="B18" t="str">
        <f>tblIndicators!A17</f>
        <v>INVT</v>
      </c>
      <c r="C18" s="39" t="str">
        <f>tblIndicators!H17</f>
        <v>Investment climate</v>
      </c>
    </row>
    <row r="19" spans="2:22">
      <c r="B19" t="str">
        <f>tblIndicators!A18</f>
        <v>INVT01</v>
      </c>
      <c r="C19" t="str">
        <f>tblIndicators!H18</f>
        <v>Political distortion</v>
      </c>
      <c r="D19" t="s">
        <v>396</v>
      </c>
      <c r="E19" t="s">
        <v>522</v>
      </c>
      <c r="F19" t="s">
        <v>523</v>
      </c>
      <c r="G19" t="s">
        <v>527</v>
      </c>
      <c r="H19" t="s">
        <v>528</v>
      </c>
      <c r="I19" t="s">
        <v>481</v>
      </c>
      <c r="J19" t="s">
        <v>648</v>
      </c>
      <c r="K19" t="s">
        <v>649</v>
      </c>
      <c r="L19" t="s">
        <v>723</v>
      </c>
      <c r="M19" t="s">
        <v>724</v>
      </c>
      <c r="N19" t="s">
        <v>727</v>
      </c>
      <c r="O19" t="s">
        <v>728</v>
      </c>
      <c r="P19" t="s">
        <v>460</v>
      </c>
      <c r="Q19" t="s">
        <v>461</v>
      </c>
      <c r="R19" t="s">
        <v>584</v>
      </c>
      <c r="S19" t="s">
        <v>585</v>
      </c>
      <c r="T19" t="s">
        <v>754</v>
      </c>
      <c r="U19" t="s">
        <v>671</v>
      </c>
      <c r="V19" t="s">
        <v>672</v>
      </c>
    </row>
    <row r="20" spans="2:22">
      <c r="B20" t="str">
        <f>tblIndicators!A19</f>
        <v>INVT02</v>
      </c>
      <c r="C20" t="str">
        <f>tblIndicators!H19</f>
        <v>Business environment</v>
      </c>
      <c r="D20" t="s">
        <v>587</v>
      </c>
      <c r="E20" t="s">
        <v>588</v>
      </c>
      <c r="F20" t="s">
        <v>410</v>
      </c>
      <c r="G20" t="s">
        <v>411</v>
      </c>
      <c r="H20" t="s">
        <v>471</v>
      </c>
      <c r="I20" t="s">
        <v>472</v>
      </c>
      <c r="J20" t="s">
        <v>412</v>
      </c>
      <c r="K20" t="s">
        <v>413</v>
      </c>
      <c r="L20" t="s">
        <v>444</v>
      </c>
      <c r="M20" t="s">
        <v>445</v>
      </c>
      <c r="N20" t="s">
        <v>417</v>
      </c>
      <c r="O20" t="s">
        <v>418</v>
      </c>
      <c r="P20" t="s">
        <v>478</v>
      </c>
      <c r="Q20" t="s">
        <v>479</v>
      </c>
      <c r="R20" t="s">
        <v>454</v>
      </c>
      <c r="S20" t="s">
        <v>455</v>
      </c>
      <c r="T20" t="s">
        <v>536</v>
      </c>
      <c r="U20" t="s">
        <v>609</v>
      </c>
      <c r="V20" t="s">
        <v>610</v>
      </c>
    </row>
    <row r="21" spans="2:22">
      <c r="B21" t="str">
        <f>tblIndicators!A20</f>
        <v>INVT03</v>
      </c>
      <c r="C21" t="str">
        <f>tblIndicators!H20</f>
        <v>Political will</v>
      </c>
      <c r="D21" t="s">
        <v>691</v>
      </c>
      <c r="E21" t="s">
        <v>692</v>
      </c>
      <c r="F21" t="s">
        <v>693</v>
      </c>
      <c r="G21" t="s">
        <v>694</v>
      </c>
      <c r="H21" t="s">
        <v>615</v>
      </c>
      <c r="I21" t="s">
        <v>616</v>
      </c>
      <c r="J21" t="s">
        <v>617</v>
      </c>
      <c r="K21" t="s">
        <v>529</v>
      </c>
      <c r="L21" t="s">
        <v>530</v>
      </c>
      <c r="M21" t="s">
        <v>532</v>
      </c>
      <c r="N21" t="s">
        <v>533</v>
      </c>
      <c r="O21" t="s">
        <v>534</v>
      </c>
      <c r="P21" t="s">
        <v>580</v>
      </c>
      <c r="Q21" t="s">
        <v>487</v>
      </c>
      <c r="R21" t="s">
        <v>488</v>
      </c>
      <c r="S21" t="s">
        <v>489</v>
      </c>
      <c r="T21" t="s">
        <v>579</v>
      </c>
      <c r="U21" t="s">
        <v>625</v>
      </c>
      <c r="V21" t="s">
        <v>509</v>
      </c>
    </row>
    <row r="22" spans="2:22">
      <c r="B22" t="str">
        <f>tblIndicators!A21</f>
        <v>FINC</v>
      </c>
      <c r="C22" s="39" t="str">
        <f>tblIndicators!H21</f>
        <v>Financial facilities</v>
      </c>
    </row>
    <row r="23" spans="2:22">
      <c r="B23" t="str">
        <f>tblIndicators!A22</f>
        <v>FINC01</v>
      </c>
      <c r="C23" t="str">
        <f>tblIndicators!H22</f>
        <v>Government payment risk</v>
      </c>
      <c r="D23" t="s">
        <v>510</v>
      </c>
      <c r="E23" t="s">
        <v>626</v>
      </c>
      <c r="F23" t="s">
        <v>627</v>
      </c>
      <c r="G23" t="s">
        <v>426</v>
      </c>
      <c r="H23" t="s">
        <v>490</v>
      </c>
      <c r="I23" t="s">
        <v>430</v>
      </c>
      <c r="J23" t="s">
        <v>449</v>
      </c>
      <c r="K23" t="s">
        <v>450</v>
      </c>
      <c r="L23" t="s">
        <v>451</v>
      </c>
      <c r="M23" t="s">
        <v>431</v>
      </c>
      <c r="N23" t="s">
        <v>432</v>
      </c>
      <c r="O23" t="s">
        <v>433</v>
      </c>
      <c r="P23" t="s">
        <v>491</v>
      </c>
      <c r="Q23" t="s">
        <v>492</v>
      </c>
      <c r="R23" t="s">
        <v>493</v>
      </c>
      <c r="S23" t="s">
        <v>494</v>
      </c>
      <c r="T23" t="s">
        <v>495</v>
      </c>
      <c r="U23" t="s">
        <v>496</v>
      </c>
      <c r="V23" t="s">
        <v>613</v>
      </c>
    </row>
    <row r="24" spans="2:22">
      <c r="B24" t="str">
        <f>tblIndicators!A23</f>
        <v>FINC02</v>
      </c>
      <c r="C24" t="str">
        <f>tblIndicators!H23</f>
        <v>Capital market: private infrastructure finance</v>
      </c>
      <c r="D24" t="s">
        <v>614</v>
      </c>
      <c r="E24" t="s">
        <v>484</v>
      </c>
      <c r="F24" t="s">
        <v>485</v>
      </c>
      <c r="G24" t="s">
        <v>486</v>
      </c>
      <c r="H24" t="s">
        <v>524</v>
      </c>
      <c r="I24" t="s">
        <v>525</v>
      </c>
      <c r="J24" t="s">
        <v>526</v>
      </c>
      <c r="K24" t="s">
        <v>497</v>
      </c>
      <c r="L24" t="s">
        <v>498</v>
      </c>
      <c r="M24" t="s">
        <v>440</v>
      </c>
      <c r="N24" t="s">
        <v>441</v>
      </c>
      <c r="O24" t="s">
        <v>442</v>
      </c>
      <c r="P24" t="s">
        <v>482</v>
      </c>
      <c r="Q24" t="s">
        <v>483</v>
      </c>
      <c r="R24" t="s">
        <v>726</v>
      </c>
      <c r="S24" t="s">
        <v>443</v>
      </c>
      <c r="T24" t="s">
        <v>419</v>
      </c>
      <c r="U24" t="s">
        <v>420</v>
      </c>
      <c r="V24" t="s">
        <v>421</v>
      </c>
    </row>
    <row r="25" spans="2:22">
      <c r="B25" t="str">
        <f>tblIndicators!A24</f>
        <v>FINC03</v>
      </c>
      <c r="C25" t="str">
        <f>tblIndicators!H24</f>
        <v>Marketable debt</v>
      </c>
      <c r="D25" t="s">
        <v>586</v>
      </c>
      <c r="E25" t="s">
        <v>466</v>
      </c>
      <c r="F25" t="s">
        <v>447</v>
      </c>
      <c r="G25" t="s">
        <v>448</v>
      </c>
      <c r="H25" t="s">
        <v>499</v>
      </c>
      <c r="I25" t="s">
        <v>500</v>
      </c>
      <c r="J25" t="s">
        <v>501</v>
      </c>
      <c r="K25" t="s">
        <v>452</v>
      </c>
      <c r="L25" t="s">
        <v>453</v>
      </c>
      <c r="M25" t="s">
        <v>456</v>
      </c>
      <c r="N25" t="s">
        <v>457</v>
      </c>
      <c r="O25" t="s">
        <v>458</v>
      </c>
      <c r="P25" t="s">
        <v>611</v>
      </c>
      <c r="Q25" t="s">
        <v>695</v>
      </c>
      <c r="R25" t="s">
        <v>535</v>
      </c>
      <c r="S25" t="s">
        <v>504</v>
      </c>
      <c r="T25" t="s">
        <v>505</v>
      </c>
      <c r="U25" t="s">
        <v>506</v>
      </c>
      <c r="V25" t="s">
        <v>425</v>
      </c>
    </row>
    <row r="26" spans="2:22">
      <c r="B26" t="str">
        <f>tblIndicators!A25</f>
        <v>FINC04</v>
      </c>
      <c r="C26" t="str">
        <f>tblIndicators!H25</f>
        <v>Government support and affordability for low income users</v>
      </c>
      <c r="D26" t="s">
        <v>459</v>
      </c>
      <c r="E26" t="s">
        <v>397</v>
      </c>
      <c r="F26" t="s">
        <v>398</v>
      </c>
      <c r="G26" t="s">
        <v>399</v>
      </c>
      <c r="H26" t="s">
        <v>400</v>
      </c>
      <c r="I26" t="s">
        <v>401</v>
      </c>
      <c r="J26" t="s">
        <v>463</v>
      </c>
      <c r="K26" t="s">
        <v>464</v>
      </c>
      <c r="L26" t="s">
        <v>465</v>
      </c>
      <c r="M26" t="s">
        <v>402</v>
      </c>
      <c r="N26" t="s">
        <v>403</v>
      </c>
      <c r="O26" t="s">
        <v>404</v>
      </c>
      <c r="P26" t="s">
        <v>650</v>
      </c>
      <c r="Q26" t="s">
        <v>651</v>
      </c>
      <c r="R26" t="s">
        <v>652</v>
      </c>
      <c r="S26" t="s">
        <v>422</v>
      </c>
      <c r="T26" t="s">
        <v>423</v>
      </c>
      <c r="U26" t="s">
        <v>424</v>
      </c>
      <c r="V26" t="s">
        <v>653</v>
      </c>
    </row>
  </sheetData>
  <phoneticPr fontId="61"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sheetPr codeName="Sheet25"/>
  <dimension ref="A1:AK32"/>
  <sheetViews>
    <sheetView workbookViewId="0">
      <selection activeCell="T1" sqref="T1:T65536"/>
    </sheetView>
  </sheetViews>
  <sheetFormatPr defaultRowHeight="15"/>
  <cols>
    <col min="1" max="1" width="1.140625" customWidth="1"/>
    <col min="2" max="2" width="10" hidden="1" customWidth="1"/>
    <col min="3" max="3" width="9.42578125" hidden="1" customWidth="1"/>
    <col min="4" max="13" width="5.28515625" hidden="1" customWidth="1"/>
    <col min="14" max="14" width="9.85546875" hidden="1" customWidth="1"/>
    <col min="15" max="15" width="5" customWidth="1"/>
    <col min="16" max="16" width="43.140625" bestFit="1" customWidth="1"/>
    <col min="18" max="18" width="1.85546875" customWidth="1"/>
    <col min="27" max="27" width="9.7109375" customWidth="1"/>
  </cols>
  <sheetData>
    <row r="1" spans="1:37" s="72" customFormat="1" ht="21.75" customHeight="1">
      <c r="A1" s="72" t="s">
        <v>388</v>
      </c>
    </row>
    <row r="5" spans="1:37" ht="24">
      <c r="P5" s="99"/>
      <c r="Q5" s="99" t="s">
        <v>1038</v>
      </c>
      <c r="R5" s="30"/>
      <c r="S5" s="31" t="str">
        <f>Data2010!D3</f>
        <v>Argentina</v>
      </c>
      <c r="T5" s="31" t="str">
        <f>Data2010!E3</f>
        <v>Brazil</v>
      </c>
      <c r="U5" s="31" t="str">
        <f>Data2010!F3</f>
        <v xml:space="preserve">Chile </v>
      </c>
      <c r="V5" s="31" t="str">
        <f>Data2010!G3</f>
        <v>Colombia</v>
      </c>
      <c r="W5" s="31" t="str">
        <f>Data2010!H3</f>
        <v>Costa Rica</v>
      </c>
      <c r="X5" s="31" t="str">
        <f>Data2010!I3</f>
        <v>Dominican Rep.</v>
      </c>
      <c r="Y5" s="31" t="str">
        <f>Data2010!J3</f>
        <v>Ecuador</v>
      </c>
      <c r="Z5" s="31" t="str">
        <f>Data2010!K3</f>
        <v>El Salvador</v>
      </c>
      <c r="AA5" s="31" t="str">
        <f>Data2010!L3</f>
        <v>Guatemala</v>
      </c>
      <c r="AB5" s="31" t="str">
        <f>Data2010!M3</f>
        <v>Honduras</v>
      </c>
      <c r="AC5" s="31" t="str">
        <f>Data2010!N3</f>
        <v>Jamaica</v>
      </c>
      <c r="AD5" s="31" t="str">
        <f>Data2010!O3</f>
        <v>Mexico</v>
      </c>
      <c r="AE5" s="31" t="str">
        <f>Data2010!P3</f>
        <v>Nicaragua</v>
      </c>
      <c r="AF5" s="31" t="str">
        <f>Data2010!Q3</f>
        <v>Panama</v>
      </c>
      <c r="AG5" s="31" t="str">
        <f>Data2010!R3</f>
        <v>Paraguay</v>
      </c>
      <c r="AH5" s="31" t="str">
        <f>Data2010!S3</f>
        <v>Peru</v>
      </c>
      <c r="AI5" s="31" t="str">
        <f>Data2010!T3</f>
        <v>Trinidad &amp; Tobago</v>
      </c>
      <c r="AJ5" s="31" t="str">
        <f>Data2010!U3</f>
        <v>Uruguay</v>
      </c>
      <c r="AK5" s="31" t="str">
        <f>Data2010!V3</f>
        <v>Venezuela</v>
      </c>
    </row>
    <row r="6" spans="1:37">
      <c r="B6" s="32" t="s">
        <v>964</v>
      </c>
      <c r="C6" s="32" t="s">
        <v>965</v>
      </c>
      <c r="D6" s="32" t="s">
        <v>967</v>
      </c>
      <c r="E6" s="32" t="s">
        <v>968</v>
      </c>
      <c r="F6" s="32" t="s">
        <v>969</v>
      </c>
      <c r="G6" s="32" t="s">
        <v>970</v>
      </c>
      <c r="H6" s="32" t="s">
        <v>1032</v>
      </c>
      <c r="I6" s="32" t="s">
        <v>1033</v>
      </c>
      <c r="J6" s="32" t="s">
        <v>1034</v>
      </c>
      <c r="K6" s="33" t="s">
        <v>1035</v>
      </c>
      <c r="L6" s="33"/>
      <c r="M6" s="32" t="s">
        <v>1036</v>
      </c>
      <c r="N6" s="32" t="s">
        <v>1037</v>
      </c>
      <c r="Q6" s="100"/>
    </row>
    <row r="7" spans="1:37" s="95" customFormat="1">
      <c r="B7" s="95" t="str">
        <f>tblIndicators!A2</f>
        <v>TOTL</v>
      </c>
      <c r="C7" s="95">
        <f>tblIndicators!B2</f>
        <v>0</v>
      </c>
      <c r="D7" s="95" t="str">
        <f>tblIndicators!D2</f>
        <v>WS</v>
      </c>
      <c r="E7" s="95">
        <f>tblIndicators!E2</f>
        <v>0</v>
      </c>
      <c r="F7" s="95">
        <f>tblIndicators!F2</f>
        <v>0</v>
      </c>
      <c r="G7" s="95">
        <f>tblIndicators!G2</f>
        <v>0</v>
      </c>
      <c r="H7" s="95">
        <f>MIN(Data2010!D4:V4)</f>
        <v>0</v>
      </c>
      <c r="I7" s="95">
        <f>MAX(Data2010!D4:V4)</f>
        <v>0</v>
      </c>
      <c r="J7" s="96">
        <f>I7-H7</f>
        <v>0</v>
      </c>
      <c r="L7" s="95">
        <f>tblIndicators!S2</f>
        <v>1</v>
      </c>
      <c r="P7" s="95" t="str">
        <f>tblIndicators!Q2</f>
        <v>OVERALL SCORE</v>
      </c>
      <c r="Q7" s="101"/>
      <c r="S7" s="97">
        <f>IF($D7="WS",SUMPRODUCT(($C8:$C$35=$B7)*($Q8:$Q$35)*(S8:S$35)),IF($D7="MM",100*ABS(($G7-(Data2010!D4-$H7)/$J7)),IF($D7="XX",ABS((100*$G7)-((Data2010!D4-$E7)*$F7)),"na")))</f>
        <v>28.144350311229907</v>
      </c>
      <c r="T7" s="97">
        <f>IF($D7="WS",SUMPRODUCT(($C8:$C$35=$B7)*($Q8:$Q$35)*(T8:T$35)),IF($D7="MM",100*ABS(($G7-(Data2010!E4-$H7)/$J7)),IF($D7="XX",ABS((100*$G7)-((Data2010!E4-$E7)*$F7)),"na")))</f>
        <v>71.73373305718161</v>
      </c>
      <c r="U7" s="97">
        <f>IF($D7="WS",SUMPRODUCT(($C8:$C$35=$B7)*($Q8:$Q$35)*(U8:U$35)),IF($D7="MM",100*ABS(($G7-(Data2010!F4-$H7)/$J7)),IF($D7="XX",ABS((100*$G7)-((Data2010!F4-$E7)*$F7)),"na")))</f>
        <v>80.132657323871541</v>
      </c>
      <c r="V7" s="97">
        <f>IF($D7="WS",SUMPRODUCT(($C8:$C$35=$B7)*($Q8:$Q$35)*(V8:V$35)),IF($D7="MM",100*ABS(($G7-(Data2010!G4-$H7)/$J7)),IF($D7="XX",ABS((100*$G7)-((Data2010!G4-$E7)*$F7)),"na")))</f>
        <v>49.529435526906425</v>
      </c>
      <c r="W7" s="97">
        <f>IF($D7="WS",SUMPRODUCT(($C8:$C$35=$B7)*($Q8:$Q$35)*(W8:W$35)),IF($D7="MM",100*ABS(($G7-(Data2010!H4-$H7)/$J7)),IF($D7="XX",ABS((100*$G7)-((Data2010!H4-$E7)*$F7)),"na")))</f>
        <v>37.0686766675664</v>
      </c>
      <c r="X7" s="97">
        <f>IF($D7="WS",SUMPRODUCT(($C8:$C$35=$B7)*($Q8:$Q$35)*(X8:X$35)),IF($D7="MM",100*ABS(($G7-(Data2010!I4-$H7)/$J7)),IF($D7="XX",ABS((100*$G7)-((Data2010!I4-$E7)*$F7)),"na")))</f>
        <v>20.611668406259582</v>
      </c>
      <c r="Y7" s="97">
        <f>IF($D7="WS",SUMPRODUCT(($C8:$C$35=$B7)*($Q8:$Q$35)*(Y8:Y$35)),IF($D7="MM",100*ABS(($G7-(Data2010!J4-$H7)/$J7)),IF($D7="XX",ABS((100*$G7)-((Data2010!J4-$E7)*$F7)),"na")))</f>
        <v>15.980576316983393</v>
      </c>
      <c r="Z7" s="97">
        <f>IF($D7="WS",SUMPRODUCT(($C8:$C$35=$B7)*($Q8:$Q$35)*(Z8:Z$35)),IF($D7="MM",100*ABS(($G7-(Data2010!K4-$H7)/$J7)),IF($D7="XX",ABS((100*$G7)-((Data2010!K4-$E7)*$F7)),"na")))</f>
        <v>35.174600427815726</v>
      </c>
      <c r="AA7" s="97">
        <f>IF($D7="WS",SUMPRODUCT(($C8:$C$35=$B7)*($Q8:$Q$35)*(AA8:AA$35)),IF($D7="MM",100*ABS(($G7-(Data2010!L4-$H7)/$J7)),IF($D7="XX",ABS((100*$G7)-((Data2010!L4-$E7)*$F7)),"na")))</f>
        <v>41.994099240531618</v>
      </c>
      <c r="AB7" s="97">
        <f>IF($D7="WS",SUMPRODUCT(($C8:$C$35=$B7)*($Q8:$Q$35)*(AB8:AB$35)),IF($D7="MM",100*ABS(($G7-(Data2010!M4-$H7)/$J7)),IF($D7="XX",ABS((100*$G7)-((Data2010!M4-$E7)*$F7)),"na")))</f>
        <v>24.049880139568131</v>
      </c>
      <c r="AC7" s="97">
        <f>IF($D7="WS",SUMPRODUCT(($C8:$C$35=$B7)*($Q8:$Q$35)*(AC8:AC$35)),IF($D7="MM",100*ABS(($G7-(Data2010!N4-$H7)/$J7)),IF($D7="XX",ABS((100*$G7)-((Data2010!N4-$E7)*$F7)),"na")))</f>
        <v>25.901751035020308</v>
      </c>
      <c r="AD7" s="97">
        <f>IF($D7="WS",SUMPRODUCT(($C8:$C$35=$B7)*($Q8:$Q$35)*(AD8:AD$35)),IF($D7="MM",100*ABS(($G7-(Data2010!O4-$H7)/$J7)),IF($D7="XX",ABS((100*$G7)-((Data2010!O4-$E7)*$F7)),"na")))</f>
        <v>57.230260647483092</v>
      </c>
      <c r="AE7" s="97">
        <f>IF($D7="WS",SUMPRODUCT(($C8:$C$35=$B7)*($Q8:$Q$35)*(AE8:AE$35)),IF($D7="MM",100*ABS(($G7-(Data2010!P4-$H7)/$J7)),IF($D7="XX",ABS((100*$G7)-((Data2010!P4-$E7)*$F7)),"na")))</f>
        <v>20.388980043843162</v>
      </c>
      <c r="AF7" s="97">
        <f>IF($D7="WS",SUMPRODUCT(($C8:$C$35=$B7)*($Q8:$Q$35)*(AF8:AF$35)),IF($D7="MM",100*ABS(($G7-(Data2010!Q4-$H7)/$J7)),IF($D7="XX",ABS((100*$G7)-((Data2010!Q4-$E7)*$F7)),"na")))</f>
        <v>37.058758266151116</v>
      </c>
      <c r="AG7" s="97">
        <f>IF($D7="WS",SUMPRODUCT(($C8:$C$35=$B7)*($Q8:$Q$35)*(AG8:AG$35)),IF($D7="MM",100*ABS(($G7-(Data2010!R4-$H7)/$J7)),IF($D7="XX",ABS((100*$G7)-((Data2010!R4-$E7)*$F7)),"na")))</f>
        <v>24.170738892512354</v>
      </c>
      <c r="AH7" s="97">
        <f>IF($D7="WS",SUMPRODUCT(($C8:$C$35=$B7)*($Q8:$Q$35)*(AH8:AH$35)),IF($D7="MM",100*ABS(($G7-(Data2010!S4-$H7)/$J7)),IF($D7="XX",ABS((100*$G7)-((Data2010!S4-$E7)*$F7)),"na")))</f>
        <v>64.999721479781158</v>
      </c>
      <c r="AI7" s="97">
        <f>IF($D7="WS",SUMPRODUCT(($C8:$C$35=$B7)*($Q8:$Q$35)*(AI8:AI$35)),IF($D7="MM",100*ABS(($G7-(Data2010!T4-$H7)/$J7)),IF($D7="XX",ABS((100*$G7)-((Data2010!T4-$E7)*$F7)),"na")))</f>
        <v>31.55867138229079</v>
      </c>
      <c r="AJ7" s="97">
        <f>IF($D7="WS",SUMPRODUCT(($C8:$C$35=$B7)*($Q8:$Q$35)*(AJ8:AJ$35)),IF($D7="MM",100*ABS(($G7-(Data2010!U4-$H7)/$J7)),IF($D7="XX",ABS((100*$G7)-((Data2010!U4-$E7)*$F7)),"na")))</f>
        <v>34.271418535660793</v>
      </c>
      <c r="AK7" s="97">
        <f>IF($D7="WS",SUMPRODUCT(($C8:$C$35=$B7)*($Q8:$Q$35)*(AK8:AK$35)),IF($D7="MM",100*ABS(($G7-(Data2010!V4-$H7)/$J7)),IF($D7="XX",ABS((100*$G7)-((Data2010!V4-$E7)*$F7)),"na")))</f>
        <v>6.3909817890571645</v>
      </c>
    </row>
    <row r="8" spans="1:37" s="95" customFormat="1">
      <c r="B8" s="95" t="str">
        <f>tblIndicators!A3</f>
        <v>LEGF</v>
      </c>
      <c r="C8" s="95" t="str">
        <f>tblIndicators!B3</f>
        <v>TOTL</v>
      </c>
      <c r="D8" s="95" t="str">
        <f>tblIndicators!D3</f>
        <v>WS</v>
      </c>
      <c r="E8" s="95">
        <f>tblIndicators!E3</f>
        <v>0</v>
      </c>
      <c r="F8" s="95">
        <f>tblIndicators!F3</f>
        <v>0</v>
      </c>
      <c r="G8" s="95">
        <f>tblIndicators!G3</f>
        <v>0</v>
      </c>
      <c r="H8" s="95">
        <f>MIN(Data2010!D5:V5)</f>
        <v>0</v>
      </c>
      <c r="I8" s="95">
        <f>MAX(Data2010!D5:V5)</f>
        <v>0</v>
      </c>
      <c r="J8" s="96">
        <f t="shared" ref="J8:J27" si="0">I8-H8</f>
        <v>0</v>
      </c>
      <c r="K8" s="95">
        <f>MATCH(B8,Weights!C$4:C$36,0)</f>
        <v>1</v>
      </c>
      <c r="L8" s="95">
        <f>tblIndicators!S3</f>
        <v>1</v>
      </c>
      <c r="M8" s="178">
        <f>L8*INDEX(Weights!G$4:G$36,K8)</f>
        <v>1.5</v>
      </c>
      <c r="N8" s="98">
        <f t="shared" ref="N8:N31" si="1">M8/SUMIF(C$8:C$32,C8,M$8:M$32)</f>
        <v>0.27777777777777773</v>
      </c>
      <c r="P8" s="95" t="str">
        <f>tblIndicators!Q3</f>
        <v>REGULATORY FRAMEWORK</v>
      </c>
      <c r="Q8" s="102">
        <f>N8</f>
        <v>0.27777777777777773</v>
      </c>
      <c r="S8" s="97">
        <f>IF($D8="WS",SUMPRODUCT(($C9:$C$35=$B8)*($Q9:$Q$35)*(S9:S$35)),IF($D8="MM",100*ABS(($G8-(Data2010!D5-$H8)/$J8)),IF($D8="XX",ABS((100*$G8)-((Data2010!D5-$E8)*$F8)),"na")))</f>
        <v>21.875</v>
      </c>
      <c r="T8" s="97">
        <f>IF($D8="WS",SUMPRODUCT(($C9:$C$35=$B8)*($Q9:$Q$35)*(T9:T$35)),IF($D8="MM",100*ABS(($G8-(Data2010!E5-$H8)/$J8)),IF($D8="XX",ABS((100*$G8)-((Data2010!E5-$E8)*$F8)),"na")))</f>
        <v>71.875</v>
      </c>
      <c r="U8" s="97">
        <f>IF($D8="WS",SUMPRODUCT(($C9:$C$35=$B8)*($Q9:$Q$35)*(U9:U$35)),IF($D8="MM",100*ABS(($G8-(Data2010!F5-$H8)/$J8)),IF($D8="XX",ABS((100*$G8)-((Data2010!F5-$E8)*$F8)),"na")))</f>
        <v>84.375</v>
      </c>
      <c r="V8" s="97">
        <f>IF($D8="WS",SUMPRODUCT(($C9:$C$35=$B8)*($Q9:$Q$35)*(V9:V$35)),IF($D8="MM",100*ABS(($G8-(Data2010!G5-$H8)/$J8)),IF($D8="XX",ABS((100*$G8)-((Data2010!G5-$E8)*$F8)),"na")))</f>
        <v>50</v>
      </c>
      <c r="W8" s="97">
        <f>IF($D8="WS",SUMPRODUCT(($C9:$C$35=$B8)*($Q9:$Q$35)*(W9:W$35)),IF($D8="MM",100*ABS(($G8-(Data2010!H5-$H8)/$J8)),IF($D8="XX",ABS((100*$G8)-((Data2010!H5-$E8)*$F8)),"na")))</f>
        <v>34.375</v>
      </c>
      <c r="X8" s="97">
        <f>IF($D8="WS",SUMPRODUCT(($C9:$C$35=$B8)*($Q9:$Q$35)*(X9:X$35)),IF($D8="MM",100*ABS(($G8-(Data2010!I5-$H8)/$J8)),IF($D8="XX",ABS((100*$G8)-((Data2010!I5-$E8)*$F8)),"na")))</f>
        <v>21.875</v>
      </c>
      <c r="Y8" s="97">
        <f>IF($D8="WS",SUMPRODUCT(($C9:$C$35=$B8)*($Q9:$Q$35)*(Y9:Y$35)),IF($D8="MM",100*ABS(($G8-(Data2010!J5-$H8)/$J8)),IF($D8="XX",ABS((100*$G8)-((Data2010!J5-$E8)*$F8)),"na")))</f>
        <v>6.25</v>
      </c>
      <c r="Z8" s="97">
        <f>IF($D8="WS",SUMPRODUCT(($C9:$C$35=$B8)*($Q9:$Q$35)*(Z9:Z$35)),IF($D8="MM",100*ABS(($G8-(Data2010!K5-$H8)/$J8)),IF($D8="XX",ABS((100*$G8)-((Data2010!K5-$E8)*$F8)),"na")))</f>
        <v>28.125</v>
      </c>
      <c r="AA8" s="97">
        <f>IF($D8="WS",SUMPRODUCT(($C9:$C$35=$B8)*($Q9:$Q$35)*(AA9:AA$35)),IF($D8="MM",100*ABS(($G8-(Data2010!L5-$H8)/$J8)),IF($D8="XX",ABS((100*$G8)-((Data2010!L5-$E8)*$F8)),"na")))</f>
        <v>53.125</v>
      </c>
      <c r="AB8" s="97">
        <f>IF($D8="WS",SUMPRODUCT(($C9:$C$35=$B8)*($Q9:$Q$35)*(AB9:AB$35)),IF($D8="MM",100*ABS(($G8-(Data2010!M5-$H8)/$J8)),IF($D8="XX",ABS((100*$G8)-((Data2010!M5-$E8)*$F8)),"na")))</f>
        <v>15.625</v>
      </c>
      <c r="AC8" s="97">
        <f>IF($D8="WS",SUMPRODUCT(($C9:$C$35=$B8)*($Q9:$Q$35)*(AC9:AC$35)),IF($D8="MM",100*ABS(($G8-(Data2010!N5-$H8)/$J8)),IF($D8="XX",ABS((100*$G8)-((Data2010!N5-$E8)*$F8)),"na")))</f>
        <v>25</v>
      </c>
      <c r="AD8" s="97">
        <f>IF($D8="WS",SUMPRODUCT(($C9:$C$35=$B8)*($Q9:$Q$35)*(AD9:AD$35)),IF($D8="MM",100*ABS(($G8-(Data2010!O5-$H8)/$J8)),IF($D8="XX",ABS((100*$G8)-((Data2010!O5-$E8)*$F8)),"na")))</f>
        <v>56.25</v>
      </c>
      <c r="AE8" s="97">
        <f>IF($D8="WS",SUMPRODUCT(($C9:$C$35=$B8)*($Q9:$Q$35)*(AE9:AE$35)),IF($D8="MM",100*ABS(($G8-(Data2010!P5-$H8)/$J8)),IF($D8="XX",ABS((100*$G8)-((Data2010!P5-$E8)*$F8)),"na")))</f>
        <v>21.875</v>
      </c>
      <c r="AF8" s="97">
        <f>IF($D8="WS",SUMPRODUCT(($C9:$C$35=$B8)*($Q9:$Q$35)*(AF9:AF$35)),IF($D8="MM",100*ABS(($G8-(Data2010!Q5-$H8)/$J8)),IF($D8="XX",ABS((100*$G8)-((Data2010!Q5-$E8)*$F8)),"na")))</f>
        <v>37.5</v>
      </c>
      <c r="AG8" s="97">
        <f>IF($D8="WS",SUMPRODUCT(($C9:$C$35=$B8)*($Q9:$Q$35)*(AG9:AG$35)),IF($D8="MM",100*ABS(($G8-(Data2010!R5-$H8)/$J8)),IF($D8="XX",ABS((100*$G8)-((Data2010!R5-$E8)*$F8)),"na")))</f>
        <v>25</v>
      </c>
      <c r="AH8" s="97">
        <f>IF($D8="WS",SUMPRODUCT(($C9:$C$35=$B8)*($Q9:$Q$35)*(AH9:AH$35)),IF($D8="MM",100*ABS(($G8-(Data2010!S5-$H8)/$J8)),IF($D8="XX",ABS((100*$G8)-((Data2010!S5-$E8)*$F8)),"na")))</f>
        <v>75</v>
      </c>
      <c r="AI8" s="97">
        <f>IF($D8="WS",SUMPRODUCT(($C9:$C$35=$B8)*($Q9:$Q$35)*(AI9:AI$35)),IF($D8="MM",100*ABS(($G8-(Data2010!T5-$H8)/$J8)),IF($D8="XX",ABS((100*$G8)-((Data2010!T5-$E8)*$F8)),"na")))</f>
        <v>25</v>
      </c>
      <c r="AJ8" s="97">
        <f>IF($D8="WS",SUMPRODUCT(($C9:$C$35=$B8)*($Q9:$Q$35)*(AJ9:AJ$35)),IF($D8="MM",100*ABS(($G8-(Data2010!U5-$H8)/$J8)),IF($D8="XX",ABS((100*$G8)-((Data2010!U5-$E8)*$F8)),"na")))</f>
        <v>34.375</v>
      </c>
      <c r="AK8" s="97">
        <f>IF($D8="WS",SUMPRODUCT(($C9:$C$35=$B8)*($Q9:$Q$35)*(AK9:AK$35)),IF($D8="MM",100*ABS(($G8-(Data2010!V5-$H8)/$J8)),IF($D8="XX",ABS((100*$G8)-((Data2010!V5-$E8)*$F8)),"na")))</f>
        <v>0</v>
      </c>
    </row>
    <row r="9" spans="1:37">
      <c r="B9" t="str">
        <f>tblIndicators!A4</f>
        <v>LEGF01</v>
      </c>
      <c r="C9" t="str">
        <f>tblIndicators!B4</f>
        <v>LEGF</v>
      </c>
      <c r="D9" t="str">
        <f>tblIndicators!D4</f>
        <v>XX</v>
      </c>
      <c r="E9">
        <f>tblIndicators!E4</f>
        <v>0</v>
      </c>
      <c r="F9">
        <f>tblIndicators!F4</f>
        <v>25</v>
      </c>
      <c r="G9">
        <f>tblIndicators!G4</f>
        <v>0</v>
      </c>
      <c r="H9">
        <f>MIN(Data2010!D6:V6)</f>
        <v>0</v>
      </c>
      <c r="I9">
        <f>MAX(Data2010!D6:V6)</f>
        <v>4</v>
      </c>
      <c r="J9" s="22">
        <f t="shared" si="0"/>
        <v>4</v>
      </c>
      <c r="K9">
        <f>MATCH(B9,Weights!C$4:C$36,0)</f>
        <v>10</v>
      </c>
      <c r="L9" s="95">
        <f>tblIndicators!S4</f>
        <v>1</v>
      </c>
      <c r="M9" s="178">
        <f>L9*INDEX(Weights!G$4:G$36,K9)</f>
        <v>3</v>
      </c>
      <c r="N9" s="36">
        <f t="shared" si="1"/>
        <v>0.375</v>
      </c>
      <c r="P9" t="str">
        <f>tblIndicators!Q4</f>
        <v xml:space="preserve">   Consistency and quality of PPP regulations</v>
      </c>
      <c r="Q9" s="103">
        <f t="shared" ref="Q9:Q32" si="2">N9</f>
        <v>0.375</v>
      </c>
      <c r="S9" s="38">
        <f>IF($D9="WS",SUMPRODUCT(($C10:$C$35=$B9)*($Q10:$Q$35)*(S10:S$35)),IF($D9="MM",100*ABS(($G9-(Data2010!D6-$H9)/$J9)),IF($D9="XX",ABS((100*$G9)-((Data2010!D6-$E9)*$F9)),"na")))</f>
        <v>50</v>
      </c>
      <c r="T9" s="38">
        <f>IF($D9="WS",SUMPRODUCT(($C10:$C$35=$B9)*($Q10:$Q$35)*(T10:T$35)),IF($D9="MM",100*ABS(($G9-(Data2010!E6-$H9)/$J9)),IF($D9="XX",ABS((100*$G9)-((Data2010!E6-$E9)*$F9)),"na")))</f>
        <v>75</v>
      </c>
      <c r="U9" s="38">
        <f>IF($D9="WS",SUMPRODUCT(($C10:$C$35=$B9)*($Q10:$Q$35)*(U10:U$35)),IF($D9="MM",100*ABS(($G9-(Data2010!F6-$H9)/$J9)),IF($D9="XX",ABS((100*$G9)-((Data2010!F6-$E9)*$F9)),"na")))</f>
        <v>100</v>
      </c>
      <c r="V9" s="38">
        <f>IF($D9="WS",SUMPRODUCT(($C10:$C$35=$B9)*($Q10:$Q$35)*(V10:V$35)),IF($D9="MM",100*ABS(($G9-(Data2010!G6-$H9)/$J9)),IF($D9="XX",ABS((100*$G9)-((Data2010!G6-$E9)*$F9)),"na")))</f>
        <v>50</v>
      </c>
      <c r="W9" s="38">
        <f>IF($D9="WS",SUMPRODUCT(($C10:$C$35=$B9)*($Q10:$Q$35)*(W10:W$35)),IF($D9="MM",100*ABS(($G9-(Data2010!H6-$H9)/$J9)),IF($D9="XX",ABS((100*$G9)-((Data2010!H6-$E9)*$F9)),"na")))</f>
        <v>25</v>
      </c>
      <c r="X9" s="38">
        <f>IF($D9="WS",SUMPRODUCT(($C10:$C$35=$B9)*($Q10:$Q$35)*(X10:X$35)),IF($D9="MM",100*ABS(($G9-(Data2010!I6-$H9)/$J9)),IF($D9="XX",ABS((100*$G9)-((Data2010!I6-$E9)*$F9)),"na")))</f>
        <v>25</v>
      </c>
      <c r="Y9" s="38">
        <f>IF($D9="WS",SUMPRODUCT(($C10:$C$35=$B9)*($Q10:$Q$35)*(Y10:Y$35)),IF($D9="MM",100*ABS(($G9-(Data2010!J6-$H9)/$J9)),IF($D9="XX",ABS((100*$G9)-((Data2010!J6-$E9)*$F9)),"na")))</f>
        <v>0</v>
      </c>
      <c r="Z9" s="38">
        <f>IF($D9="WS",SUMPRODUCT(($C10:$C$35=$B9)*($Q10:$Q$35)*(Z10:Z$35)),IF($D9="MM",100*ABS(($G9-(Data2010!K6-$H9)/$J9)),IF($D9="XX",ABS((100*$G9)-((Data2010!K6-$E9)*$F9)),"na")))</f>
        <v>25</v>
      </c>
      <c r="AA9" s="38">
        <f>IF($D9="WS",SUMPRODUCT(($C10:$C$35=$B9)*($Q10:$Q$35)*(AA10:AA$35)),IF($D9="MM",100*ABS(($G9-(Data2010!L6-$H9)/$J9)),IF($D9="XX",ABS((100*$G9)-((Data2010!L6-$E9)*$F9)),"na")))</f>
        <v>75</v>
      </c>
      <c r="AB9" s="38">
        <f>IF($D9="WS",SUMPRODUCT(($C10:$C$35=$B9)*($Q10:$Q$35)*(AB10:AB$35)),IF($D9="MM",100*ABS(($G9-(Data2010!M6-$H9)/$J9)),IF($D9="XX",ABS((100*$G9)-((Data2010!M6-$E9)*$F9)),"na")))</f>
        <v>25</v>
      </c>
      <c r="AC9" s="38">
        <f>IF($D9="WS",SUMPRODUCT(($C10:$C$35=$B9)*($Q10:$Q$35)*(AC10:AC$35)),IF($D9="MM",100*ABS(($G9-(Data2010!N6-$H9)/$J9)),IF($D9="XX",ABS((100*$G9)-((Data2010!N6-$E9)*$F9)),"na")))</f>
        <v>25</v>
      </c>
      <c r="AD9" s="38">
        <f>IF($D9="WS",SUMPRODUCT(($C10:$C$35=$B9)*($Q10:$Q$35)*(AD10:AD$35)),IF($D9="MM",100*ABS(($G9-(Data2010!O6-$H9)/$J9)),IF($D9="XX",ABS((100*$G9)-((Data2010!O6-$E9)*$F9)),"na")))</f>
        <v>50</v>
      </c>
      <c r="AE9" s="38">
        <f>IF($D9="WS",SUMPRODUCT(($C10:$C$35=$B9)*($Q10:$Q$35)*(AE10:AE$35)),IF($D9="MM",100*ABS(($G9-(Data2010!P6-$H9)/$J9)),IF($D9="XX",ABS((100*$G9)-((Data2010!P6-$E9)*$F9)),"na")))</f>
        <v>25</v>
      </c>
      <c r="AF9" s="38">
        <f>IF($D9="WS",SUMPRODUCT(($C10:$C$35=$B9)*($Q10:$Q$35)*(AF10:AF$35)),IF($D9="MM",100*ABS(($G9-(Data2010!Q6-$H9)/$J9)),IF($D9="XX",ABS((100*$G9)-((Data2010!Q6-$E9)*$F9)),"na")))</f>
        <v>50</v>
      </c>
      <c r="AG9" s="38">
        <f>IF($D9="WS",SUMPRODUCT(($C10:$C$35=$B9)*($Q10:$Q$35)*(AG10:AG$35)),IF($D9="MM",100*ABS(($G9-(Data2010!R6-$H9)/$J9)),IF($D9="XX",ABS((100*$G9)-((Data2010!R6-$E9)*$F9)),"na")))</f>
        <v>25</v>
      </c>
      <c r="AH9" s="38">
        <f>IF($D9="WS",SUMPRODUCT(($C10:$C$35=$B9)*($Q10:$Q$35)*(AH10:AH$35)),IF($D9="MM",100*ABS(($G9-(Data2010!S6-$H9)/$J9)),IF($D9="XX",ABS((100*$G9)-((Data2010!S6-$E9)*$F9)),"na")))</f>
        <v>75</v>
      </c>
      <c r="AI9" s="38">
        <f>IF($D9="WS",SUMPRODUCT(($C10:$C$35=$B9)*($Q10:$Q$35)*(AI10:AI$35)),IF($D9="MM",100*ABS(($G9-(Data2010!T6-$H9)/$J9)),IF($D9="XX",ABS((100*$G9)-((Data2010!T6-$E9)*$F9)),"na")))</f>
        <v>25</v>
      </c>
      <c r="AJ9" s="38">
        <f>IF($D9="WS",SUMPRODUCT(($C10:$C$35=$B9)*($Q10:$Q$35)*(AJ10:AJ$35)),IF($D9="MM",100*ABS(($G9-(Data2010!U6-$H9)/$J9)),IF($D9="XX",ABS((100*$G9)-((Data2010!U6-$E9)*$F9)),"na")))</f>
        <v>25</v>
      </c>
      <c r="AK9" s="38">
        <f>IF($D9="WS",SUMPRODUCT(($C10:$C$35=$B9)*($Q10:$Q$35)*(AK10:AK$35)),IF($D9="MM",100*ABS(($G9-(Data2010!V6-$H9)/$J9)),IF($D9="XX",ABS((100*$G9)-((Data2010!V6-$E9)*$F9)),"na")))</f>
        <v>0</v>
      </c>
    </row>
    <row r="10" spans="1:37">
      <c r="B10" t="str">
        <f>tblIndicators!A5</f>
        <v>LEGF02</v>
      </c>
      <c r="C10" t="str">
        <f>tblIndicators!B5</f>
        <v>LEGF</v>
      </c>
      <c r="D10" t="str">
        <f>tblIndicators!D5</f>
        <v>XX</v>
      </c>
      <c r="E10">
        <f>tblIndicators!E5</f>
        <v>0</v>
      </c>
      <c r="F10">
        <f>tblIndicators!F5</f>
        <v>25</v>
      </c>
      <c r="G10">
        <f>tblIndicators!G5</f>
        <v>0</v>
      </c>
      <c r="H10">
        <f>MIN(Data2010!D7:V7)</f>
        <v>0</v>
      </c>
      <c r="I10">
        <f>MAX(Data2010!D7:V7)</f>
        <v>3</v>
      </c>
      <c r="J10" s="22">
        <f t="shared" si="0"/>
        <v>3</v>
      </c>
      <c r="K10">
        <f>MATCH(B10,Weights!C$4:C$36,0)</f>
        <v>11</v>
      </c>
      <c r="L10" s="95">
        <f>tblIndicators!S5</f>
        <v>1</v>
      </c>
      <c r="M10" s="178">
        <f>L10*INDEX(Weights!G$4:G$36,K10)</f>
        <v>2</v>
      </c>
      <c r="N10" s="36">
        <f t="shared" si="1"/>
        <v>0.25</v>
      </c>
      <c r="P10" t="str">
        <f>tblIndicators!Q5</f>
        <v xml:space="preserve">   Effective PPP selection and decision making</v>
      </c>
      <c r="Q10" s="103">
        <f t="shared" si="2"/>
        <v>0.25</v>
      </c>
      <c r="S10" s="38">
        <f>IF($D10="WS",SUMPRODUCT(($C11:$C$35=$B10)*($Q11:$Q$35)*(S11:S$35)),IF($D10="MM",100*ABS(($G10-(Data2010!D7-$H10)/$J10)),IF($D10="XX",ABS((100*$G10)-((Data2010!D7-$E10)*$F10)),"na")))</f>
        <v>0</v>
      </c>
      <c r="T10" s="38">
        <f>IF($D10="WS",SUMPRODUCT(($C11:$C$35=$B10)*($Q11:$Q$35)*(T11:T$35)),IF($D10="MM",100*ABS(($G10-(Data2010!E7-$H10)/$J10)),IF($D10="XX",ABS((100*$G10)-((Data2010!E7-$E10)*$F10)),"na")))</f>
        <v>75</v>
      </c>
      <c r="U10" s="38">
        <f>IF($D10="WS",SUMPRODUCT(($C11:$C$35=$B10)*($Q11:$Q$35)*(U11:U$35)),IF($D10="MM",100*ABS(($G10-(Data2010!F7-$H10)/$J10)),IF($D10="XX",ABS((100*$G10)-((Data2010!F7-$E10)*$F10)),"na")))</f>
        <v>75</v>
      </c>
      <c r="V10" s="38">
        <f>IF($D10="WS",SUMPRODUCT(($C11:$C$35=$B10)*($Q11:$Q$35)*(V11:V$35)),IF($D10="MM",100*ABS(($G10-(Data2010!G7-$H10)/$J10)),IF($D10="XX",ABS((100*$G10)-((Data2010!G7-$E10)*$F10)),"na")))</f>
        <v>50</v>
      </c>
      <c r="W10" s="38">
        <f>IF($D10="WS",SUMPRODUCT(($C11:$C$35=$B10)*($Q11:$Q$35)*(W11:W$35)),IF($D10="MM",100*ABS(($G10-(Data2010!H7-$H10)/$J10)),IF($D10="XX",ABS((100*$G10)-((Data2010!H7-$E10)*$F10)),"na")))</f>
        <v>50</v>
      </c>
      <c r="X10" s="38">
        <f>IF($D10="WS",SUMPRODUCT(($C11:$C$35=$B10)*($Q11:$Q$35)*(X11:X$35)),IF($D10="MM",100*ABS(($G10-(Data2010!I7-$H10)/$J10)),IF($D10="XX",ABS((100*$G10)-((Data2010!I7-$E10)*$F10)),"na")))</f>
        <v>25</v>
      </c>
      <c r="Y10" s="38">
        <f>IF($D10="WS",SUMPRODUCT(($C11:$C$35=$B10)*($Q11:$Q$35)*(Y11:Y$35)),IF($D10="MM",100*ABS(($G10-(Data2010!J7-$H10)/$J10)),IF($D10="XX",ABS((100*$G10)-((Data2010!J7-$E10)*$F10)),"na")))</f>
        <v>0</v>
      </c>
      <c r="Z10" s="38">
        <f>IF($D10="WS",SUMPRODUCT(($C11:$C$35=$B10)*($Q11:$Q$35)*(Z11:Z$35)),IF($D10="MM",100*ABS(($G10-(Data2010!K7-$H10)/$J10)),IF($D10="XX",ABS((100*$G10)-((Data2010!K7-$E10)*$F10)),"na")))</f>
        <v>25</v>
      </c>
      <c r="AA10" s="38">
        <f>IF($D10="WS",SUMPRODUCT(($C11:$C$35=$B10)*($Q11:$Q$35)*(AA11:AA$35)),IF($D10="MM",100*ABS(($G10-(Data2010!L7-$H10)/$J10)),IF($D10="XX",ABS((100*$G10)-((Data2010!L7-$E10)*$F10)),"na")))</f>
        <v>25</v>
      </c>
      <c r="AB10" s="38">
        <f>IF($D10="WS",SUMPRODUCT(($C11:$C$35=$B10)*($Q11:$Q$35)*(AB11:AB$35)),IF($D10="MM",100*ABS(($G10-(Data2010!M7-$H10)/$J10)),IF($D10="XX",ABS((100*$G10)-((Data2010!M7-$E10)*$F10)),"na")))</f>
        <v>0</v>
      </c>
      <c r="AC10" s="38">
        <f>IF($D10="WS",SUMPRODUCT(($C11:$C$35=$B10)*($Q11:$Q$35)*(AC11:AC$35)),IF($D10="MM",100*ABS(($G10-(Data2010!N7-$H10)/$J10)),IF($D10="XX",ABS((100*$G10)-((Data2010!N7-$E10)*$F10)),"na")))</f>
        <v>25</v>
      </c>
      <c r="AD10" s="38">
        <f>IF($D10="WS",SUMPRODUCT(($C11:$C$35=$B10)*($Q11:$Q$35)*(AD11:AD$35)),IF($D10="MM",100*ABS(($G10-(Data2010!O7-$H10)/$J10)),IF($D10="XX",ABS((100*$G10)-((Data2010!O7-$E10)*$F10)),"na")))</f>
        <v>50</v>
      </c>
      <c r="AE10" s="38">
        <f>IF($D10="WS",SUMPRODUCT(($C11:$C$35=$B10)*($Q11:$Q$35)*(AE11:AE$35)),IF($D10="MM",100*ABS(($G10-(Data2010!P7-$H10)/$J10)),IF($D10="XX",ABS((100*$G10)-((Data2010!P7-$E10)*$F10)),"na")))</f>
        <v>25</v>
      </c>
      <c r="AF10" s="38">
        <f>IF($D10="WS",SUMPRODUCT(($C11:$C$35=$B10)*($Q11:$Q$35)*(AF11:AF$35)),IF($D10="MM",100*ABS(($G10-(Data2010!Q7-$H10)/$J10)),IF($D10="XX",ABS((100*$G10)-((Data2010!Q7-$E10)*$F10)),"na")))</f>
        <v>25</v>
      </c>
      <c r="AG10" s="38">
        <f>IF($D10="WS",SUMPRODUCT(($C11:$C$35=$B10)*($Q11:$Q$35)*(AG11:AG$35)),IF($D10="MM",100*ABS(($G10-(Data2010!R7-$H10)/$J10)),IF($D10="XX",ABS((100*$G10)-((Data2010!R7-$E10)*$F10)),"na")))</f>
        <v>25</v>
      </c>
      <c r="AH10" s="38">
        <f>IF($D10="WS",SUMPRODUCT(($C11:$C$35=$B10)*($Q11:$Q$35)*(AH11:AH$35)),IF($D10="MM",100*ABS(($G10-(Data2010!S7-$H10)/$J10)),IF($D10="XX",ABS((100*$G10)-((Data2010!S7-$E10)*$F10)),"na")))</f>
        <v>75</v>
      </c>
      <c r="AI10" s="38">
        <f>IF($D10="WS",SUMPRODUCT(($C11:$C$35=$B10)*($Q11:$Q$35)*(AI11:AI$35)),IF($D10="MM",100*ABS(($G10-(Data2010!T7-$H10)/$J10)),IF($D10="XX",ABS((100*$G10)-((Data2010!T7-$E10)*$F10)),"na")))</f>
        <v>25</v>
      </c>
      <c r="AJ10" s="38">
        <f>IF($D10="WS",SUMPRODUCT(($C11:$C$35=$B10)*($Q11:$Q$35)*(AJ11:AJ$35)),IF($D10="MM",100*ABS(($G10-(Data2010!U7-$H10)/$J10)),IF($D10="XX",ABS((100*$G10)-((Data2010!U7-$E10)*$F10)),"na")))</f>
        <v>50</v>
      </c>
      <c r="AK10" s="38">
        <f>IF($D10="WS",SUMPRODUCT(($C11:$C$35=$B10)*($Q11:$Q$35)*(AK11:AK$35)),IF($D10="MM",100*ABS(($G10-(Data2010!V7-$H10)/$J10)),IF($D10="XX",ABS((100*$G10)-((Data2010!V7-$E10)*$F10)),"na")))</f>
        <v>0</v>
      </c>
    </row>
    <row r="11" spans="1:37">
      <c r="B11" t="str">
        <f>tblIndicators!A6</f>
        <v>LEGF03</v>
      </c>
      <c r="C11" t="str">
        <f>tblIndicators!B6</f>
        <v>LEGF</v>
      </c>
      <c r="D11" t="str">
        <f>tblIndicators!D6</f>
        <v>XX</v>
      </c>
      <c r="E11">
        <f>tblIndicators!E6</f>
        <v>0</v>
      </c>
      <c r="F11">
        <f>tblIndicators!F6</f>
        <v>25</v>
      </c>
      <c r="G11">
        <f>tblIndicators!G6</f>
        <v>0</v>
      </c>
      <c r="H11">
        <f>MIN(Data2010!D8:V8)</f>
        <v>0</v>
      </c>
      <c r="I11">
        <f>MAX(Data2010!D8:V8)</f>
        <v>3</v>
      </c>
      <c r="J11" s="22">
        <f t="shared" si="0"/>
        <v>3</v>
      </c>
      <c r="K11">
        <f>MATCH(B11,Weights!C$4:C$36,0)</f>
        <v>12</v>
      </c>
      <c r="L11" s="95">
        <f>tblIndicators!S6</f>
        <v>1</v>
      </c>
      <c r="M11" s="178">
        <f>L11*INDEX(Weights!G$4:G$36,K11)</f>
        <v>1</v>
      </c>
      <c r="N11" s="36">
        <f t="shared" si="1"/>
        <v>0.125</v>
      </c>
      <c r="P11" t="str">
        <f>tblIndicators!Q6</f>
        <v xml:space="preserve">   Fairness/openness of bids, contract changes</v>
      </c>
      <c r="Q11" s="103">
        <f t="shared" si="2"/>
        <v>0.125</v>
      </c>
      <c r="S11" s="38">
        <f>IF($D11="WS",SUMPRODUCT(($C12:$C$35=$B11)*($Q12:$Q$35)*(S12:S$35)),IF($D11="MM",100*ABS(($G11-(Data2010!D8-$H11)/$J11)),IF($D11="XX",ABS((100*$G11)-((Data2010!D8-$E11)*$F11)),"na")))</f>
        <v>25</v>
      </c>
      <c r="T11" s="38">
        <f>IF($D11="WS",SUMPRODUCT(($C12:$C$35=$B11)*($Q12:$Q$35)*(T12:T$35)),IF($D11="MM",100*ABS(($G11-(Data2010!E8-$H11)/$J11)),IF($D11="XX",ABS((100*$G11)-((Data2010!E8-$E11)*$F11)),"na")))</f>
        <v>50</v>
      </c>
      <c r="U11" s="38">
        <f>IF($D11="WS",SUMPRODUCT(($C12:$C$35=$B11)*($Q12:$Q$35)*(U12:U$35)),IF($D11="MM",100*ABS(($G11-(Data2010!F8-$H11)/$J11)),IF($D11="XX",ABS((100*$G11)-((Data2010!F8-$E11)*$F11)),"na")))</f>
        <v>75</v>
      </c>
      <c r="V11" s="38">
        <f>IF($D11="WS",SUMPRODUCT(($C12:$C$35=$B11)*($Q12:$Q$35)*(V12:V$35)),IF($D11="MM",100*ABS(($G11-(Data2010!G8-$H11)/$J11)),IF($D11="XX",ABS((100*$G11)-((Data2010!G8-$E11)*$F11)),"na")))</f>
        <v>50</v>
      </c>
      <c r="W11" s="38">
        <f>IF($D11="WS",SUMPRODUCT(($C12:$C$35=$B11)*($Q12:$Q$35)*(W12:W$35)),IF($D11="MM",100*ABS(($G11-(Data2010!H8-$H11)/$J11)),IF($D11="XX",ABS((100*$G11)-((Data2010!H8-$E11)*$F11)),"na")))</f>
        <v>50</v>
      </c>
      <c r="X11" s="38">
        <f>IF($D11="WS",SUMPRODUCT(($C12:$C$35=$B11)*($Q12:$Q$35)*(X12:X$35)),IF($D11="MM",100*ABS(($G11-(Data2010!I8-$H11)/$J11)),IF($D11="XX",ABS((100*$G11)-((Data2010!I8-$E11)*$F11)),"na")))</f>
        <v>0</v>
      </c>
      <c r="Y11" s="38">
        <f>IF($D11="WS",SUMPRODUCT(($C12:$C$35=$B11)*($Q12:$Q$35)*(Y12:Y$35)),IF($D11="MM",100*ABS(($G11-(Data2010!J8-$H11)/$J11)),IF($D11="XX",ABS((100*$G11)-((Data2010!J8-$E11)*$F11)),"na")))</f>
        <v>0</v>
      </c>
      <c r="Z11" s="38">
        <f>IF($D11="WS",SUMPRODUCT(($C12:$C$35=$B11)*($Q12:$Q$35)*(Z12:Z$35)),IF($D11="MM",100*ABS(($G11-(Data2010!K8-$H11)/$J11)),IF($D11="XX",ABS((100*$G11)-((Data2010!K8-$E11)*$F11)),"na")))</f>
        <v>50</v>
      </c>
      <c r="AA11" s="38">
        <f>IF($D11="WS",SUMPRODUCT(($C12:$C$35=$B11)*($Q12:$Q$35)*(AA12:AA$35)),IF($D11="MM",100*ABS(($G11-(Data2010!L8-$H11)/$J11)),IF($D11="XX",ABS((100*$G11)-((Data2010!L8-$E11)*$F11)),"na")))</f>
        <v>50</v>
      </c>
      <c r="AB11" s="38">
        <f>IF($D11="WS",SUMPRODUCT(($C12:$C$35=$B11)*($Q12:$Q$35)*(AB12:AB$35)),IF($D11="MM",100*ABS(($G11-(Data2010!M8-$H11)/$J11)),IF($D11="XX",ABS((100*$G11)-((Data2010!M8-$E11)*$F11)),"na")))</f>
        <v>0</v>
      </c>
      <c r="AC11" s="38">
        <f>IF($D11="WS",SUMPRODUCT(($C12:$C$35=$B11)*($Q12:$Q$35)*(AC12:AC$35)),IF($D11="MM",100*ABS(($G11-(Data2010!N8-$H11)/$J11)),IF($D11="XX",ABS((100*$G11)-((Data2010!N8-$E11)*$F11)),"na")))</f>
        <v>25</v>
      </c>
      <c r="AD11" s="38">
        <f>IF($D11="WS",SUMPRODUCT(($C12:$C$35=$B11)*($Q12:$Q$35)*(AD12:AD$35)),IF($D11="MM",100*ABS(($G11-(Data2010!O8-$H11)/$J11)),IF($D11="XX",ABS((100*$G11)-((Data2010!O8-$E11)*$F11)),"na")))</f>
        <v>50</v>
      </c>
      <c r="AE11" s="38">
        <f>IF($D11="WS",SUMPRODUCT(($C12:$C$35=$B11)*($Q12:$Q$35)*(AE12:AE$35)),IF($D11="MM",100*ABS(($G11-(Data2010!P8-$H11)/$J11)),IF($D11="XX",ABS((100*$G11)-((Data2010!P8-$E11)*$F11)),"na")))</f>
        <v>0</v>
      </c>
      <c r="AF11" s="38">
        <f>IF($D11="WS",SUMPRODUCT(($C12:$C$35=$B11)*($Q12:$Q$35)*(AF12:AF$35)),IF($D11="MM",100*ABS(($G11-(Data2010!Q8-$H11)/$J11)),IF($D11="XX",ABS((100*$G11)-((Data2010!Q8-$E11)*$F11)),"na")))</f>
        <v>50</v>
      </c>
      <c r="AG11" s="38">
        <f>IF($D11="WS",SUMPRODUCT(($C12:$C$35=$B11)*($Q12:$Q$35)*(AG12:AG$35)),IF($D11="MM",100*ABS(($G11-(Data2010!R8-$H11)/$J11)),IF($D11="XX",ABS((100*$G11)-((Data2010!R8-$E11)*$F11)),"na")))</f>
        <v>25</v>
      </c>
      <c r="AH11" s="38">
        <f>IF($D11="WS",SUMPRODUCT(($C12:$C$35=$B11)*($Q12:$Q$35)*(AH12:AH$35)),IF($D11="MM",100*ABS(($G11-(Data2010!S8-$H11)/$J11)),IF($D11="XX",ABS((100*$G11)-((Data2010!S8-$E11)*$F11)),"na")))</f>
        <v>75</v>
      </c>
      <c r="AI11" s="38">
        <f>IF($D11="WS",SUMPRODUCT(($C12:$C$35=$B11)*($Q12:$Q$35)*(AI12:AI$35)),IF($D11="MM",100*ABS(($G11-(Data2010!T8-$H11)/$J11)),IF($D11="XX",ABS((100*$G11)-((Data2010!T8-$E11)*$F11)),"na")))</f>
        <v>25</v>
      </c>
      <c r="AJ11" s="38">
        <f>IF($D11="WS",SUMPRODUCT(($C12:$C$35=$B11)*($Q12:$Q$35)*(AJ12:AJ$35)),IF($D11="MM",100*ABS(($G11-(Data2010!U8-$H11)/$J11)),IF($D11="XX",ABS((100*$G11)-((Data2010!U8-$E11)*$F11)),"na")))</f>
        <v>50</v>
      </c>
      <c r="AK11" s="38">
        <f>IF($D11="WS",SUMPRODUCT(($C12:$C$35=$B11)*($Q12:$Q$35)*(AK12:AK$35)),IF($D11="MM",100*ABS(($G11-(Data2010!V8-$H11)/$J11)),IF($D11="XX",ABS((100*$G11)-((Data2010!V8-$E11)*$F11)),"na")))</f>
        <v>0</v>
      </c>
    </row>
    <row r="12" spans="1:37">
      <c r="B12" t="str">
        <f>tblIndicators!A7</f>
        <v>LEGF04</v>
      </c>
      <c r="C12" t="str">
        <f>tblIndicators!B7</f>
        <v>LEGF</v>
      </c>
      <c r="D12" t="str">
        <f>tblIndicators!D7</f>
        <v>XX</v>
      </c>
      <c r="E12">
        <f>tblIndicators!E7</f>
        <v>0</v>
      </c>
      <c r="F12">
        <f>tblIndicators!F7</f>
        <v>25</v>
      </c>
      <c r="G12">
        <f>tblIndicators!G7</f>
        <v>0</v>
      </c>
      <c r="H12">
        <f>MIN(Data2010!D9:V9)</f>
        <v>0</v>
      </c>
      <c r="I12">
        <f>MAX(Data2010!D9:V9)</f>
        <v>3</v>
      </c>
      <c r="J12" s="22">
        <f t="shared" si="0"/>
        <v>3</v>
      </c>
      <c r="K12">
        <f>MATCH(B12,Weights!C$4:C$36,0)</f>
        <v>13</v>
      </c>
      <c r="L12" s="95">
        <f>tblIndicators!S7</f>
        <v>1</v>
      </c>
      <c r="M12" s="178">
        <f>L12*INDEX(Weights!G$4:G$36,K12)</f>
        <v>2</v>
      </c>
      <c r="N12" s="36">
        <f t="shared" si="1"/>
        <v>0.25</v>
      </c>
      <c r="P12" t="str">
        <f>tblIndicators!Q7</f>
        <v xml:space="preserve">   Dispute resolution mechanisms</v>
      </c>
      <c r="Q12" s="103">
        <f t="shared" si="2"/>
        <v>0.25</v>
      </c>
      <c r="S12" s="38">
        <f>IF($D12="WS",SUMPRODUCT(($C13:$C$35=$B12)*($Q13:$Q$35)*(S13:S$35)),IF($D12="MM",100*ABS(($G12-(Data2010!D9-$H12)/$J12)),IF($D12="XX",ABS((100*$G12)-((Data2010!D9-$E12)*$F12)),"na")))</f>
        <v>0</v>
      </c>
      <c r="T12" s="38">
        <f>IF($D12="WS",SUMPRODUCT(($C13:$C$35=$B12)*($Q13:$Q$35)*(T13:T$35)),IF($D12="MM",100*ABS(($G12-(Data2010!E9-$H12)/$J12)),IF($D12="XX",ABS((100*$G12)-((Data2010!E9-$E12)*$F12)),"na")))</f>
        <v>75</v>
      </c>
      <c r="U12" s="38">
        <f>IF($D12="WS",SUMPRODUCT(($C13:$C$35=$B12)*($Q13:$Q$35)*(U13:U$35)),IF($D12="MM",100*ABS(($G12-(Data2010!F9-$H12)/$J12)),IF($D12="XX",ABS((100*$G12)-((Data2010!F9-$E12)*$F12)),"na")))</f>
        <v>75</v>
      </c>
      <c r="V12" s="38">
        <f>IF($D12="WS",SUMPRODUCT(($C13:$C$35=$B12)*($Q13:$Q$35)*(V13:V$35)),IF($D12="MM",100*ABS(($G12-(Data2010!G9-$H12)/$J12)),IF($D12="XX",ABS((100*$G12)-((Data2010!G9-$E12)*$F12)),"na")))</f>
        <v>50</v>
      </c>
      <c r="W12" s="38">
        <f>IF($D12="WS",SUMPRODUCT(($C13:$C$35=$B12)*($Q13:$Q$35)*(W13:W$35)),IF($D12="MM",100*ABS(($G12-(Data2010!H9-$H12)/$J12)),IF($D12="XX",ABS((100*$G12)-((Data2010!H9-$E12)*$F12)),"na")))</f>
        <v>25</v>
      </c>
      <c r="X12" s="38">
        <f>IF($D12="WS",SUMPRODUCT(($C13:$C$35=$B12)*($Q13:$Q$35)*(X13:X$35)),IF($D12="MM",100*ABS(($G12-(Data2010!I9-$H12)/$J12)),IF($D12="XX",ABS((100*$G12)-((Data2010!I9-$E12)*$F12)),"na")))</f>
        <v>25</v>
      </c>
      <c r="Y12" s="38">
        <f>IF($D12="WS",SUMPRODUCT(($C13:$C$35=$B12)*($Q13:$Q$35)*(Y13:Y$35)),IF($D12="MM",100*ABS(($G12-(Data2010!J9-$H12)/$J12)),IF($D12="XX",ABS((100*$G12)-((Data2010!J9-$E12)*$F12)),"na")))</f>
        <v>25</v>
      </c>
      <c r="Z12" s="38">
        <f>IF($D12="WS",SUMPRODUCT(($C13:$C$35=$B12)*($Q13:$Q$35)*(Z13:Z$35)),IF($D12="MM",100*ABS(($G12-(Data2010!K9-$H12)/$J12)),IF($D12="XX",ABS((100*$G12)-((Data2010!K9-$E12)*$F12)),"na")))</f>
        <v>25</v>
      </c>
      <c r="AA12" s="38">
        <f>IF($D12="WS",SUMPRODUCT(($C13:$C$35=$B12)*($Q13:$Q$35)*(AA13:AA$35)),IF($D12="MM",100*ABS(($G12-(Data2010!L9-$H12)/$J12)),IF($D12="XX",ABS((100*$G12)-((Data2010!L9-$E12)*$F12)),"na")))</f>
        <v>50</v>
      </c>
      <c r="AB12" s="38">
        <f>IF($D12="WS",SUMPRODUCT(($C13:$C$35=$B12)*($Q13:$Q$35)*(AB13:AB$35)),IF($D12="MM",100*ABS(($G12-(Data2010!M9-$H12)/$J12)),IF($D12="XX",ABS((100*$G12)-((Data2010!M9-$E12)*$F12)),"na")))</f>
        <v>25</v>
      </c>
      <c r="AC12" s="38">
        <f>IF($D12="WS",SUMPRODUCT(($C13:$C$35=$B12)*($Q13:$Q$35)*(AC13:AC$35)),IF($D12="MM",100*ABS(($G12-(Data2010!N9-$H12)/$J12)),IF($D12="XX",ABS((100*$G12)-((Data2010!N9-$E12)*$F12)),"na")))</f>
        <v>25</v>
      </c>
      <c r="AD12" s="38">
        <f>IF($D12="WS",SUMPRODUCT(($C13:$C$35=$B12)*($Q13:$Q$35)*(AD13:AD$35)),IF($D12="MM",100*ABS(($G12-(Data2010!O9-$H12)/$J12)),IF($D12="XX",ABS((100*$G12)-((Data2010!O9-$E12)*$F12)),"na")))</f>
        <v>75</v>
      </c>
      <c r="AE12" s="38">
        <f>IF($D12="WS",SUMPRODUCT(($C13:$C$35=$B12)*($Q13:$Q$35)*(AE13:AE$35)),IF($D12="MM",100*ABS(($G12-(Data2010!P9-$H12)/$J12)),IF($D12="XX",ABS((100*$G12)-((Data2010!P9-$E12)*$F12)),"na")))</f>
        <v>25</v>
      </c>
      <c r="AF12" s="38">
        <f>IF($D12="WS",SUMPRODUCT(($C13:$C$35=$B12)*($Q13:$Q$35)*(AF13:AF$35)),IF($D12="MM",100*ABS(($G12-(Data2010!Q9-$H12)/$J12)),IF($D12="XX",ABS((100*$G12)-((Data2010!Q9-$E12)*$F12)),"na")))</f>
        <v>25</v>
      </c>
      <c r="AG12" s="38">
        <f>IF($D12="WS",SUMPRODUCT(($C13:$C$35=$B12)*($Q13:$Q$35)*(AG13:AG$35)),IF($D12="MM",100*ABS(($G12-(Data2010!R9-$H12)/$J12)),IF($D12="XX",ABS((100*$G12)-((Data2010!R9-$E12)*$F12)),"na")))</f>
        <v>25</v>
      </c>
      <c r="AH12" s="38">
        <f>IF($D12="WS",SUMPRODUCT(($C13:$C$35=$B12)*($Q13:$Q$35)*(AH13:AH$35)),IF($D12="MM",100*ABS(($G12-(Data2010!S9-$H12)/$J12)),IF($D12="XX",ABS((100*$G12)-((Data2010!S9-$E12)*$F12)),"na")))</f>
        <v>75</v>
      </c>
      <c r="AI12" s="38">
        <f>IF($D12="WS",SUMPRODUCT(($C13:$C$35=$B12)*($Q13:$Q$35)*(AI13:AI$35)),IF($D12="MM",100*ABS(($G12-(Data2010!T9-$H12)/$J12)),IF($D12="XX",ABS((100*$G12)-((Data2010!T9-$E12)*$F12)),"na")))</f>
        <v>25</v>
      </c>
      <c r="AJ12" s="38">
        <f>IF($D12="WS",SUMPRODUCT(($C13:$C$35=$B12)*($Q13:$Q$35)*(AJ13:AJ$35)),IF($D12="MM",100*ABS(($G12-(Data2010!U9-$H12)/$J12)),IF($D12="XX",ABS((100*$G12)-((Data2010!U9-$E12)*$F12)),"na")))</f>
        <v>25</v>
      </c>
      <c r="AK12" s="38">
        <f>IF($D12="WS",SUMPRODUCT(($C13:$C$35=$B12)*($Q13:$Q$35)*(AK13:AK$35)),IF($D12="MM",100*ABS(($G12-(Data2010!V9-$H12)/$J12)),IF($D12="XX",ABS((100*$G12)-((Data2010!V9-$E12)*$F12)),"na")))</f>
        <v>0</v>
      </c>
    </row>
    <row r="13" spans="1:37" s="95" customFormat="1">
      <c r="B13" s="95" t="str">
        <f>tblIndicators!A8</f>
        <v>INST</v>
      </c>
      <c r="C13" s="95" t="str">
        <f>tblIndicators!B8</f>
        <v>TOTL</v>
      </c>
      <c r="D13" s="95" t="str">
        <f>tblIndicators!D8</f>
        <v>WS</v>
      </c>
      <c r="E13" s="95">
        <f>tblIndicators!E8</f>
        <v>0</v>
      </c>
      <c r="F13" s="95">
        <f>tblIndicators!F8</f>
        <v>0</v>
      </c>
      <c r="G13" s="95">
        <f>tblIndicators!G8</f>
        <v>0</v>
      </c>
      <c r="H13" s="95">
        <f>MIN(Data2010!D10:V10)</f>
        <v>0</v>
      </c>
      <c r="I13" s="95">
        <f>MAX(Data2010!D10:V10)</f>
        <v>0</v>
      </c>
      <c r="J13" s="96">
        <f t="shared" si="0"/>
        <v>0</v>
      </c>
      <c r="K13" s="95">
        <f>MATCH(B13,Weights!C$4:C$36,0)</f>
        <v>2</v>
      </c>
      <c r="L13" s="95">
        <f>tblIndicators!S8</f>
        <v>1</v>
      </c>
      <c r="M13" s="178">
        <f>L13*INDEX(Weights!G$4:G$36,K13)</f>
        <v>1.2</v>
      </c>
      <c r="N13" s="98">
        <f t="shared" si="1"/>
        <v>0.22222222222222221</v>
      </c>
      <c r="P13" s="95" t="str">
        <f>tblIndicators!Q8</f>
        <v>INSTITUTIONAL FRAMEWORK</v>
      </c>
      <c r="Q13" s="102">
        <f t="shared" si="2"/>
        <v>0.22222222222222221</v>
      </c>
      <c r="S13" s="97">
        <f>IF($D13="WS",SUMPRODUCT(($C14:$C$35=$B13)*($Q14:$Q$35)*(S14:S$35)),IF($D13="MM",100*ABS(($G13-(Data2010!D10-$H13)/$J13)),IF($D13="XX",ABS((100*$G13)-((Data2010!D10-$E13)*$F13)),"na")))</f>
        <v>33.333333333333329</v>
      </c>
      <c r="T13" s="97">
        <f>IF($D13="WS",SUMPRODUCT(($C14:$C$35=$B13)*($Q14:$Q$35)*(T14:T$35)),IF($D13="MM",100*ABS(($G13-(Data2010!E10-$H13)/$J13)),IF($D13="XX",ABS((100*$G13)-((Data2010!E10-$E13)*$F13)),"na")))</f>
        <v>75</v>
      </c>
      <c r="U13" s="97">
        <f>IF($D13="WS",SUMPRODUCT(($C14:$C$35=$B13)*($Q14:$Q$35)*(U14:U$35)),IF($D13="MM",100*ABS(($G13-(Data2010!F10-$H13)/$J13)),IF($D13="XX",ABS((100*$G13)-((Data2010!F10-$E13)*$F13)),"na")))</f>
        <v>75</v>
      </c>
      <c r="V13" s="97">
        <f>IF($D13="WS",SUMPRODUCT(($C14:$C$35=$B13)*($Q14:$Q$35)*(V14:V$35)),IF($D13="MM",100*ABS(($G13-(Data2010!G10-$H13)/$J13)),IF($D13="XX",ABS((100*$G13)-((Data2010!G10-$E13)*$F13)),"na")))</f>
        <v>49.999999999999993</v>
      </c>
      <c r="W13" s="97">
        <f>IF($D13="WS",SUMPRODUCT(($C14:$C$35=$B13)*($Q14:$Q$35)*(W14:W$35)),IF($D13="MM",100*ABS(($G13-(Data2010!H10-$H13)/$J13)),IF($D13="XX",ABS((100*$G13)-((Data2010!H10-$E13)*$F13)),"na")))</f>
        <v>24.999999999999996</v>
      </c>
      <c r="X13" s="97">
        <f>IF($D13="WS",SUMPRODUCT(($C14:$C$35=$B13)*($Q14:$Q$35)*(X14:X$35)),IF($D13="MM",100*ABS(($G13-(Data2010!I10-$H13)/$J13)),IF($D13="XX",ABS((100*$G13)-((Data2010!I10-$E13)*$F13)),"na")))</f>
        <v>8.3333333333333321</v>
      </c>
      <c r="Y13" s="97">
        <f>IF($D13="WS",SUMPRODUCT(($C14:$C$35=$B13)*($Q14:$Q$35)*(Y14:Y$35)),IF($D13="MM",100*ABS(($G13-(Data2010!J10-$H13)/$J13)),IF($D13="XX",ABS((100*$G13)-((Data2010!J10-$E13)*$F13)),"na")))</f>
        <v>0</v>
      </c>
      <c r="Z13" s="97">
        <f>IF($D13="WS",SUMPRODUCT(($C14:$C$35=$B13)*($Q14:$Q$35)*(Z14:Z$35)),IF($D13="MM",100*ABS(($G13-(Data2010!K10-$H13)/$J13)),IF($D13="XX",ABS((100*$G13)-((Data2010!K10-$E13)*$F13)),"na")))</f>
        <v>33.333333333333329</v>
      </c>
      <c r="AA13" s="97">
        <f>IF($D13="WS",SUMPRODUCT(($C14:$C$35=$B13)*($Q14:$Q$35)*(AA14:AA$35)),IF($D13="MM",100*ABS(($G13-(Data2010!L10-$H13)/$J13)),IF($D13="XX",ABS((100*$G13)-((Data2010!L10-$E13)*$F13)),"na")))</f>
        <v>49.999999999999993</v>
      </c>
      <c r="AB13" s="97">
        <f>IF($D13="WS",SUMPRODUCT(($C14:$C$35=$B13)*($Q14:$Q$35)*(AB14:AB$35)),IF($D13="MM",100*ABS(($G13-(Data2010!M10-$H13)/$J13)),IF($D13="XX",ABS((100*$G13)-((Data2010!M10-$E13)*$F13)),"na")))</f>
        <v>33.333333333333329</v>
      </c>
      <c r="AC13" s="97">
        <f>IF($D13="WS",SUMPRODUCT(($C14:$C$35=$B13)*($Q14:$Q$35)*(AC14:AC$35)),IF($D13="MM",100*ABS(($G13-(Data2010!N10-$H13)/$J13)),IF($D13="XX",ABS((100*$G13)-((Data2010!N10-$E13)*$F13)),"na")))</f>
        <v>24.999999999999996</v>
      </c>
      <c r="AD13" s="97">
        <f>IF($D13="WS",SUMPRODUCT(($C14:$C$35=$B13)*($Q14:$Q$35)*(AD14:AD$35)),IF($D13="MM",100*ABS(($G13-(Data2010!O10-$H13)/$J13)),IF($D13="XX",ABS((100*$G13)-((Data2010!O10-$E13)*$F13)),"na")))</f>
        <v>58.333333333333329</v>
      </c>
      <c r="AE13" s="97">
        <f>IF($D13="WS",SUMPRODUCT(($C14:$C$35=$B13)*($Q14:$Q$35)*(AE14:AE$35)),IF($D13="MM",100*ABS(($G13-(Data2010!P10-$H13)/$J13)),IF($D13="XX",ABS((100*$G13)-((Data2010!P10-$E13)*$F13)),"na")))</f>
        <v>24.999999999999996</v>
      </c>
      <c r="AF13" s="97">
        <f>IF($D13="WS",SUMPRODUCT(($C14:$C$35=$B13)*($Q14:$Q$35)*(AF14:AF$35)),IF($D13="MM",100*ABS(($G13-(Data2010!Q10-$H13)/$J13)),IF($D13="XX",ABS((100*$G13)-((Data2010!Q10-$E13)*$F13)),"na")))</f>
        <v>24.999999999999996</v>
      </c>
      <c r="AG13" s="97">
        <f>IF($D13="WS",SUMPRODUCT(($C14:$C$35=$B13)*($Q14:$Q$35)*(AG14:AG$35)),IF($D13="MM",100*ABS(($G13-(Data2010!R10-$H13)/$J13)),IF($D13="XX",ABS((100*$G13)-((Data2010!R10-$E13)*$F13)),"na")))</f>
        <v>24.999999999999996</v>
      </c>
      <c r="AH13" s="97">
        <f>IF($D13="WS",SUMPRODUCT(($C14:$C$35=$B13)*($Q14:$Q$35)*(AH14:AH$35)),IF($D13="MM",100*ABS(($G13-(Data2010!S10-$H13)/$J13)),IF($D13="XX",ABS((100*$G13)-((Data2010!S10-$E13)*$F13)),"na")))</f>
        <v>75</v>
      </c>
      <c r="AI13" s="97">
        <f>IF($D13="WS",SUMPRODUCT(($C14:$C$35=$B13)*($Q14:$Q$35)*(AI14:AI$35)),IF($D13="MM",100*ABS(($G13-(Data2010!T10-$H13)/$J13)),IF($D13="XX",ABS((100*$G13)-((Data2010!T10-$E13)*$F13)),"na")))</f>
        <v>24.999999999999996</v>
      </c>
      <c r="AJ13" s="97">
        <f>IF($D13="WS",SUMPRODUCT(($C14:$C$35=$B13)*($Q14:$Q$35)*(AJ14:AJ$35)),IF($D13="MM",100*ABS(($G13-(Data2010!U10-$H13)/$J13)),IF($D13="XX",ABS((100*$G13)-((Data2010!U10-$E13)*$F13)),"na")))</f>
        <v>33.333333333333329</v>
      </c>
      <c r="AK13" s="97">
        <f>IF($D13="WS",SUMPRODUCT(($C14:$C$35=$B13)*($Q14:$Q$35)*(AK14:AK$35)),IF($D13="MM",100*ABS(($G13-(Data2010!V10-$H13)/$J13)),IF($D13="XX",ABS((100*$G13)-((Data2010!V10-$E13)*$F13)),"na")))</f>
        <v>0</v>
      </c>
    </row>
    <row r="14" spans="1:37">
      <c r="B14" t="str">
        <f>tblIndicators!A9</f>
        <v>INST01</v>
      </c>
      <c r="C14" t="str">
        <f>tblIndicators!B9</f>
        <v>INST</v>
      </c>
      <c r="D14" t="str">
        <f>tblIndicators!D9</f>
        <v>XX</v>
      </c>
      <c r="E14">
        <f>tblIndicators!E9</f>
        <v>0</v>
      </c>
      <c r="F14">
        <f>tblIndicators!F9</f>
        <v>25</v>
      </c>
      <c r="G14">
        <f>tblIndicators!G9</f>
        <v>0</v>
      </c>
      <c r="H14">
        <f>MIN(Data2010!D11:V11)</f>
        <v>0</v>
      </c>
      <c r="I14">
        <f>MAX(Data2010!D11:V11)</f>
        <v>3</v>
      </c>
      <c r="J14" s="22">
        <f t="shared" si="0"/>
        <v>3</v>
      </c>
      <c r="K14">
        <f>MATCH(B14,Weights!C$4:C$36,0)</f>
        <v>15</v>
      </c>
      <c r="L14" s="95">
        <f>tblIndicators!S9</f>
        <v>1</v>
      </c>
      <c r="M14" s="178">
        <f>L14*INDEX(Weights!G$4:G$36,K14)</f>
        <v>2</v>
      </c>
      <c r="N14" s="36">
        <f t="shared" si="1"/>
        <v>0.66666666666666663</v>
      </c>
      <c r="P14" t="str">
        <f>tblIndicators!Q9</f>
        <v xml:space="preserve">   Quality of institutional design</v>
      </c>
      <c r="Q14" s="103">
        <f t="shared" si="2"/>
        <v>0.66666666666666663</v>
      </c>
      <c r="S14" s="38">
        <f>IF($D14="WS",SUMPRODUCT(($C15:$C$35=$B14)*($Q15:$Q$35)*(S15:S$35)),IF($D14="MM",100*ABS(($G14-(Data2010!D11-$H14)/$J14)),IF($D14="XX",ABS((100*$G14)-((Data2010!D11-$E14)*$F14)),"na")))</f>
        <v>50</v>
      </c>
      <c r="T14" s="38">
        <f>IF($D14="WS",SUMPRODUCT(($C15:$C$35=$B14)*($Q15:$Q$35)*(T15:T$35)),IF($D14="MM",100*ABS(($G14-(Data2010!E11-$H14)/$J14)),IF($D14="XX",ABS((100*$G14)-((Data2010!E11-$E14)*$F14)),"na")))</f>
        <v>75</v>
      </c>
      <c r="U14" s="38">
        <f>IF($D14="WS",SUMPRODUCT(($C15:$C$35=$B14)*($Q15:$Q$35)*(U15:U$35)),IF($D14="MM",100*ABS(($G14-(Data2010!F11-$H14)/$J14)),IF($D14="XX",ABS((100*$G14)-((Data2010!F11-$E14)*$F14)),"na")))</f>
        <v>75</v>
      </c>
      <c r="V14" s="38">
        <f>IF($D14="WS",SUMPRODUCT(($C15:$C$35=$B14)*($Q15:$Q$35)*(V15:V$35)),IF($D14="MM",100*ABS(($G14-(Data2010!G11-$H14)/$J14)),IF($D14="XX",ABS((100*$G14)-((Data2010!G11-$E14)*$F14)),"na")))</f>
        <v>50</v>
      </c>
      <c r="W14" s="38">
        <f>IF($D14="WS",SUMPRODUCT(($C15:$C$35=$B14)*($Q15:$Q$35)*(W15:W$35)),IF($D14="MM",100*ABS(($G14-(Data2010!H11-$H14)/$J14)),IF($D14="XX",ABS((100*$G14)-((Data2010!H11-$E14)*$F14)),"na")))</f>
        <v>25</v>
      </c>
      <c r="X14" s="38">
        <f>IF($D14="WS",SUMPRODUCT(($C15:$C$35=$B14)*($Q15:$Q$35)*(X15:X$35)),IF($D14="MM",100*ABS(($G14-(Data2010!I11-$H14)/$J14)),IF($D14="XX",ABS((100*$G14)-((Data2010!I11-$E14)*$F14)),"na")))</f>
        <v>0</v>
      </c>
      <c r="Y14" s="38">
        <f>IF($D14="WS",SUMPRODUCT(($C15:$C$35=$B14)*($Q15:$Q$35)*(Y15:Y$35)),IF($D14="MM",100*ABS(($G14-(Data2010!J11-$H14)/$J14)),IF($D14="XX",ABS((100*$G14)-((Data2010!J11-$E14)*$F14)),"na")))</f>
        <v>0</v>
      </c>
      <c r="Z14" s="38">
        <f>IF($D14="WS",SUMPRODUCT(($C15:$C$35=$B14)*($Q15:$Q$35)*(Z15:Z$35)),IF($D14="MM",100*ABS(($G14-(Data2010!K11-$H14)/$J14)),IF($D14="XX",ABS((100*$G14)-((Data2010!K11-$E14)*$F14)),"na")))</f>
        <v>25</v>
      </c>
      <c r="AA14" s="38">
        <f>IF($D14="WS",SUMPRODUCT(($C15:$C$35=$B14)*($Q15:$Q$35)*(AA15:AA$35)),IF($D14="MM",100*ABS(($G14-(Data2010!L11-$H14)/$J14)),IF($D14="XX",ABS((100*$G14)-((Data2010!L11-$E14)*$F14)),"na")))</f>
        <v>50</v>
      </c>
      <c r="AB14" s="38">
        <f>IF($D14="WS",SUMPRODUCT(($C15:$C$35=$B14)*($Q15:$Q$35)*(AB15:AB$35)),IF($D14="MM",100*ABS(($G14-(Data2010!M11-$H14)/$J14)),IF($D14="XX",ABS((100*$G14)-((Data2010!M11-$E14)*$F14)),"na")))</f>
        <v>25</v>
      </c>
      <c r="AC14" s="38">
        <f>IF($D14="WS",SUMPRODUCT(($C15:$C$35=$B14)*($Q15:$Q$35)*(AC15:AC$35)),IF($D14="MM",100*ABS(($G14-(Data2010!N11-$H14)/$J14)),IF($D14="XX",ABS((100*$G14)-((Data2010!N11-$E14)*$F14)),"na")))</f>
        <v>25</v>
      </c>
      <c r="AD14" s="38">
        <f>IF($D14="WS",SUMPRODUCT(($C15:$C$35=$B14)*($Q15:$Q$35)*(AD15:AD$35)),IF($D14="MM",100*ABS(($G14-(Data2010!O11-$H14)/$J14)),IF($D14="XX",ABS((100*$G14)-((Data2010!O11-$E14)*$F14)),"na")))</f>
        <v>50</v>
      </c>
      <c r="AE14" s="38">
        <f>IF($D14="WS",SUMPRODUCT(($C15:$C$35=$B14)*($Q15:$Q$35)*(AE15:AE$35)),IF($D14="MM",100*ABS(($G14-(Data2010!P11-$H14)/$J14)),IF($D14="XX",ABS((100*$G14)-((Data2010!P11-$E14)*$F14)),"na")))</f>
        <v>25</v>
      </c>
      <c r="AF14" s="38">
        <f>IF($D14="WS",SUMPRODUCT(($C15:$C$35=$B14)*($Q15:$Q$35)*(AF15:AF$35)),IF($D14="MM",100*ABS(($G14-(Data2010!Q11-$H14)/$J14)),IF($D14="XX",ABS((100*$G14)-((Data2010!Q11-$E14)*$F14)),"na")))</f>
        <v>25</v>
      </c>
      <c r="AG14" s="38">
        <f>IF($D14="WS",SUMPRODUCT(($C15:$C$35=$B14)*($Q15:$Q$35)*(AG15:AG$35)),IF($D14="MM",100*ABS(($G14-(Data2010!R11-$H14)/$J14)),IF($D14="XX",ABS((100*$G14)-((Data2010!R11-$E14)*$F14)),"na")))</f>
        <v>25</v>
      </c>
      <c r="AH14" s="38">
        <f>IF($D14="WS",SUMPRODUCT(($C15:$C$35=$B14)*($Q15:$Q$35)*(AH15:AH$35)),IF($D14="MM",100*ABS(($G14-(Data2010!S11-$H14)/$J14)),IF($D14="XX",ABS((100*$G14)-((Data2010!S11-$E14)*$F14)),"na")))</f>
        <v>75</v>
      </c>
      <c r="AI14" s="38">
        <f>IF($D14="WS",SUMPRODUCT(($C15:$C$35=$B14)*($Q15:$Q$35)*(AI15:AI$35)),IF($D14="MM",100*ABS(($G14-(Data2010!T11-$H14)/$J14)),IF($D14="XX",ABS((100*$G14)-((Data2010!T11-$E14)*$F14)),"na")))</f>
        <v>25</v>
      </c>
      <c r="AJ14" s="38">
        <f>IF($D14="WS",SUMPRODUCT(($C15:$C$35=$B14)*($Q15:$Q$35)*(AJ15:AJ$35)),IF($D14="MM",100*ABS(($G14-(Data2010!U11-$H14)/$J14)),IF($D14="XX",ABS((100*$G14)-((Data2010!U11-$E14)*$F14)),"na")))</f>
        <v>25</v>
      </c>
      <c r="AK14" s="38">
        <f>IF($D14="WS",SUMPRODUCT(($C15:$C$35=$B14)*($Q15:$Q$35)*(AK15:AK$35)),IF($D14="MM",100*ABS(($G14-(Data2010!V11-$H14)/$J14)),IF($D14="XX",ABS((100*$G14)-((Data2010!V11-$E14)*$F14)),"na")))</f>
        <v>0</v>
      </c>
    </row>
    <row r="15" spans="1:37">
      <c r="B15" t="str">
        <f>tblIndicators!A10</f>
        <v>INST02</v>
      </c>
      <c r="C15" t="str">
        <f>tblIndicators!B10</f>
        <v>INST</v>
      </c>
      <c r="D15" t="str">
        <f>tblIndicators!D10</f>
        <v>XX</v>
      </c>
      <c r="E15">
        <f>tblIndicators!E10</f>
        <v>0</v>
      </c>
      <c r="F15">
        <f>tblIndicators!F10</f>
        <v>25</v>
      </c>
      <c r="G15">
        <f>tblIndicators!G10</f>
        <v>0</v>
      </c>
      <c r="H15">
        <f>MIN(Data2010!D12:V12)</f>
        <v>0</v>
      </c>
      <c r="I15">
        <f>MAX(Data2010!D12:V12)</f>
        <v>3</v>
      </c>
      <c r="J15" s="22">
        <f t="shared" si="0"/>
        <v>3</v>
      </c>
      <c r="K15">
        <f>MATCH(B15,Weights!C$4:C$36,0)</f>
        <v>16</v>
      </c>
      <c r="L15" s="95">
        <f>tblIndicators!S10</f>
        <v>1</v>
      </c>
      <c r="M15" s="178">
        <f>L15*INDEX(Weights!G$4:G$36,K15)</f>
        <v>1</v>
      </c>
      <c r="N15" s="36">
        <f t="shared" si="1"/>
        <v>0.33333333333333331</v>
      </c>
      <c r="P15" t="str">
        <f>tblIndicators!Q10</f>
        <v xml:space="preserve">   PPP contract, hold-up and expropriation risk</v>
      </c>
      <c r="Q15" s="103">
        <f t="shared" si="2"/>
        <v>0.33333333333333331</v>
      </c>
      <c r="S15" s="38">
        <f>IF($D15="WS",SUMPRODUCT(($C16:$C$35=$B15)*($Q16:$Q$35)*(S16:S$35)),IF($D15="MM",100*ABS(($G15-(Data2010!D12-$H15)/$J15)),IF($D15="XX",ABS((100*$G15)-((Data2010!D12-$E15)*$F15)),"na")))</f>
        <v>0</v>
      </c>
      <c r="T15" s="38">
        <f>IF($D15="WS",SUMPRODUCT(($C16:$C$35=$B15)*($Q16:$Q$35)*(T16:T$35)),IF($D15="MM",100*ABS(($G15-(Data2010!E12-$H15)/$J15)),IF($D15="XX",ABS((100*$G15)-((Data2010!E12-$E15)*$F15)),"na")))</f>
        <v>75</v>
      </c>
      <c r="U15" s="38">
        <f>IF($D15="WS",SUMPRODUCT(($C16:$C$35=$B15)*($Q16:$Q$35)*(U16:U$35)),IF($D15="MM",100*ABS(($G15-(Data2010!F12-$H15)/$J15)),IF($D15="XX",ABS((100*$G15)-((Data2010!F12-$E15)*$F15)),"na")))</f>
        <v>75</v>
      </c>
      <c r="V15" s="38">
        <f>IF($D15="WS",SUMPRODUCT(($C16:$C$35=$B15)*($Q16:$Q$35)*(V16:V$35)),IF($D15="MM",100*ABS(($G15-(Data2010!G12-$H15)/$J15)),IF($D15="XX",ABS((100*$G15)-((Data2010!G12-$E15)*$F15)),"na")))</f>
        <v>50</v>
      </c>
      <c r="W15" s="38">
        <f>IF($D15="WS",SUMPRODUCT(($C16:$C$35=$B15)*($Q16:$Q$35)*(W16:W$35)),IF($D15="MM",100*ABS(($G15-(Data2010!H12-$H15)/$J15)),IF($D15="XX",ABS((100*$G15)-((Data2010!H12-$E15)*$F15)),"na")))</f>
        <v>25</v>
      </c>
      <c r="X15" s="38">
        <f>IF($D15="WS",SUMPRODUCT(($C16:$C$35=$B15)*($Q16:$Q$35)*(X16:X$35)),IF($D15="MM",100*ABS(($G15-(Data2010!I12-$H15)/$J15)),IF($D15="XX",ABS((100*$G15)-((Data2010!I12-$E15)*$F15)),"na")))</f>
        <v>25</v>
      </c>
      <c r="Y15" s="38">
        <f>IF($D15="WS",SUMPRODUCT(($C16:$C$35=$B15)*($Q16:$Q$35)*(Y16:Y$35)),IF($D15="MM",100*ABS(($G15-(Data2010!J12-$H15)/$J15)),IF($D15="XX",ABS((100*$G15)-((Data2010!J12-$E15)*$F15)),"na")))</f>
        <v>0</v>
      </c>
      <c r="Z15" s="38">
        <f>IF($D15="WS",SUMPRODUCT(($C16:$C$35=$B15)*($Q16:$Q$35)*(Z16:Z$35)),IF($D15="MM",100*ABS(($G15-(Data2010!K12-$H15)/$J15)),IF($D15="XX",ABS((100*$G15)-((Data2010!K12-$E15)*$F15)),"na")))</f>
        <v>50</v>
      </c>
      <c r="AA15" s="38">
        <f>IF($D15="WS",SUMPRODUCT(($C16:$C$35=$B15)*($Q16:$Q$35)*(AA16:AA$35)),IF($D15="MM",100*ABS(($G15-(Data2010!L12-$H15)/$J15)),IF($D15="XX",ABS((100*$G15)-((Data2010!L12-$E15)*$F15)),"na")))</f>
        <v>50</v>
      </c>
      <c r="AB15" s="38">
        <f>IF($D15="WS",SUMPRODUCT(($C16:$C$35=$B15)*($Q16:$Q$35)*(AB16:AB$35)),IF($D15="MM",100*ABS(($G15-(Data2010!M12-$H15)/$J15)),IF($D15="XX",ABS((100*$G15)-((Data2010!M12-$E15)*$F15)),"na")))</f>
        <v>50</v>
      </c>
      <c r="AC15" s="38">
        <f>IF($D15="WS",SUMPRODUCT(($C16:$C$35=$B15)*($Q16:$Q$35)*(AC16:AC$35)),IF($D15="MM",100*ABS(($G15-(Data2010!N12-$H15)/$J15)),IF($D15="XX",ABS((100*$G15)-((Data2010!N12-$E15)*$F15)),"na")))</f>
        <v>25</v>
      </c>
      <c r="AD15" s="38">
        <f>IF($D15="WS",SUMPRODUCT(($C16:$C$35=$B15)*($Q16:$Q$35)*(AD16:AD$35)),IF($D15="MM",100*ABS(($G15-(Data2010!O12-$H15)/$J15)),IF($D15="XX",ABS((100*$G15)-((Data2010!O12-$E15)*$F15)),"na")))</f>
        <v>75</v>
      </c>
      <c r="AE15" s="38">
        <f>IF($D15="WS",SUMPRODUCT(($C16:$C$35=$B15)*($Q16:$Q$35)*(AE16:AE$35)),IF($D15="MM",100*ABS(($G15-(Data2010!P12-$H15)/$J15)),IF($D15="XX",ABS((100*$G15)-((Data2010!P12-$E15)*$F15)),"na")))</f>
        <v>25</v>
      </c>
      <c r="AF15" s="38">
        <f>IF($D15="WS",SUMPRODUCT(($C16:$C$35=$B15)*($Q16:$Q$35)*(AF16:AF$35)),IF($D15="MM",100*ABS(($G15-(Data2010!Q12-$H15)/$J15)),IF($D15="XX",ABS((100*$G15)-((Data2010!Q12-$E15)*$F15)),"na")))</f>
        <v>25</v>
      </c>
      <c r="AG15" s="38">
        <f>IF($D15="WS",SUMPRODUCT(($C16:$C$35=$B15)*($Q16:$Q$35)*(AG16:AG$35)),IF($D15="MM",100*ABS(($G15-(Data2010!R12-$H15)/$J15)),IF($D15="XX",ABS((100*$G15)-((Data2010!R12-$E15)*$F15)),"na")))</f>
        <v>25</v>
      </c>
      <c r="AH15" s="38">
        <f>IF($D15="WS",SUMPRODUCT(($C16:$C$35=$B15)*($Q16:$Q$35)*(AH16:AH$35)),IF($D15="MM",100*ABS(($G15-(Data2010!S12-$H15)/$J15)),IF($D15="XX",ABS((100*$G15)-((Data2010!S12-$E15)*$F15)),"na")))</f>
        <v>75</v>
      </c>
      <c r="AI15" s="38">
        <f>IF($D15="WS",SUMPRODUCT(($C16:$C$35=$B15)*($Q16:$Q$35)*(AI16:AI$35)),IF($D15="MM",100*ABS(($G15-(Data2010!T12-$H15)/$J15)),IF($D15="XX",ABS((100*$G15)-((Data2010!T12-$E15)*$F15)),"na")))</f>
        <v>25</v>
      </c>
      <c r="AJ15" s="38">
        <f>IF($D15="WS",SUMPRODUCT(($C16:$C$35=$B15)*($Q16:$Q$35)*(AJ16:AJ$35)),IF($D15="MM",100*ABS(($G15-(Data2010!U12-$H15)/$J15)),IF($D15="XX",ABS((100*$G15)-((Data2010!U12-$E15)*$F15)),"na")))</f>
        <v>50</v>
      </c>
      <c r="AK15" s="38">
        <f>IF($D15="WS",SUMPRODUCT(($C16:$C$35=$B15)*($Q16:$Q$35)*(AK16:AK$35)),IF($D15="MM",100*ABS(($G15-(Data2010!V12-$H15)/$J15)),IF($D15="XX",ABS((100*$G15)-((Data2010!V12-$E15)*$F15)),"na")))</f>
        <v>0</v>
      </c>
    </row>
    <row r="16" spans="1:37" s="95" customFormat="1">
      <c r="B16" s="95" t="str">
        <f>tblIndicators!A11</f>
        <v>OPER</v>
      </c>
      <c r="C16" s="95" t="str">
        <f>tblIndicators!B11</f>
        <v>TOTL</v>
      </c>
      <c r="D16" s="95" t="str">
        <f>tblIndicators!D11</f>
        <v>WS</v>
      </c>
      <c r="E16" s="95">
        <f>tblIndicators!E11</f>
        <v>0</v>
      </c>
      <c r="F16" s="95">
        <f>tblIndicators!F11</f>
        <v>0</v>
      </c>
      <c r="G16" s="95">
        <f>tblIndicators!G11</f>
        <v>0</v>
      </c>
      <c r="H16" s="95">
        <f>MIN(Data2010!D13:V13)</f>
        <v>0</v>
      </c>
      <c r="I16" s="95">
        <f>MAX(Data2010!D13:V13)</f>
        <v>0</v>
      </c>
      <c r="J16" s="96">
        <f t="shared" si="0"/>
        <v>0</v>
      </c>
      <c r="K16" s="95">
        <f>MATCH(B16,Weights!C$4:C$36,0)</f>
        <v>3</v>
      </c>
      <c r="L16" s="95">
        <f>tblIndicators!S11</f>
        <v>1</v>
      </c>
      <c r="M16" s="178">
        <f>L16*INDEX(Weights!G$4:G$36,K16)</f>
        <v>0.9</v>
      </c>
      <c r="N16" s="98">
        <f t="shared" si="1"/>
        <v>0.16666666666666666</v>
      </c>
      <c r="P16" s="95" t="str">
        <f>tblIndicators!Q11</f>
        <v>OPERATIONAL MATURITY</v>
      </c>
      <c r="Q16" s="102">
        <f t="shared" si="2"/>
        <v>0.16666666666666666</v>
      </c>
      <c r="S16" s="97">
        <f>IF($D16="WS",SUMPRODUCT(($C17:$C$35=$B16)*($Q17:$Q$35)*(S17:S$35)),IF($D16="MM",100*ABS(($G16-(Data2010!D13-$H16)/$J16)),IF($D16="XX",ABS((100*$G16)-((Data2010!D13-$E16)*$F16)),"na")))</f>
        <v>16.666666666666664</v>
      </c>
      <c r="T16" s="97">
        <f>IF($D16="WS",SUMPRODUCT(($C17:$C$35=$B16)*($Q17:$Q$35)*(T17:T$35)),IF($D16="MM",100*ABS(($G16-(Data2010!E13-$H16)/$J16)),IF($D16="XX",ABS((100*$G16)-((Data2010!E13-$E16)*$F16)),"na")))</f>
        <v>87.5</v>
      </c>
      <c r="U16" s="97">
        <f>IF($D16="WS",SUMPRODUCT(($C17:$C$35=$B16)*($Q17:$Q$35)*(U17:U$35)),IF($D16="MM",100*ABS(($G16-(Data2010!F13-$H16)/$J16)),IF($D16="XX",ABS((100*$G16)-((Data2010!F13-$E16)*$F16)),"na")))</f>
        <v>72.172619047619051</v>
      </c>
      <c r="V16" s="97">
        <f>IF($D16="WS",SUMPRODUCT(($C17:$C$35=$B16)*($Q17:$Q$35)*(V17:V$35)),IF($D16="MM",100*ABS(($G16-(Data2010!G13-$H16)/$J16)),IF($D16="XX",ABS((100*$G16)-((Data2010!G13-$E16)*$F16)),"na")))</f>
        <v>46.726190476190474</v>
      </c>
      <c r="W16" s="97">
        <f>IF($D16="WS",SUMPRODUCT(($C17:$C$35=$B16)*($Q17:$Q$35)*(W17:W$35)),IF($D16="MM",100*ABS(($G16-(Data2010!H13-$H16)/$J16)),IF($D16="XX",ABS((100*$G16)-((Data2010!H13-$E16)*$F16)),"na")))</f>
        <v>42.113095238095241</v>
      </c>
      <c r="X16" s="97">
        <f>IF($D16="WS",SUMPRODUCT(($C17:$C$35=$B16)*($Q17:$Q$35)*(X17:X$35)),IF($D16="MM",100*ABS(($G16-(Data2010!I13-$H16)/$J16)),IF($D16="XX",ABS((100*$G16)-((Data2010!I13-$E16)*$F16)),"na")))</f>
        <v>13.988095238095237</v>
      </c>
      <c r="Y16" s="97">
        <f>IF($D16="WS",SUMPRODUCT(($C17:$C$35=$B16)*($Q17:$Q$35)*(Y17:Y$35)),IF($D16="MM",100*ABS(($G16-(Data2010!J13-$H16)/$J16)),IF($D16="XX",ABS((100*$G16)-((Data2010!J13-$E16)*$F16)),"na")))</f>
        <v>33.035714285714285</v>
      </c>
      <c r="Z16" s="97">
        <f>IF($D16="WS",SUMPRODUCT(($C17:$C$35=$B16)*($Q17:$Q$35)*(Z17:Z$35)),IF($D16="MM",100*ABS(($G16-(Data2010!K13-$H16)/$J16)),IF($D16="XX",ABS((100*$G16)-((Data2010!K13-$E16)*$F16)),"na")))</f>
        <v>25.148809523809526</v>
      </c>
      <c r="AA16" s="97">
        <f>IF($D16="WS",SUMPRODUCT(($C17:$C$35=$B16)*($Q17:$Q$35)*(AA17:AA$35)),IF($D16="MM",100*ABS(($G16-(Data2010!L13-$H16)/$J16)),IF($D16="XX",ABS((100*$G16)-((Data2010!L13-$E16)*$F16)),"na")))</f>
        <v>35.416666666666664</v>
      </c>
      <c r="AB16" s="97">
        <f>IF($D16="WS",SUMPRODUCT(($C17:$C$35=$B16)*($Q17:$Q$35)*(AB17:AB$35)),IF($D16="MM",100*ABS(($G16-(Data2010!M13-$H16)/$J16)),IF($D16="XX",ABS((100*$G16)-((Data2010!M13-$E16)*$F16)),"na")))</f>
        <v>35.11904761904762</v>
      </c>
      <c r="AC16" s="97">
        <f>IF($D16="WS",SUMPRODUCT(($C17:$C$35=$B16)*($Q17:$Q$35)*(AC17:AC$35)),IF($D16="MM",100*ABS(($G16-(Data2010!N13-$H16)/$J16)),IF($D16="XX",ABS((100*$G16)-((Data2010!N13-$E16)*$F16)),"na")))</f>
        <v>25.297619047619047</v>
      </c>
      <c r="AD16" s="97">
        <f>IF($D16="WS",SUMPRODUCT(($C17:$C$35=$B16)*($Q17:$Q$35)*(AD17:AD$35)),IF($D16="MM",100*ABS(($G16-(Data2010!O13-$H16)/$J16)),IF($D16="XX",ABS((100*$G16)-((Data2010!O13-$E16)*$F16)),"na")))</f>
        <v>54.017857142857139</v>
      </c>
      <c r="AE16" s="97">
        <f>IF($D16="WS",SUMPRODUCT(($C17:$C$35=$B16)*($Q17:$Q$35)*(AE17:AE$35)),IF($D16="MM",100*ABS(($G16-(Data2010!P13-$H16)/$J16)),IF($D16="XX",ABS((100*$G16)-((Data2010!P13-$E16)*$F16)),"na")))</f>
        <v>13.095238095238095</v>
      </c>
      <c r="AF16" s="97">
        <f>IF($D16="WS",SUMPRODUCT(($C17:$C$35=$B16)*($Q17:$Q$35)*(AF17:AF$35)),IF($D16="MM",100*ABS(($G16-(Data2010!Q13-$H16)/$J16)),IF($D16="XX",ABS((100*$G16)-((Data2010!Q13-$E16)*$F16)),"na")))</f>
        <v>13.095238095238095</v>
      </c>
      <c r="AG16" s="97">
        <f>IF($D16="WS",SUMPRODUCT(($C17:$C$35=$B16)*($Q17:$Q$35)*(AG17:AG$35)),IF($D16="MM",100*ABS(($G16-(Data2010!R13-$H16)/$J16)),IF($D16="XX",ABS((100*$G16)-((Data2010!R13-$E16)*$F16)),"na")))</f>
        <v>15.625</v>
      </c>
      <c r="AH16" s="97">
        <f>IF($D16="WS",SUMPRODUCT(($C17:$C$35=$B16)*($Q17:$Q$35)*(AH17:AH$35)),IF($D16="MM",100*ABS(($G16-(Data2010!S13-$H16)/$J16)),IF($D16="XX",ABS((100*$G16)-((Data2010!S13-$E16)*$F16)),"na")))</f>
        <v>53.571428571428569</v>
      </c>
      <c r="AI16" s="97">
        <f>IF($D16="WS",SUMPRODUCT(($C17:$C$35=$B16)*($Q17:$Q$35)*(AI17:AI$35)),IF($D16="MM",100*ABS(($G16-(Data2010!T13-$H16)/$J16)),IF($D16="XX",ABS((100*$G16)-((Data2010!T13-$E16)*$F16)),"na")))</f>
        <v>9.5238095238095237</v>
      </c>
      <c r="AJ16" s="97">
        <f>IF($D16="WS",SUMPRODUCT(($C17:$C$35=$B16)*($Q17:$Q$35)*(AJ17:AJ$35)),IF($D16="MM",100*ABS(($G16-(Data2010!U13-$H16)/$J16)),IF($D16="XX",ABS((100*$G16)-((Data2010!U13-$E16)*$F16)),"na")))</f>
        <v>19.345238095238095</v>
      </c>
      <c r="AK16" s="97">
        <f>IF($D16="WS",SUMPRODUCT(($C17:$C$35=$B16)*($Q17:$Q$35)*(AK17:AK$35)),IF($D16="MM",100*ABS(($G16-(Data2010!V13-$H16)/$J16)),IF($D16="XX",ABS((100*$G16)-((Data2010!V13-$E16)*$F16)),"na")))</f>
        <v>0.59523809523809523</v>
      </c>
    </row>
    <row r="17" spans="2:37">
      <c r="B17" t="str">
        <f>tblIndicators!A12</f>
        <v>OPER01</v>
      </c>
      <c r="C17" t="str">
        <f>tblIndicators!B12</f>
        <v>OPER</v>
      </c>
      <c r="D17" t="str">
        <f>tblIndicators!D12</f>
        <v>XX</v>
      </c>
      <c r="E17">
        <f>tblIndicators!E12</f>
        <v>0</v>
      </c>
      <c r="F17">
        <f>tblIndicators!F12</f>
        <v>25</v>
      </c>
      <c r="G17">
        <f>tblIndicators!G12</f>
        <v>0</v>
      </c>
      <c r="H17">
        <f>MIN(Data2010!D14:V14)</f>
        <v>0</v>
      </c>
      <c r="I17">
        <f>MAX(Data2010!D14:V14)</f>
        <v>3</v>
      </c>
      <c r="J17" s="22">
        <f t="shared" si="0"/>
        <v>3</v>
      </c>
      <c r="K17">
        <f>MATCH(B17,Weights!C$4:C$36,0)</f>
        <v>18</v>
      </c>
      <c r="L17" s="95">
        <f>tblIndicators!S12</f>
        <v>1</v>
      </c>
      <c r="M17" s="178">
        <f>L17*INDEX(Weights!G$4:G$36,K17)</f>
        <v>2</v>
      </c>
      <c r="N17" s="36">
        <f t="shared" si="1"/>
        <v>0.25</v>
      </c>
      <c r="P17" t="str">
        <f>tblIndicators!Q12</f>
        <v xml:space="preserve">   Public capacity to plan and oversee PPPs</v>
      </c>
      <c r="Q17" s="103">
        <f t="shared" si="2"/>
        <v>0.25</v>
      </c>
      <c r="S17" s="38">
        <f>IF($D17="WS",SUMPRODUCT(($C18:$C$35=$B17)*($Q18:$Q$35)*(S18:S$35)),IF($D17="MM",100*ABS(($G17-(Data2010!D14-$H17)/$J17)),IF($D17="XX",ABS((100*$G17)-((Data2010!D14-$E17)*$F17)),"na")))</f>
        <v>25</v>
      </c>
      <c r="T17" s="38">
        <f>IF($D17="WS",SUMPRODUCT(($C18:$C$35=$B17)*($Q18:$Q$35)*(T18:T$35)),IF($D17="MM",100*ABS(($G17-(Data2010!E14-$H17)/$J17)),IF($D17="XX",ABS((100*$G17)-((Data2010!E14-$E17)*$F17)),"na")))</f>
        <v>75</v>
      </c>
      <c r="U17" s="38">
        <f>IF($D17="WS",SUMPRODUCT(($C18:$C$35=$B17)*($Q18:$Q$35)*(U18:U$35)),IF($D17="MM",100*ABS(($G17-(Data2010!F14-$H17)/$J17)),IF($D17="XX",ABS((100*$G17)-((Data2010!F14-$E17)*$F17)),"na")))</f>
        <v>75</v>
      </c>
      <c r="V17" s="38">
        <f>IF($D17="WS",SUMPRODUCT(($C18:$C$35=$B17)*($Q18:$Q$35)*(V18:V$35)),IF($D17="MM",100*ABS(($G17-(Data2010!G14-$H17)/$J17)),IF($D17="XX",ABS((100*$G17)-((Data2010!G14-$E17)*$F17)),"na")))</f>
        <v>50</v>
      </c>
      <c r="W17" s="38">
        <f>IF($D17="WS",SUMPRODUCT(($C18:$C$35=$B17)*($Q18:$Q$35)*(W18:W$35)),IF($D17="MM",100*ABS(($G17-(Data2010!H14-$H17)/$J17)),IF($D17="XX",ABS((100*$G17)-((Data2010!H14-$E17)*$F17)),"na")))</f>
        <v>25</v>
      </c>
      <c r="X17" s="38">
        <f>IF($D17="WS",SUMPRODUCT(($C18:$C$35=$B17)*($Q18:$Q$35)*(X18:X$35)),IF($D17="MM",100*ABS(($G17-(Data2010!I14-$H17)/$J17)),IF($D17="XX",ABS((100*$G17)-((Data2010!I14-$E17)*$F17)),"na")))</f>
        <v>0</v>
      </c>
      <c r="Y17" s="38">
        <f>IF($D17="WS",SUMPRODUCT(($C18:$C$35=$B17)*($Q18:$Q$35)*(Y18:Y$35)),IF($D17="MM",100*ABS(($G17-(Data2010!J14-$H17)/$J17)),IF($D17="XX",ABS((100*$G17)-((Data2010!J14-$E17)*$F17)),"na")))</f>
        <v>25</v>
      </c>
      <c r="Z17" s="38">
        <f>IF($D17="WS",SUMPRODUCT(($C18:$C$35=$B17)*($Q18:$Q$35)*(Z18:Z$35)),IF($D17="MM",100*ABS(($G17-(Data2010!K14-$H17)/$J17)),IF($D17="XX",ABS((100*$G17)-((Data2010!K14-$E17)*$F17)),"na")))</f>
        <v>50</v>
      </c>
      <c r="AA17" s="38">
        <f>IF($D17="WS",SUMPRODUCT(($C18:$C$35=$B17)*($Q18:$Q$35)*(AA18:AA$35)),IF($D17="MM",100*ABS(($G17-(Data2010!L14-$H17)/$J17)),IF($D17="XX",ABS((100*$G17)-((Data2010!L14-$E17)*$F17)),"na")))</f>
        <v>0</v>
      </c>
      <c r="AB17" s="38">
        <f>IF($D17="WS",SUMPRODUCT(($C18:$C$35=$B17)*($Q18:$Q$35)*(AB18:AB$35)),IF($D17="MM",100*ABS(($G17-(Data2010!M14-$H17)/$J17)),IF($D17="XX",ABS((100*$G17)-((Data2010!M14-$E17)*$F17)),"na")))</f>
        <v>25</v>
      </c>
      <c r="AC17" s="38">
        <f>IF($D17="WS",SUMPRODUCT(($C18:$C$35=$B17)*($Q18:$Q$35)*(AC18:AC$35)),IF($D17="MM",100*ABS(($G17-(Data2010!N14-$H17)/$J17)),IF($D17="XX",ABS((100*$G17)-((Data2010!N14-$E17)*$F17)),"na")))</f>
        <v>50</v>
      </c>
      <c r="AD17" s="38">
        <f>IF($D17="WS",SUMPRODUCT(($C18:$C$35=$B17)*($Q18:$Q$35)*(AD18:AD$35)),IF($D17="MM",100*ABS(($G17-(Data2010!O14-$H17)/$J17)),IF($D17="XX",ABS((100*$G17)-((Data2010!O14-$E17)*$F17)),"na")))</f>
        <v>50</v>
      </c>
      <c r="AE17" s="38">
        <f>IF($D17="WS",SUMPRODUCT(($C18:$C$35=$B17)*($Q18:$Q$35)*(AE18:AE$35)),IF($D17="MM",100*ABS(($G17-(Data2010!P14-$H17)/$J17)),IF($D17="XX",ABS((100*$G17)-((Data2010!P14-$E17)*$F17)),"na")))</f>
        <v>25</v>
      </c>
      <c r="AF17" s="38">
        <f>IF($D17="WS",SUMPRODUCT(($C18:$C$35=$B17)*($Q18:$Q$35)*(AF18:AF$35)),IF($D17="MM",100*ABS(($G17-(Data2010!Q14-$H17)/$J17)),IF($D17="XX",ABS((100*$G17)-((Data2010!Q14-$E17)*$F17)),"na")))</f>
        <v>0</v>
      </c>
      <c r="AG17" s="38">
        <f>IF($D17="WS",SUMPRODUCT(($C18:$C$35=$B17)*($Q18:$Q$35)*(AG18:AG$35)),IF($D17="MM",100*ABS(($G17-(Data2010!R14-$H17)/$J17)),IF($D17="XX",ABS((100*$G17)-((Data2010!R14-$E17)*$F17)),"na")))</f>
        <v>25</v>
      </c>
      <c r="AH17" s="38">
        <f>IF($D17="WS",SUMPRODUCT(($C18:$C$35=$B17)*($Q18:$Q$35)*(AH18:AH$35)),IF($D17="MM",100*ABS(($G17-(Data2010!S14-$H17)/$J17)),IF($D17="XX",ABS((100*$G17)-((Data2010!S14-$E17)*$F17)),"na")))</f>
        <v>50</v>
      </c>
      <c r="AI17" s="38">
        <f>IF($D17="WS",SUMPRODUCT(($C18:$C$35=$B17)*($Q18:$Q$35)*(AI18:AI$35)),IF($D17="MM",100*ABS(($G17-(Data2010!T14-$H17)/$J17)),IF($D17="XX",ABS((100*$G17)-((Data2010!T14-$E17)*$F17)),"na")))</f>
        <v>25</v>
      </c>
      <c r="AJ17" s="38">
        <f>IF($D17="WS",SUMPRODUCT(($C18:$C$35=$B17)*($Q18:$Q$35)*(AJ18:AJ$35)),IF($D17="MM",100*ABS(($G17-(Data2010!U14-$H17)/$J17)),IF($D17="XX",ABS((100*$G17)-((Data2010!U14-$E17)*$F17)),"na")))</f>
        <v>50</v>
      </c>
      <c r="AK17" s="38">
        <f>IF($D17="WS",SUMPRODUCT(($C18:$C$35=$B17)*($Q18:$Q$35)*(AK18:AK$35)),IF($D17="MM",100*ABS(($G17-(Data2010!V14-$H17)/$J17)),IF($D17="XX",ABS((100*$G17)-((Data2010!V14-$E17)*$F17)),"na")))</f>
        <v>0</v>
      </c>
    </row>
    <row r="18" spans="2:37">
      <c r="B18" t="str">
        <f>tblIndicators!A13</f>
        <v>OPER02</v>
      </c>
      <c r="C18" t="str">
        <f>tblIndicators!B13</f>
        <v>OPER</v>
      </c>
      <c r="D18" t="str">
        <f>tblIndicators!D13</f>
        <v>XX</v>
      </c>
      <c r="E18">
        <f>tblIndicators!E13</f>
        <v>0</v>
      </c>
      <c r="F18">
        <f>tblIndicators!F13</f>
        <v>25</v>
      </c>
      <c r="G18">
        <f>tblIndicators!G13</f>
        <v>0</v>
      </c>
      <c r="H18">
        <f>MIN(Data2010!D15:V15)</f>
        <v>0</v>
      </c>
      <c r="I18">
        <f>MAX(Data2010!D15:V15)</f>
        <v>4</v>
      </c>
      <c r="J18" s="22">
        <f t="shared" si="0"/>
        <v>4</v>
      </c>
      <c r="K18">
        <f>MATCH(B18,Weights!C$4:C$36,0)</f>
        <v>19</v>
      </c>
      <c r="L18" s="95">
        <f>tblIndicators!S13</f>
        <v>1</v>
      </c>
      <c r="M18" s="178">
        <f>L18*INDEX(Weights!G$4:G$36,K18)</f>
        <v>1</v>
      </c>
      <c r="N18" s="36">
        <f t="shared" si="1"/>
        <v>0.125</v>
      </c>
      <c r="P18" t="str">
        <f>tblIndicators!Q13</f>
        <v xml:space="preserve">   Methods and criteria for awarding projects </v>
      </c>
      <c r="Q18" s="103">
        <f t="shared" si="2"/>
        <v>0.125</v>
      </c>
      <c r="S18" s="38">
        <f>IF($D18="WS",SUMPRODUCT(($C19:$C$35=$B18)*($Q19:$Q$35)*(S19:S$35)),IF($D18="MM",100*ABS(($G18-(Data2010!D15-$H18)/$J18)),IF($D18="XX",ABS((100*$G18)-((Data2010!D15-$E18)*$F18)),"na")))</f>
        <v>0</v>
      </c>
      <c r="T18" s="38">
        <f>IF($D18="WS",SUMPRODUCT(($C19:$C$35=$B18)*($Q19:$Q$35)*(T19:T$35)),IF($D18="MM",100*ABS(($G18-(Data2010!E15-$H18)/$J18)),IF($D18="XX",ABS((100*$G18)-((Data2010!E15-$E18)*$F18)),"na")))</f>
        <v>75</v>
      </c>
      <c r="U18" s="38">
        <f>IF($D18="WS",SUMPRODUCT(($C19:$C$35=$B18)*($Q19:$Q$35)*(U19:U$35)),IF($D18="MM",100*ABS(($G18-(Data2010!F15-$H18)/$J18)),IF($D18="XX",ABS((100*$G18)-((Data2010!F15-$E18)*$F18)),"na")))</f>
        <v>100</v>
      </c>
      <c r="V18" s="38">
        <f>IF($D18="WS",SUMPRODUCT(($C19:$C$35=$B18)*($Q19:$Q$35)*(V19:V$35)),IF($D18="MM",100*ABS(($G18-(Data2010!G15-$H18)/$J18)),IF($D18="XX",ABS((100*$G18)-((Data2010!G15-$E18)*$F18)),"na")))</f>
        <v>50</v>
      </c>
      <c r="W18" s="38">
        <f>IF($D18="WS",SUMPRODUCT(($C19:$C$35=$B18)*($Q19:$Q$35)*(W19:W$35)),IF($D18="MM",100*ABS(($G18-(Data2010!H15-$H18)/$J18)),IF($D18="XX",ABS((100*$G18)-((Data2010!H15-$E18)*$F18)),"na")))</f>
        <v>50</v>
      </c>
      <c r="X18" s="38">
        <f>IF($D18="WS",SUMPRODUCT(($C19:$C$35=$B18)*($Q19:$Q$35)*(X19:X$35)),IF($D18="MM",100*ABS(($G18-(Data2010!I15-$H18)/$J18)),IF($D18="XX",ABS((100*$G18)-((Data2010!I15-$E18)*$F18)),"na")))</f>
        <v>0</v>
      </c>
      <c r="Y18" s="38">
        <f>IF($D18="WS",SUMPRODUCT(($C19:$C$35=$B18)*($Q19:$Q$35)*(Y19:Y$35)),IF($D18="MM",100*ABS(($G18-(Data2010!J15-$H18)/$J18)),IF($D18="XX",ABS((100*$G18)-((Data2010!J15-$E18)*$F18)),"na")))</f>
        <v>0</v>
      </c>
      <c r="Z18" s="38">
        <f>IF($D18="WS",SUMPRODUCT(($C19:$C$35=$B18)*($Q19:$Q$35)*(Z19:Z$35)),IF($D18="MM",100*ABS(($G18-(Data2010!K15-$H18)/$J18)),IF($D18="XX",ABS((100*$G18)-((Data2010!K15-$E18)*$F18)),"na")))</f>
        <v>25</v>
      </c>
      <c r="AA18" s="38">
        <f>IF($D18="WS",SUMPRODUCT(($C19:$C$35=$B18)*($Q19:$Q$35)*(AA19:AA$35)),IF($D18="MM",100*ABS(($G18-(Data2010!L15-$H18)/$J18)),IF($D18="XX",ABS((100*$G18)-((Data2010!L15-$E18)*$F18)),"na")))</f>
        <v>25</v>
      </c>
      <c r="AB18" s="38">
        <f>IF($D18="WS",SUMPRODUCT(($C19:$C$35=$B18)*($Q19:$Q$35)*(AB19:AB$35)),IF($D18="MM",100*ABS(($G18-(Data2010!M15-$H18)/$J18)),IF($D18="XX",ABS((100*$G18)-((Data2010!M15-$E18)*$F18)),"na")))</f>
        <v>0</v>
      </c>
      <c r="AC18" s="38">
        <f>IF($D18="WS",SUMPRODUCT(($C19:$C$35=$B18)*($Q19:$Q$35)*(AC19:AC$35)),IF($D18="MM",100*ABS(($G18-(Data2010!N15-$H18)/$J18)),IF($D18="XX",ABS((100*$G18)-((Data2010!N15-$E18)*$F18)),"na")))</f>
        <v>25</v>
      </c>
      <c r="AD18" s="38">
        <f>IF($D18="WS",SUMPRODUCT(($C19:$C$35=$B18)*($Q19:$Q$35)*(AD19:AD$35)),IF($D18="MM",100*ABS(($G18-(Data2010!O15-$H18)/$J18)),IF($D18="XX",ABS((100*$G18)-((Data2010!O15-$E18)*$F18)),"na")))</f>
        <v>50</v>
      </c>
      <c r="AE18" s="38">
        <f>IF($D18="WS",SUMPRODUCT(($C19:$C$35=$B18)*($Q19:$Q$35)*(AE19:AE$35)),IF($D18="MM",100*ABS(($G18-(Data2010!P15-$H18)/$J18)),IF($D18="XX",ABS((100*$G18)-((Data2010!P15-$E18)*$F18)),"na")))</f>
        <v>0</v>
      </c>
      <c r="AF18" s="38">
        <f>IF($D18="WS",SUMPRODUCT(($C19:$C$35=$B18)*($Q19:$Q$35)*(AF19:AF$35)),IF($D18="MM",100*ABS(($G18-(Data2010!Q15-$H18)/$J18)),IF($D18="XX",ABS((100*$G18)-((Data2010!Q15-$E18)*$F18)),"na")))</f>
        <v>25</v>
      </c>
      <c r="AG18" s="38">
        <f>IF($D18="WS",SUMPRODUCT(($C19:$C$35=$B18)*($Q19:$Q$35)*(AG19:AG$35)),IF($D18="MM",100*ABS(($G18-(Data2010!R15-$H18)/$J18)),IF($D18="XX",ABS((100*$G18)-((Data2010!R15-$E18)*$F18)),"na")))</f>
        <v>25</v>
      </c>
      <c r="AH18" s="38">
        <f>IF($D18="WS",SUMPRODUCT(($C19:$C$35=$B18)*($Q19:$Q$35)*(AH19:AH$35)),IF($D18="MM",100*ABS(($G18-(Data2010!S15-$H18)/$J18)),IF($D18="XX",ABS((100*$G18)-((Data2010!S15-$E18)*$F18)),"na")))</f>
        <v>75</v>
      </c>
      <c r="AI18" s="38">
        <f>IF($D18="WS",SUMPRODUCT(($C19:$C$35=$B18)*($Q19:$Q$35)*(AI19:AI$35)),IF($D18="MM",100*ABS(($G18-(Data2010!T15-$H18)/$J18)),IF($D18="XX",ABS((100*$G18)-((Data2010!T15-$E18)*$F18)),"na")))</f>
        <v>25</v>
      </c>
      <c r="AJ18" s="38">
        <f>IF($D18="WS",SUMPRODUCT(($C19:$C$35=$B18)*($Q19:$Q$35)*(AJ19:AJ$35)),IF($D18="MM",100*ABS(($G18-(Data2010!U15-$H18)/$J18)),IF($D18="XX",ABS((100*$G18)-((Data2010!U15-$E18)*$F18)),"na")))</f>
        <v>25</v>
      </c>
      <c r="AK18" s="38">
        <f>IF($D18="WS",SUMPRODUCT(($C19:$C$35=$B18)*($Q19:$Q$35)*(AK19:AK$35)),IF($D18="MM",100*ABS(($G18-(Data2010!V15-$H18)/$J18)),IF($D18="XX",ABS((100*$G18)-((Data2010!V15-$E18)*$F18)),"na")))</f>
        <v>0</v>
      </c>
    </row>
    <row r="19" spans="2:37">
      <c r="B19" t="str">
        <f>tblIndicators!A14</f>
        <v>OPER03</v>
      </c>
      <c r="C19" t="str">
        <f>tblIndicators!B14</f>
        <v>OPER</v>
      </c>
      <c r="D19" t="str">
        <f>tblIndicators!D14</f>
        <v>XX</v>
      </c>
      <c r="E19">
        <f>tblIndicators!E14</f>
        <v>0</v>
      </c>
      <c r="F19">
        <f>tblIndicators!F14</f>
        <v>25</v>
      </c>
      <c r="G19">
        <f>tblIndicators!G14</f>
        <v>0</v>
      </c>
      <c r="H19">
        <f>MIN(Data2010!D16:V16)</f>
        <v>0</v>
      </c>
      <c r="I19">
        <f>MAX(Data2010!D16:V16)</f>
        <v>3</v>
      </c>
      <c r="J19" s="22">
        <f t="shared" si="0"/>
        <v>3</v>
      </c>
      <c r="K19">
        <f>MATCH(B19,Weights!C$4:C$36,0)</f>
        <v>20</v>
      </c>
      <c r="L19" s="95">
        <f>tblIndicators!S14</f>
        <v>1</v>
      </c>
      <c r="M19" s="178">
        <f>L19*INDEX(Weights!G$4:G$36,K19)</f>
        <v>1</v>
      </c>
      <c r="N19" s="36">
        <f t="shared" si="1"/>
        <v>0.125</v>
      </c>
      <c r="P19" t="str">
        <f>tblIndicators!Q14</f>
        <v xml:space="preserve">   Regulators' risk allocation record</v>
      </c>
      <c r="Q19" s="103">
        <f t="shared" si="2"/>
        <v>0.125</v>
      </c>
      <c r="S19" s="38">
        <f>IF($D19="WS",SUMPRODUCT(($C20:$C$35=$B19)*($Q20:$Q$35)*(S20:S$35)),IF($D19="MM",100*ABS(($G19-(Data2010!D16-$H19)/$J19)),IF($D19="XX",ABS((100*$G19)-((Data2010!D16-$E19)*$F19)),"na")))</f>
        <v>0</v>
      </c>
      <c r="T19" s="38">
        <f>IF($D19="WS",SUMPRODUCT(($C20:$C$35=$B19)*($Q20:$Q$35)*(T20:T$35)),IF($D19="MM",100*ABS(($G19-(Data2010!E16-$H19)/$J19)),IF($D19="XX",ABS((100*$G19)-((Data2010!E16-$E19)*$F19)),"na")))</f>
        <v>75</v>
      </c>
      <c r="U19" s="38">
        <f>IF($D19="WS",SUMPRODUCT(($C20:$C$35=$B19)*($Q20:$Q$35)*(U20:U$35)),IF($D19="MM",100*ABS(($G19-(Data2010!F16-$H19)/$J19)),IF($D19="XX",ABS((100*$G19)-((Data2010!F16-$E19)*$F19)),"na")))</f>
        <v>75</v>
      </c>
      <c r="V19" s="38">
        <f>IF($D19="WS",SUMPRODUCT(($C20:$C$35=$B19)*($Q20:$Q$35)*(V20:V$35)),IF($D19="MM",100*ABS(($G19-(Data2010!G16-$H19)/$J19)),IF($D19="XX",ABS((100*$G19)-((Data2010!G16-$E19)*$F19)),"na")))</f>
        <v>25</v>
      </c>
      <c r="W19" s="38">
        <f>IF($D19="WS",SUMPRODUCT(($C20:$C$35=$B19)*($Q20:$Q$35)*(W20:W$35)),IF($D19="MM",100*ABS(($G19-(Data2010!H16-$H19)/$J19)),IF($D19="XX",ABS((100*$G19)-((Data2010!H16-$E19)*$F19)),"na")))</f>
        <v>25</v>
      </c>
      <c r="X19" s="38">
        <f>IF($D19="WS",SUMPRODUCT(($C20:$C$35=$B19)*($Q20:$Q$35)*(X20:X$35)),IF($D19="MM",100*ABS(($G19-(Data2010!I16-$H19)/$J19)),IF($D19="XX",ABS((100*$G19)-((Data2010!I16-$E19)*$F19)),"na")))</f>
        <v>0</v>
      </c>
      <c r="Y19" s="38">
        <f>IF($D19="WS",SUMPRODUCT(($C20:$C$35=$B19)*($Q20:$Q$35)*(Y20:Y$35)),IF($D19="MM",100*ABS(($G19-(Data2010!J16-$H19)/$J19)),IF($D19="XX",ABS((100*$G19)-((Data2010!J16-$E19)*$F19)),"na")))</f>
        <v>0</v>
      </c>
      <c r="Z19" s="38">
        <f>IF($D19="WS",SUMPRODUCT(($C20:$C$35=$B19)*($Q20:$Q$35)*(Z20:Z$35)),IF($D19="MM",100*ABS(($G19-(Data2010!K16-$H19)/$J19)),IF($D19="XX",ABS((100*$G19)-((Data2010!K16-$E19)*$F19)),"na")))</f>
        <v>25</v>
      </c>
      <c r="AA19" s="38">
        <f>IF($D19="WS",SUMPRODUCT(($C20:$C$35=$B19)*($Q20:$Q$35)*(AA20:AA$35)),IF($D19="MM",100*ABS(($G19-(Data2010!L16-$H19)/$J19)),IF($D19="XX",ABS((100*$G19)-((Data2010!L16-$E19)*$F19)),"na")))</f>
        <v>50</v>
      </c>
      <c r="AB19" s="38">
        <f>IF($D19="WS",SUMPRODUCT(($C20:$C$35=$B19)*($Q20:$Q$35)*(AB20:AB$35)),IF($D19="MM",100*ABS(($G19-(Data2010!M16-$H19)/$J19)),IF($D19="XX",ABS((100*$G19)-((Data2010!M16-$E19)*$F19)),"na")))</f>
        <v>25</v>
      </c>
      <c r="AC19" s="38">
        <f>IF($D19="WS",SUMPRODUCT(($C20:$C$35=$B19)*($Q20:$Q$35)*(AC20:AC$35)),IF($D19="MM",100*ABS(($G19-(Data2010!N16-$H19)/$J19)),IF($D19="XX",ABS((100*$G19)-((Data2010!N16-$E19)*$F19)),"na")))</f>
        <v>25</v>
      </c>
      <c r="AD19" s="38">
        <f>IF($D19="WS",SUMPRODUCT(($C20:$C$35=$B19)*($Q20:$Q$35)*(AD20:AD$35)),IF($D19="MM",100*ABS(($G19-(Data2010!O16-$H19)/$J19)),IF($D19="XX",ABS((100*$G19)-((Data2010!O16-$E19)*$F19)),"na")))</f>
        <v>50</v>
      </c>
      <c r="AE19" s="38">
        <f>IF($D19="WS",SUMPRODUCT(($C20:$C$35=$B19)*($Q20:$Q$35)*(AE20:AE$35)),IF($D19="MM",100*ABS(($G19-(Data2010!P16-$H19)/$J19)),IF($D19="XX",ABS((100*$G19)-((Data2010!P16-$E19)*$F19)),"na")))</f>
        <v>0</v>
      </c>
      <c r="AF19" s="38">
        <f>IF($D19="WS",SUMPRODUCT(($C20:$C$35=$B19)*($Q20:$Q$35)*(AF20:AF$35)),IF($D19="MM",100*ABS(($G19-(Data2010!Q16-$H19)/$J19)),IF($D19="XX",ABS((100*$G19)-((Data2010!Q16-$E19)*$F19)),"na")))</f>
        <v>25</v>
      </c>
      <c r="AG19" s="38">
        <f>IF($D19="WS",SUMPRODUCT(($C20:$C$35=$B19)*($Q20:$Q$35)*(AG20:AG$35)),IF($D19="MM",100*ABS(($G19-(Data2010!R16-$H19)/$J19)),IF($D19="XX",ABS((100*$G19)-((Data2010!R16-$E19)*$F19)),"na")))</f>
        <v>0</v>
      </c>
      <c r="AH19" s="38">
        <f>IF($D19="WS",SUMPRODUCT(($C20:$C$35=$B19)*($Q20:$Q$35)*(AH20:AH$35)),IF($D19="MM",100*ABS(($G19-(Data2010!S16-$H19)/$J19)),IF($D19="XX",ABS((100*$G19)-((Data2010!S16-$E19)*$F19)),"na")))</f>
        <v>75</v>
      </c>
      <c r="AI19" s="38">
        <f>IF($D19="WS",SUMPRODUCT(($C20:$C$35=$B19)*($Q20:$Q$35)*(AI20:AI$35)),IF($D19="MM",100*ABS(($G19-(Data2010!T16-$H19)/$J19)),IF($D19="XX",ABS((100*$G19)-((Data2010!T16-$E19)*$F19)),"na")))</f>
        <v>0</v>
      </c>
      <c r="AJ19" s="38">
        <f>IF($D19="WS",SUMPRODUCT(($C20:$C$35=$B19)*($Q20:$Q$35)*(AJ20:AJ$35)),IF($D19="MM",100*ABS(($G19-(Data2010!U16-$H19)/$J19)),IF($D19="XX",ABS((100*$G19)-((Data2010!U16-$E19)*$F19)),"na")))</f>
        <v>25</v>
      </c>
      <c r="AK19" s="38">
        <f>IF($D19="WS",SUMPRODUCT(($C20:$C$35=$B19)*($Q20:$Q$35)*(AK20:AK$35)),IF($D19="MM",100*ABS(($G19-(Data2010!V16-$H19)/$J19)),IF($D19="XX",ABS((100*$G19)-((Data2010!V16-$E19)*$F19)),"na")))</f>
        <v>0</v>
      </c>
    </row>
    <row r="20" spans="2:37">
      <c r="B20" t="str">
        <f>tblIndicators!A15</f>
        <v>OPER04</v>
      </c>
      <c r="C20" t="str">
        <f>tblIndicators!B15</f>
        <v>OPER</v>
      </c>
      <c r="D20" t="str">
        <f>tblIndicators!D15</f>
        <v>MM</v>
      </c>
      <c r="E20">
        <f>tblIndicators!E15</f>
        <v>0</v>
      </c>
      <c r="F20">
        <f>tblIndicators!F15</f>
        <v>1</v>
      </c>
      <c r="G20">
        <f>tblIndicators!G15</f>
        <v>0</v>
      </c>
      <c r="H20">
        <f>MIN(Data2010!D17:V17)</f>
        <v>0</v>
      </c>
      <c r="I20">
        <f>MAX(Data2010!D17:V17)</f>
        <v>168</v>
      </c>
      <c r="J20" s="22">
        <f t="shared" si="0"/>
        <v>168</v>
      </c>
      <c r="K20">
        <f>MATCH(B20,Weights!C$4:C$36,0)</f>
        <v>21</v>
      </c>
      <c r="L20" s="95">
        <f>tblIndicators!S15</f>
        <v>1</v>
      </c>
      <c r="M20" s="178">
        <f>L20*INDEX(Weights!G$4:G$36,K20)</f>
        <v>2</v>
      </c>
      <c r="N20" s="36">
        <f t="shared" si="1"/>
        <v>0.25</v>
      </c>
      <c r="P20" t="str">
        <f>tblIndicators!Q15</f>
        <v xml:space="preserve">   Experience in PPP projects (concessions)</v>
      </c>
      <c r="Q20" s="103">
        <f t="shared" si="2"/>
        <v>0.25</v>
      </c>
      <c r="S20" s="38">
        <f>IF($D20="WS",SUMPRODUCT(($C21:$C$35=$B20)*($Q21:$Q$35)*(S21:S$35)),IF($D20="MM",100*ABS(($G20-(Data2010!D17-$H20)/$J20)),IF($D20="XX",ABS((100*$G20)-((Data2010!D17-$E20)*$F20)),"na")))</f>
        <v>16.666666666666664</v>
      </c>
      <c r="T20" s="38">
        <f>IF($D20="WS",SUMPRODUCT(($C21:$C$35=$B20)*($Q21:$Q$35)*(T21:T$35)),IF($D20="MM",100*ABS(($G20-(Data2010!E17-$H20)/$J20)),IF($D20="XX",ABS((100*$G20)-((Data2010!E17-$E20)*$F20)),"na")))</f>
        <v>100</v>
      </c>
      <c r="U20" s="38">
        <f>IF($D20="WS",SUMPRODUCT(($C21:$C$35=$B20)*($Q21:$Q$35)*(U21:U$35)),IF($D20="MM",100*ABS(($G20-(Data2010!F17-$H20)/$J20)),IF($D20="XX",ABS((100*$G20)-((Data2010!F17-$E20)*$F20)),"na")))</f>
        <v>26.190476190476193</v>
      </c>
      <c r="V20" s="38">
        <f>IF($D20="WS",SUMPRODUCT(($C21:$C$35=$B20)*($Q21:$Q$35)*(V21:V$35)),IF($D20="MM",100*ABS(($G20-(Data2010!G17-$H20)/$J20)),IF($D20="XX",ABS((100*$G20)-((Data2010!G17-$E20)*$F20)),"na")))</f>
        <v>24.404761904761905</v>
      </c>
      <c r="W20" s="38">
        <f>IF($D20="WS",SUMPRODUCT(($C21:$C$35=$B20)*($Q21:$Q$35)*(W21:W$35)),IF($D20="MM",100*ABS(($G20-(Data2010!H17-$H20)/$J20)),IF($D20="XX",ABS((100*$G20)-((Data2010!H17-$E20)*$F20)),"na")))</f>
        <v>5.9523809523809517</v>
      </c>
      <c r="X20" s="38">
        <f>IF($D20="WS",SUMPRODUCT(($C21:$C$35=$B20)*($Q21:$Q$35)*(X21:X$35)),IF($D20="MM",100*ABS(($G20-(Data2010!I17-$H20)/$J20)),IF($D20="XX",ABS((100*$G20)-((Data2010!I17-$E20)*$F20)),"na")))</f>
        <v>5.9523809523809517</v>
      </c>
      <c r="Y20" s="38">
        <f>IF($D20="WS",SUMPRODUCT(($C21:$C$35=$B20)*($Q21:$Q$35)*(Y21:Y$35)),IF($D20="MM",100*ABS(($G20-(Data2010!J17-$H20)/$J20)),IF($D20="XX",ABS((100*$G20)-((Data2010!J17-$E20)*$F20)),"na")))</f>
        <v>7.1428571428571423</v>
      </c>
      <c r="Z20" s="38">
        <f>IF($D20="WS",SUMPRODUCT(($C21:$C$35=$B20)*($Q21:$Q$35)*(Z21:Z$35)),IF($D20="MM",100*ABS(($G20-(Data2010!K17-$H20)/$J20)),IF($D20="XX",ABS((100*$G20)-((Data2010!K17-$E20)*$F20)),"na")))</f>
        <v>0.59523809523809523</v>
      </c>
      <c r="AA20" s="38">
        <f>IF($D20="WS",SUMPRODUCT(($C21:$C$35=$B20)*($Q21:$Q$35)*(AA21:AA$35)),IF($D20="MM",100*ABS(($G20-(Data2010!L17-$H20)/$J20)),IF($D20="XX",ABS((100*$G20)-((Data2010!L17-$E20)*$F20)),"na")))</f>
        <v>4.1666666666666661</v>
      </c>
      <c r="AB20" s="38">
        <f>IF($D20="WS",SUMPRODUCT(($C21:$C$35=$B20)*($Q21:$Q$35)*(AB21:AB$35)),IF($D20="MM",100*ABS(($G20-(Data2010!M17-$H20)/$J20)),IF($D20="XX",ABS((100*$G20)-((Data2010!M17-$E20)*$F20)),"na")))</f>
        <v>2.9761904761904758</v>
      </c>
      <c r="AC20" s="38">
        <f>IF($D20="WS",SUMPRODUCT(($C21:$C$35=$B20)*($Q21:$Q$35)*(AC21:AC$35)),IF($D20="MM",100*ABS(($G20-(Data2010!N17-$H20)/$J20)),IF($D20="XX",ABS((100*$G20)-((Data2010!N17-$E20)*$F20)),"na")))</f>
        <v>1.1904761904761905</v>
      </c>
      <c r="AD20" s="38">
        <f>IF($D20="WS",SUMPRODUCT(($C21:$C$35=$B20)*($Q21:$Q$35)*(AD21:AD$35)),IF($D20="MM",100*ABS(($G20-(Data2010!O17-$H20)/$J20)),IF($D20="XX",ABS((100*$G20)-((Data2010!O17-$E20)*$F20)),"na")))</f>
        <v>41.071428571428569</v>
      </c>
      <c r="AE20" s="38">
        <f>IF($D20="WS",SUMPRODUCT(($C21:$C$35=$B20)*($Q21:$Q$35)*(AE21:AE$35)),IF($D20="MM",100*ABS(($G20-(Data2010!P17-$H20)/$J20)),IF($D20="XX",ABS((100*$G20)-((Data2010!P17-$E20)*$F20)),"na")))</f>
        <v>2.3809523809523809</v>
      </c>
      <c r="AF20" s="38">
        <f>IF($D20="WS",SUMPRODUCT(($C21:$C$35=$B20)*($Q21:$Q$35)*(AF21:AF$35)),IF($D20="MM",100*ABS(($G20-(Data2010!Q17-$H20)/$J20)),IF($D20="XX",ABS((100*$G20)-((Data2010!Q17-$E20)*$F20)),"na")))</f>
        <v>2.3809523809523809</v>
      </c>
      <c r="AG20" s="38">
        <f>IF($D20="WS",SUMPRODUCT(($C21:$C$35=$B20)*($Q21:$Q$35)*(AG21:AG$35)),IF($D20="MM",100*ABS(($G20-(Data2010!R17-$H20)/$J20)),IF($D20="XX",ABS((100*$G20)-((Data2010!R17-$E20)*$F20)),"na")))</f>
        <v>0</v>
      </c>
      <c r="AH20" s="38">
        <f>IF($D20="WS",SUMPRODUCT(($C21:$C$35=$B20)*($Q21:$Q$35)*(AH21:AH$35)),IF($D20="MM",100*ABS(($G20-(Data2010!S17-$H20)/$J20)),IF($D20="XX",ABS((100*$G20)-((Data2010!S17-$E20)*$F20)),"na")))</f>
        <v>14.285714285714285</v>
      </c>
      <c r="AI20" s="38">
        <f>IF($D20="WS",SUMPRODUCT(($C21:$C$35=$B20)*($Q21:$Q$35)*(AI21:AI$35)),IF($D20="MM",100*ABS(($G20-(Data2010!T17-$H20)/$J20)),IF($D20="XX",ABS((100*$G20)-((Data2010!T17-$E20)*$F20)),"na")))</f>
        <v>0.59523809523809523</v>
      </c>
      <c r="AJ20" s="38">
        <f>IF($D20="WS",SUMPRODUCT(($C21:$C$35=$B20)*($Q21:$Q$35)*(AJ21:AJ$35)),IF($D20="MM",100*ABS(($G20-(Data2010!U17-$H20)/$J20)),IF($D20="XX",ABS((100*$G20)-((Data2010!U17-$E20)*$F20)),"na")))</f>
        <v>2.3809523809523809</v>
      </c>
      <c r="AK20" s="38">
        <f>IF($D20="WS",SUMPRODUCT(($C21:$C$35=$B20)*($Q21:$Q$35)*(AK21:AK$35)),IF($D20="MM",100*ABS(($G20-(Data2010!V17-$H20)/$J20)),IF($D20="XX",ABS((100*$G20)-((Data2010!V17-$E20)*$F20)),"na")))</f>
        <v>2.3809523809523809</v>
      </c>
    </row>
    <row r="21" spans="2:37">
      <c r="B21" t="str">
        <f>tblIndicators!A16</f>
        <v>OPER05</v>
      </c>
      <c r="C21" t="str">
        <f>tblIndicators!B16</f>
        <v>OPER</v>
      </c>
      <c r="D21" t="str">
        <f>tblIndicators!D16</f>
        <v>MM</v>
      </c>
      <c r="E21">
        <f>tblIndicators!E16</f>
        <v>0</v>
      </c>
      <c r="F21">
        <f>tblIndicators!F16</f>
        <v>25</v>
      </c>
      <c r="G21">
        <f>tblIndicators!G16</f>
        <v>0</v>
      </c>
      <c r="H21">
        <f>MIN(Data2010!D18:V18)</f>
        <v>0</v>
      </c>
      <c r="I21">
        <f>MAX(Data2010!D18:V18)</f>
        <v>4</v>
      </c>
      <c r="J21" s="22">
        <f t="shared" si="0"/>
        <v>4</v>
      </c>
      <c r="K21">
        <f>MATCH(B21,Weights!C$4:C$36,0)</f>
        <v>22</v>
      </c>
      <c r="L21" s="95">
        <f>tblIndicators!S16</f>
        <v>1</v>
      </c>
      <c r="M21" s="178">
        <f>L21*INDEX(Weights!G$4:G$36,K21)</f>
        <v>2</v>
      </c>
      <c r="N21" s="36">
        <f t="shared" si="1"/>
        <v>0.25</v>
      </c>
      <c r="P21" t="str">
        <f>tblIndicators!Q16</f>
        <v xml:space="preserve">   Quality of PPP projects (concessions)</v>
      </c>
      <c r="Q21" s="103">
        <f t="shared" si="2"/>
        <v>0.25</v>
      </c>
      <c r="S21" s="38">
        <f>IF($D21="WS",SUMPRODUCT(($C22:$C$35=$B21)*($Q22:$Q$35)*(S22:S$35)),IF($D21="MM",100*ABS(($G21-(Data2010!D18-$H21)/$J21)),IF($D21="XX",ABS((100*$G21)-((Data2010!D18-$E21)*$F21)),"na")))</f>
        <v>25</v>
      </c>
      <c r="T21" s="38">
        <f>IF($D21="WS",SUMPRODUCT(($C22:$C$35=$B21)*($Q22:$Q$35)*(T22:T$35)),IF($D21="MM",100*ABS(($G21-(Data2010!E18-$H21)/$J21)),IF($D21="XX",ABS((100*$G21)-((Data2010!E18-$E21)*$F21)),"na")))</f>
        <v>100</v>
      </c>
      <c r="U21" s="38">
        <f>IF($D21="WS",SUMPRODUCT(($C22:$C$35=$B21)*($Q22:$Q$35)*(U22:U$35)),IF($D21="MM",100*ABS(($G21-(Data2010!F18-$H21)/$J21)),IF($D21="XX",ABS((100*$G21)-((Data2010!F18-$E21)*$F21)),"na")))</f>
        <v>100</v>
      </c>
      <c r="V21" s="38">
        <f>IF($D21="WS",SUMPRODUCT(($C22:$C$35=$B21)*($Q22:$Q$35)*(V22:V$35)),IF($D21="MM",100*ABS(($G21-(Data2010!G18-$H21)/$J21)),IF($D21="XX",ABS((100*$G21)-((Data2010!G18-$E21)*$F21)),"na")))</f>
        <v>75</v>
      </c>
      <c r="W21" s="38">
        <f>IF($D21="WS",SUMPRODUCT(($C22:$C$35=$B21)*($Q22:$Q$35)*(W22:W$35)),IF($D21="MM",100*ABS(($G21-(Data2010!H18-$H21)/$J21)),IF($D21="XX",ABS((100*$G21)-((Data2010!H18-$E21)*$F21)),"na")))</f>
        <v>100</v>
      </c>
      <c r="X21" s="38">
        <f>IF($D21="WS",SUMPRODUCT(($C22:$C$35=$B21)*($Q22:$Q$35)*(X22:X$35)),IF($D21="MM",100*ABS(($G21-(Data2010!I18-$H21)/$J21)),IF($D21="XX",ABS((100*$G21)-((Data2010!I18-$E21)*$F21)),"na")))</f>
        <v>50</v>
      </c>
      <c r="Y21" s="38">
        <f>IF($D21="WS",SUMPRODUCT(($C22:$C$35=$B21)*($Q22:$Q$35)*(Y22:Y$35)),IF($D21="MM",100*ABS(($G21-(Data2010!J18-$H21)/$J21)),IF($D21="XX",ABS((100*$G21)-((Data2010!J18-$E21)*$F21)),"na")))</f>
        <v>100</v>
      </c>
      <c r="Z21" s="38">
        <f>IF($D21="WS",SUMPRODUCT(($C22:$C$35=$B21)*($Q22:$Q$35)*(Z22:Z$35)),IF($D21="MM",100*ABS(($G21-(Data2010!K18-$H21)/$J21)),IF($D21="XX",ABS((100*$G21)-((Data2010!K18-$E21)*$F21)),"na")))</f>
        <v>25</v>
      </c>
      <c r="AA21" s="38">
        <f>IF($D21="WS",SUMPRODUCT(($C22:$C$35=$B21)*($Q22:$Q$35)*(AA22:AA$35)),IF($D21="MM",100*ABS(($G21-(Data2010!L18-$H21)/$J21)),IF($D21="XX",ABS((100*$G21)-((Data2010!L18-$E21)*$F21)),"na")))</f>
        <v>100</v>
      </c>
      <c r="AB21" s="38">
        <f>IF($D21="WS",SUMPRODUCT(($C22:$C$35=$B21)*($Q22:$Q$35)*(AB22:AB$35)),IF($D21="MM",100*ABS(($G21-(Data2010!M18-$H21)/$J21)),IF($D21="XX",ABS((100*$G21)-((Data2010!M18-$E21)*$F21)),"na")))</f>
        <v>100</v>
      </c>
      <c r="AC21" s="38">
        <f>IF($D21="WS",SUMPRODUCT(($C22:$C$35=$B21)*($Q22:$Q$35)*(AC22:AC$35)),IF($D21="MM",100*ABS(($G21-(Data2010!N18-$H21)/$J21)),IF($D21="XX",ABS((100*$G21)-((Data2010!N18-$E21)*$F21)),"na")))</f>
        <v>25</v>
      </c>
      <c r="AD21" s="38">
        <f>IF($D21="WS",SUMPRODUCT(($C22:$C$35=$B21)*($Q22:$Q$35)*(AD22:AD$35)),IF($D21="MM",100*ABS(($G21-(Data2010!O18-$H21)/$J21)),IF($D21="XX",ABS((100*$G21)-((Data2010!O18-$E21)*$F21)),"na")))</f>
        <v>75</v>
      </c>
      <c r="AE21" s="38">
        <f>IF($D21="WS",SUMPRODUCT(($C22:$C$35=$B21)*($Q22:$Q$35)*(AE22:AE$35)),IF($D21="MM",100*ABS(($G21-(Data2010!P18-$H21)/$J21)),IF($D21="XX",ABS((100*$G21)-((Data2010!P18-$E21)*$F21)),"na")))</f>
        <v>25</v>
      </c>
      <c r="AF21" s="38">
        <f>IF($D21="WS",SUMPRODUCT(($C22:$C$35=$B21)*($Q22:$Q$35)*(AF22:AF$35)),IF($D21="MM",100*ABS(($G21-(Data2010!Q18-$H21)/$J21)),IF($D21="XX",ABS((100*$G21)-((Data2010!Q18-$E21)*$F21)),"na")))</f>
        <v>25</v>
      </c>
      <c r="AG21" s="38">
        <f>IF($D21="WS",SUMPRODUCT(($C22:$C$35=$B21)*($Q22:$Q$35)*(AG22:AG$35)),IF($D21="MM",100*ABS(($G21-(Data2010!R18-$H21)/$J21)),IF($D21="XX",ABS((100*$G21)-((Data2010!R18-$E21)*$F21)),"na")))</f>
        <v>25</v>
      </c>
      <c r="AH21" s="38">
        <f>IF($D21="WS",SUMPRODUCT(($C22:$C$35=$B21)*($Q22:$Q$35)*(AH22:AH$35)),IF($D21="MM",100*ABS(($G21-(Data2010!S18-$H21)/$J21)),IF($D21="XX",ABS((100*$G21)-((Data2010!S18-$E21)*$F21)),"na")))</f>
        <v>75</v>
      </c>
      <c r="AI21" s="38">
        <f>IF($D21="WS",SUMPRODUCT(($C22:$C$35=$B21)*($Q22:$Q$35)*(AI22:AI$35)),IF($D21="MM",100*ABS(($G21-(Data2010!T18-$H21)/$J21)),IF($D21="XX",ABS((100*$G21)-((Data2010!T18-$E21)*$F21)),"na")))</f>
        <v>0</v>
      </c>
      <c r="AJ21" s="38">
        <f>IF($D21="WS",SUMPRODUCT(($C22:$C$35=$B21)*($Q22:$Q$35)*(AJ22:AJ$35)),IF($D21="MM",100*ABS(($G21-(Data2010!U18-$H21)/$J21)),IF($D21="XX",ABS((100*$G21)-((Data2010!U18-$E21)*$F21)),"na")))</f>
        <v>0</v>
      </c>
      <c r="AK21" s="38">
        <f>IF($D21="WS",SUMPRODUCT(($C22:$C$35=$B21)*($Q22:$Q$35)*(AK22:AK$35)),IF($D21="MM",100*ABS(($G21-(Data2010!V18-$H21)/$J21)),IF($D21="XX",ABS((100*$G21)-((Data2010!V18-$E21)*$F21)),"na")))</f>
        <v>0</v>
      </c>
    </row>
    <row r="22" spans="2:37" s="95" customFormat="1">
      <c r="B22" s="95" t="str">
        <f>tblIndicators!A17</f>
        <v>INVT</v>
      </c>
      <c r="C22" s="95" t="str">
        <f>tblIndicators!B17</f>
        <v>TOTL</v>
      </c>
      <c r="D22" s="95" t="str">
        <f>tblIndicators!D17</f>
        <v>WS</v>
      </c>
      <c r="E22" s="95">
        <f>tblIndicators!E17</f>
        <v>0</v>
      </c>
      <c r="F22" s="95">
        <f>tblIndicators!F17</f>
        <v>0</v>
      </c>
      <c r="G22" s="95">
        <f>tblIndicators!G17</f>
        <v>0</v>
      </c>
      <c r="H22" s="95">
        <f>MIN(Data2010!D19:V19)</f>
        <v>0</v>
      </c>
      <c r="I22" s="95">
        <f>MAX(Data2010!D19:V19)</f>
        <v>0</v>
      </c>
      <c r="J22" s="96">
        <f t="shared" si="0"/>
        <v>0</v>
      </c>
      <c r="K22" s="95">
        <f>MATCH(B22,Weights!C$4:C$36,0)</f>
        <v>4</v>
      </c>
      <c r="L22" s="95">
        <f>tblIndicators!S17</f>
        <v>1</v>
      </c>
      <c r="M22" s="178">
        <f>L22*INDEX(Weights!G$4:G$36,K22)</f>
        <v>0.9</v>
      </c>
      <c r="N22" s="98">
        <f t="shared" si="1"/>
        <v>0.16666666666666666</v>
      </c>
      <c r="P22" s="95" t="str">
        <f>tblIndicators!Q17</f>
        <v>INVESTMENT CLIMATE</v>
      </c>
      <c r="Q22" s="102">
        <f t="shared" si="2"/>
        <v>0.16666666666666666</v>
      </c>
      <c r="S22" s="97">
        <f>IF($D22="WS",SUMPRODUCT(($C23:$C$35=$B22)*($Q23:$Q$35)*(S23:S$35)),IF($D22="MM",100*ABS(($G22-(Data2010!D19-$H22)/$J22)),IF($D22="XX",ABS((100*$G22)-((Data2010!D19-$E22)*$F22)),"na")))</f>
        <v>37.963324089601691</v>
      </c>
      <c r="T22" s="97">
        <f>IF($D22="WS",SUMPRODUCT(($C23:$C$35=$B22)*($Q23:$Q$35)*(T23:T$35)),IF($D22="MM",100*ABS(($G22-(Data2010!E19-$H22)/$J22)),IF($D22="XX",ABS((100*$G22)-((Data2010!E19-$E22)*$F22)),"na")))</f>
        <v>50.888509454200779</v>
      </c>
      <c r="U22" s="97">
        <f>IF($D22="WS",SUMPRODUCT(($C23:$C$35=$B22)*($Q23:$Q$35)*(U23:U$35)),IF($D22="MM",100*ABS(($G22-(Data2010!F19-$H22)/$J22)),IF($D22="XX",ABS((100*$G22)-((Data2010!F19-$E22)*$F22)),"na")))</f>
        <v>70.776102673388081</v>
      </c>
      <c r="V22" s="97">
        <f>IF($D22="WS",SUMPRODUCT(($C23:$C$35=$B22)*($Q23:$Q$35)*(V23:V$35)),IF($D22="MM",100*ABS(($G22-(Data2010!G19-$H22)/$J22)),IF($D22="XX",ABS((100*$G22)-((Data2010!G19-$E22)*$F22)),"na")))</f>
        <v>44.894867129692514</v>
      </c>
      <c r="W22" s="97">
        <f>IF($D22="WS",SUMPRODUCT(($C23:$C$35=$B22)*($Q23:$Q$35)*(W23:W$35)),IF($D22="MM",100*ABS(($G22-(Data2010!H19-$H22)/$J22)),IF($D22="XX",ABS((100*$G22)-((Data2010!H19-$E22)*$F22)),"na")))</f>
        <v>48.007298100636532</v>
      </c>
      <c r="X22" s="97">
        <f>IF($D22="WS",SUMPRODUCT(($C23:$C$35=$B22)*($Q23:$Q$35)*(X23:X$35)),IF($D22="MM",100*ABS(($G22-(Data2010!I19-$H22)/$J22)),IF($D22="XX",ABS((100*$G22)-((Data2010!I19-$E22)*$F22)),"na")))</f>
        <v>31.556915199462285</v>
      </c>
      <c r="Y22" s="97">
        <f>IF($D22="WS",SUMPRODUCT(($C23:$C$35=$B22)*($Q23:$Q$35)*(Y23:Y$35)),IF($D22="MM",100*ABS(($G22-(Data2010!J19-$H22)/$J22)),IF($D22="XX",ABS((100*$G22)-((Data2010!J19-$E22)*$F22)),"na")))</f>
        <v>35.764410282852751</v>
      </c>
      <c r="Z22" s="97">
        <f>IF($D22="WS",SUMPRODUCT(($C23:$C$35=$B22)*($Q23:$Q$35)*(Z23:Z$35)),IF($D22="MM",100*ABS(($G22-(Data2010!K19-$H22)/$J22)),IF($D22="XX",ABS((100*$G22)-((Data2010!K19-$E22)*$F22)),"na")))</f>
        <v>47.357126376418194</v>
      </c>
      <c r="AA22" s="97">
        <f>IF($D22="WS",SUMPRODUCT(($C23:$C$35=$B22)*($Q23:$Q$35)*(AA23:AA$35)),IF($D22="MM",100*ABS(($G22-(Data2010!L19-$H22)/$J22)),IF($D22="XX",ABS((100*$G22)-((Data2010!L19-$E22)*$F22)),"na")))</f>
        <v>39.117373220967508</v>
      </c>
      <c r="AB22" s="97">
        <f>IF($D22="WS",SUMPRODUCT(($C23:$C$35=$B22)*($Q23:$Q$35)*(AB23:AB$35)),IF($D22="MM",100*ABS(($G22-(Data2010!M19-$H22)/$J22)),IF($D22="XX",ABS((100*$G22)-((Data2010!M19-$E22)*$F22)),"na")))</f>
        <v>27.583010996138977</v>
      </c>
      <c r="AC22" s="97">
        <f>IF($D22="WS",SUMPRODUCT(($C23:$C$35=$B22)*($Q23:$Q$35)*(AC23:AC$35)),IF($D22="MM",100*ABS(($G22-(Data2010!N19-$H22)/$J22)),IF($D22="XX",ABS((100*$G22)-((Data2010!N19-$E22)*$F22)),"na")))</f>
        <v>38.446220495836144</v>
      </c>
      <c r="AD22" s="97">
        <f>IF($D22="WS",SUMPRODUCT(($C23:$C$35=$B22)*($Q23:$Q$35)*(AD23:AD$35)),IF($D22="MM",100*ABS(($G22-(Data2010!O19-$H22)/$J22)),IF($D22="XX",ABS((100*$G22)-((Data2010!O19-$E22)*$F22)),"na")))</f>
        <v>45.613706742041394</v>
      </c>
      <c r="AE22" s="97">
        <f>IF($D22="WS",SUMPRODUCT(($C23:$C$35=$B22)*($Q23:$Q$35)*(AE23:AE$35)),IF($D22="MM",100*ABS(($G22-(Data2010!P19-$H22)/$J22)),IF($D22="XX",ABS((100*$G22)-((Data2010!P19-$E22)*$F22)),"na")))</f>
        <v>31.113642167820895</v>
      </c>
      <c r="AF22" s="97">
        <f>IF($D22="WS",SUMPRODUCT(($C23:$C$35=$B22)*($Q23:$Q$35)*(AF23:AF$35)),IF($D22="MM",100*ABS(($G22-(Data2010!Q19-$H22)/$J22)),IF($D22="XX",ABS((100*$G22)-((Data2010!Q19-$E22)*$F22)),"na")))</f>
        <v>49.535089279446417</v>
      </c>
      <c r="AG22" s="97">
        <f>IF($D22="WS",SUMPRODUCT(($C23:$C$35=$B22)*($Q23:$Q$35)*(AG23:AG$35)),IF($D22="MM",100*ABS(($G22-(Data2010!R19-$H22)/$J22)),IF($D22="XX",ABS((100*$G22)-((Data2010!R19-$E22)*$F22)),"na")))</f>
        <v>29.399433355074134</v>
      </c>
      <c r="AH22" s="97">
        <f>IF($D22="WS",SUMPRODUCT(($C23:$C$35=$B22)*($Q23:$Q$35)*(AH23:AH$35)),IF($D22="MM",100*ABS(($G22-(Data2010!S19-$H22)/$J22)),IF($D22="XX",ABS((100*$G22)-((Data2010!S19-$E22)*$F22)),"na")))</f>
        <v>50.315789196147385</v>
      </c>
      <c r="AI22" s="97">
        <f>IF($D22="WS",SUMPRODUCT(($C23:$C$35=$B22)*($Q23:$Q$35)*(AI23:AI$35)),IF($D22="MM",100*ABS(($G22-(Data2010!T19-$H22)/$J22)),IF($D22="XX",ABS((100*$G22)-((Data2010!T19-$E22)*$F22)),"na")))</f>
        <v>46.494885436601898</v>
      </c>
      <c r="AJ22" s="97">
        <f>IF($D22="WS",SUMPRODUCT(($C23:$C$35=$B22)*($Q23:$Q$35)*(AJ23:AJ$35)),IF($D22="MM",100*ABS(($G22-(Data2010!U19-$H22)/$J22)),IF($D22="XX",ABS((100*$G22)-((Data2010!U19-$E22)*$F22)),"na")))</f>
        <v>53.991606452060012</v>
      </c>
      <c r="AK22" s="97">
        <f>IF($D22="WS",SUMPRODUCT(($C23:$C$35=$B22)*($Q23:$Q$35)*(AK23:AK$35)),IF($D22="MM",100*ABS(($G22-(Data2010!V19-$H22)/$J22)),IF($D22="XX",ABS((100*$G22)-((Data2010!V19-$E22)*$F22)),"na")))</f>
        <v>21.083985972438228</v>
      </c>
    </row>
    <row r="23" spans="2:37">
      <c r="B23" t="str">
        <f>tblIndicators!A18</f>
        <v>INVT01</v>
      </c>
      <c r="C23" t="str">
        <f>tblIndicators!B18</f>
        <v>INVT</v>
      </c>
      <c r="D23" t="str">
        <f>tblIndicators!D18</f>
        <v>XX</v>
      </c>
      <c r="E23">
        <f>tblIndicators!E18</f>
        <v>0</v>
      </c>
      <c r="F23">
        <f>tblIndicators!F18</f>
        <v>1</v>
      </c>
      <c r="G23">
        <f>tblIndicators!G18</f>
        <v>0</v>
      </c>
      <c r="H23">
        <f>MIN(Data2010!D20:V20)</f>
        <v>13.745995807127882</v>
      </c>
      <c r="I23">
        <f>MAX(Data2010!D20:V20)</f>
        <v>73.744616053998584</v>
      </c>
      <c r="J23" s="22">
        <f t="shared" si="0"/>
        <v>59.998620246870701</v>
      </c>
      <c r="K23">
        <f>MATCH(B23,Weights!C$4:C$36,0)</f>
        <v>24</v>
      </c>
      <c r="L23" s="95">
        <f>tblIndicators!S18</f>
        <v>1</v>
      </c>
      <c r="M23" s="178">
        <f>L23*INDEX(Weights!G$4:G$36,K23)</f>
        <v>1</v>
      </c>
      <c r="N23" s="36">
        <f t="shared" si="1"/>
        <v>0.5</v>
      </c>
      <c r="P23" t="str">
        <f>tblIndicators!Q18</f>
        <v xml:space="preserve">   Political distortion</v>
      </c>
      <c r="Q23" s="103">
        <f t="shared" si="2"/>
        <v>0.5</v>
      </c>
      <c r="S23" s="38">
        <f>IF($D23="WS",SUMPRODUCT(($C24:$C$35=$B23)*($Q24:$Q$35)*(S24:S$35)),IF($D23="MM",100*ABS(($G23-(Data2010!D20-$H23)/$J23)),IF($D23="XX",ABS((100*$G23)-((Data2010!D20-$E23)*$F23)),"na")))</f>
        <v>34.301009490404844</v>
      </c>
      <c r="T23" s="38">
        <f>IF($D23="WS",SUMPRODUCT(($C24:$C$35=$B23)*($Q24:$Q$35)*(T24:T$35)),IF($D23="MM",100*ABS(($G23-(Data2010!E20-$H23)/$J23)),IF($D23="XX",ABS((100*$G23)-((Data2010!E20-$E23)*$F23)),"na")))</f>
        <v>41.897202495915479</v>
      </c>
      <c r="U23" s="38">
        <f>IF($D23="WS",SUMPRODUCT(($C24:$C$35=$B23)*($Q24:$Q$35)*(U24:U$35)),IF($D23="MM",100*ABS(($G23-(Data2010!F20-$H23)/$J23)),IF($D23="XX",ABS((100*$G23)-((Data2010!F20-$E23)*$F23)),"na")))</f>
        <v>73.744616053998584</v>
      </c>
      <c r="V23" s="38">
        <f>IF($D23="WS",SUMPRODUCT(($C24:$C$35=$B23)*($Q24:$Q$35)*(V24:V$35)),IF($D23="MM",100*ABS(($G23-(Data2010!G20-$H23)/$J23)),IF($D23="XX",ABS((100*$G23)-((Data2010!G20-$E23)*$F23)),"na")))</f>
        <v>35.644584446000017</v>
      </c>
      <c r="W23" s="38">
        <f>IF($D23="WS",SUMPRODUCT(($C24:$C$35=$B23)*($Q24:$Q$35)*(W24:W$35)),IF($D23="MM",100*ABS(($G23-(Data2010!H20-$H23)/$J23)),IF($D23="XX",ABS((100*$G23)-((Data2010!H20-$E23)*$F23)),"na")))</f>
        <v>55.087153315921555</v>
      </c>
      <c r="X23" s="38">
        <f>IF($D23="WS",SUMPRODUCT(($C24:$C$35=$B23)*($Q24:$Q$35)*(X24:X$35)),IF($D23="MM",100*ABS(($G23-(Data2010!I20-$H23)/$J23)),IF($D23="XX",ABS((100*$G23)-((Data2010!I20-$E23)*$F23)),"na")))</f>
        <v>23.729844425408608</v>
      </c>
      <c r="Y23" s="38">
        <f>IF($D23="WS",SUMPRODUCT(($C24:$C$35=$B23)*($Q24:$Q$35)*(Y24:Y$35)),IF($D23="MM",100*ABS(($G23-(Data2010!J20-$H23)/$J23)),IF($D23="XX",ABS((100*$G23)-((Data2010!J20-$E23)*$F23)),"na")))</f>
        <v>15.452525079230291</v>
      </c>
      <c r="Z23" s="38">
        <f>IF($D23="WS",SUMPRODUCT(($C24:$C$35=$B23)*($Q24:$Q$35)*(Z24:Z$35)),IF($D23="MM",100*ABS(($G23-(Data2010!K20-$H23)/$J23)),IF($D23="XX",ABS((100*$G23)-((Data2010!K20-$E23)*$F23)),"na")))</f>
        <v>39.882535696536515</v>
      </c>
      <c r="AA23" s="38">
        <f>IF($D23="WS",SUMPRODUCT(($C24:$C$35=$B23)*($Q24:$Q$35)*(AA24:AA$35)),IF($D23="MM",100*ABS(($G23-(Data2010!L20-$H23)/$J23)),IF($D23="XX",ABS((100*$G23)-((Data2010!L20-$E23)*$F23)),"na")))</f>
        <v>23.292085012720779</v>
      </c>
      <c r="AB23" s="38">
        <f>IF($D23="WS",SUMPRODUCT(($C24:$C$35=$B23)*($Q24:$Q$35)*(AB24:AB$35)),IF($D23="MM",100*ABS(($G23-(Data2010!M20-$H23)/$J23)),IF($D23="XX",ABS((100*$G23)-((Data2010!M20-$E23)*$F23)),"na")))</f>
        <v>16.300960598541245</v>
      </c>
      <c r="AC23" s="38">
        <f>IF($D23="WS",SUMPRODUCT(($C24:$C$35=$B23)*($Q24:$Q$35)*(AC24:AC$35)),IF($D23="MM",100*ABS(($G23-(Data2010!N20-$H23)/$J23)),IF($D23="XX",ABS((100*$G23)-((Data2010!N20-$E23)*$F23)),"na")))</f>
        <v>39.834574188822558</v>
      </c>
      <c r="AD23" s="38">
        <f>IF($D23="WS",SUMPRODUCT(($C24:$C$35=$B23)*($Q24:$Q$35)*(AD24:AD$35)),IF($D23="MM",100*ABS(($G23-(Data2010!O20-$H23)/$J23)),IF($D23="XX",ABS((100*$G23)-((Data2010!O20-$E23)*$F23)),"na")))</f>
        <v>39.712987885642164</v>
      </c>
      <c r="AE23" s="38">
        <f>IF($D23="WS",SUMPRODUCT(($C24:$C$35=$B23)*($Q24:$Q$35)*(AE24:AE$35)),IF($D23="MM",100*ABS(($G23-(Data2010!P20-$H23)/$J23)),IF($D23="XX",ABS((100*$G23)-((Data2010!P20-$E23)*$F23)),"na")))</f>
        <v>18.848606283801153</v>
      </c>
      <c r="AF23" s="38">
        <f>IF($D23="WS",SUMPRODUCT(($C24:$C$35=$B23)*($Q24:$Q$35)*(AF24:AF$35)),IF($D23="MM",100*ABS(($G23-(Data2010!Q20-$H23)/$J23)),IF($D23="XX",ABS((100*$G23)-((Data2010!Q20-$E23)*$F23)),"na")))</f>
        <v>37.528681877845983</v>
      </c>
      <c r="AG23" s="38">
        <f>IF($D23="WS",SUMPRODUCT(($C24:$C$35=$B23)*($Q24:$Q$35)*(AG24:AG$35)),IF($D23="MM",100*ABS(($G23-(Data2010!R20-$H23)/$J23)),IF($D23="XX",ABS((100*$G23)-((Data2010!R20-$E23)*$F23)),"na")))</f>
        <v>25.871628037437148</v>
      </c>
      <c r="AH23" s="38">
        <f>IF($D23="WS",SUMPRODUCT(($C24:$C$35=$B23)*($Q24:$Q$35)*(AH24:AH$35)),IF($D23="MM",100*ABS(($G23-(Data2010!S20-$H23)/$J23)),IF($D23="XX",ABS((100*$G23)-((Data2010!S20-$E23)*$F23)),"na")))</f>
        <v>33.21549273719917</v>
      </c>
      <c r="AI23" s="38">
        <f>IF($D23="WS",SUMPRODUCT(($C24:$C$35=$B23)*($Q24:$Q$35)*(AI24:AI$35)),IF($D23="MM",100*ABS(($G23-(Data2010!T20-$H23)/$J23)),IF($D23="XX",ABS((100*$G23)-((Data2010!T20-$E23)*$F23)),"na")))</f>
        <v>38.288550849935135</v>
      </c>
      <c r="AJ23" s="38">
        <f>IF($D23="WS",SUMPRODUCT(($C24:$C$35=$B23)*($Q24:$Q$35)*(AJ24:AJ$35)),IF($D23="MM",100*ABS(($G23-(Data2010!U20-$H23)/$J23)),IF($D23="XX",ABS((100*$G23)-((Data2010!U20-$E23)*$F23)),"na")))</f>
        <v>55.755211307958795</v>
      </c>
      <c r="AK23" s="38">
        <f>IF($D23="WS",SUMPRODUCT(($C24:$C$35=$B23)*($Q24:$Q$35)*(AK24:AK$35)),IF($D23="MM",100*ABS(($G23-(Data2010!V20-$H23)/$J23)),IF($D23="XX",ABS((100*$G23)-((Data2010!V20-$E23)*$F23)),"na")))</f>
        <v>13.745995807127882</v>
      </c>
    </row>
    <row r="24" spans="2:37">
      <c r="B24" t="str">
        <f>tblIndicators!A19</f>
        <v>INVT02</v>
      </c>
      <c r="C24" t="str">
        <f>tblIndicators!B19</f>
        <v>INVT</v>
      </c>
      <c r="D24" t="str">
        <f>tblIndicators!D19</f>
        <v>XX</v>
      </c>
      <c r="E24">
        <f>tblIndicators!E19</f>
        <v>0</v>
      </c>
      <c r="F24">
        <f>tblIndicators!F19</f>
        <v>1</v>
      </c>
      <c r="G24">
        <f>tblIndicators!G19</f>
        <v>0</v>
      </c>
      <c r="H24">
        <f>MIN(Data2010!D21:V21)</f>
        <v>28.421976137748572</v>
      </c>
      <c r="I24">
        <f>MAX(Data2010!D21:V21)</f>
        <v>67.807589292777578</v>
      </c>
      <c r="J24" s="22">
        <f t="shared" si="0"/>
        <v>39.385613155029006</v>
      </c>
      <c r="K24">
        <f>MATCH(B24,Weights!C$4:C$36,0)</f>
        <v>25</v>
      </c>
      <c r="L24" s="95">
        <f>tblIndicators!S19</f>
        <v>1</v>
      </c>
      <c r="M24" s="178">
        <f>L24*INDEX(Weights!G$4:G$36,K24)</f>
        <v>1</v>
      </c>
      <c r="N24" s="36">
        <f t="shared" si="1"/>
        <v>0.5</v>
      </c>
      <c r="P24" t="str">
        <f>tblIndicators!Q19</f>
        <v xml:space="preserve">   Business environment</v>
      </c>
      <c r="Q24" s="103">
        <f t="shared" si="2"/>
        <v>0.5</v>
      </c>
      <c r="S24" s="38">
        <f>IF($D24="WS",SUMPRODUCT(($C25:$C$35=$B24)*($Q25:$Q$35)*(S25:S$35)),IF($D24="MM",100*ABS(($G24-(Data2010!D21-$H24)/$J24)),IF($D24="XX",ABS((100*$G24)-((Data2010!D21-$E24)*$F24)),"na")))</f>
        <v>41.625638688798539</v>
      </c>
      <c r="T24" s="38">
        <f>IF($D24="WS",SUMPRODUCT(($C25:$C$35=$B24)*($Q25:$Q$35)*(T25:T$35)),IF($D24="MM",100*ABS(($G24-(Data2010!E21-$H24)/$J24)),IF($D24="XX",ABS((100*$G24)-((Data2010!E21-$E24)*$F24)),"na")))</f>
        <v>59.879816412486079</v>
      </c>
      <c r="U24" s="38">
        <f>IF($D24="WS",SUMPRODUCT(($C25:$C$35=$B24)*($Q25:$Q$35)*(U25:U$35)),IF($D24="MM",100*ABS(($G24-(Data2010!F21-$H24)/$J24)),IF($D24="XX",ABS((100*$G24)-((Data2010!F21-$E24)*$F24)),"na")))</f>
        <v>67.807589292777578</v>
      </c>
      <c r="V24" s="38">
        <f>IF($D24="WS",SUMPRODUCT(($C25:$C$35=$B24)*($Q25:$Q$35)*(V25:V$35)),IF($D24="MM",100*ABS(($G24-(Data2010!G21-$H24)/$J24)),IF($D24="XX",ABS((100*$G24)-((Data2010!G21-$E24)*$F24)),"na")))</f>
        <v>54.145149813385004</v>
      </c>
      <c r="W24" s="38">
        <f>IF($D24="WS",SUMPRODUCT(($C25:$C$35=$B24)*($Q25:$Q$35)*(W25:W$35)),IF($D24="MM",100*ABS(($G24-(Data2010!H21-$H24)/$J24)),IF($D24="XX",ABS((100*$G24)-((Data2010!H21-$E24)*$F24)),"na")))</f>
        <v>40.92744288535151</v>
      </c>
      <c r="X24" s="38">
        <f>IF($D24="WS",SUMPRODUCT(($C25:$C$35=$B24)*($Q25:$Q$35)*(X25:X$35)),IF($D24="MM",100*ABS(($G24-(Data2010!I21-$H24)/$J24)),IF($D24="XX",ABS((100*$G24)-((Data2010!I21-$E24)*$F24)),"na")))</f>
        <v>39.383985973515962</v>
      </c>
      <c r="Y24" s="38">
        <f>IF($D24="WS",SUMPRODUCT(($C25:$C$35=$B24)*($Q25:$Q$35)*(Y25:Y$35)),IF($D24="MM",100*ABS(($G24-(Data2010!J21-$H24)/$J24)),IF($D24="XX",ABS((100*$G24)-((Data2010!J21-$E24)*$F24)),"na")))</f>
        <v>56.07629548647521</v>
      </c>
      <c r="Z24" s="38">
        <f>IF($D24="WS",SUMPRODUCT(($C25:$C$35=$B24)*($Q25:$Q$35)*(Z25:Z$35)),IF($D24="MM",100*ABS(($G24-(Data2010!K21-$H24)/$J24)),IF($D24="XX",ABS((100*$G24)-((Data2010!K21-$E24)*$F24)),"na")))</f>
        <v>54.831717056299865</v>
      </c>
      <c r="AA24" s="38">
        <f>IF($D24="WS",SUMPRODUCT(($C25:$C$35=$B24)*($Q25:$Q$35)*(AA25:AA$35)),IF($D24="MM",100*ABS(($G24-(Data2010!L21-$H24)/$J24)),IF($D24="XX",ABS((100*$G24)-((Data2010!L21-$E24)*$F24)),"na")))</f>
        <v>54.942661429214233</v>
      </c>
      <c r="AB24" s="38">
        <f>IF($D24="WS",SUMPRODUCT(($C25:$C$35=$B24)*($Q25:$Q$35)*(AB25:AB$35)),IF($D24="MM",100*ABS(($G24-(Data2010!M21-$H24)/$J24)),IF($D24="XX",ABS((100*$G24)-((Data2010!M21-$E24)*$F24)),"na")))</f>
        <v>38.86506139373671</v>
      </c>
      <c r="AC24" s="38">
        <f>IF($D24="WS",SUMPRODUCT(($C25:$C$35=$B24)*($Q25:$Q$35)*(AC25:AC$35)),IF($D24="MM",100*ABS(($G24-(Data2010!N21-$H24)/$J24)),IF($D24="XX",ABS((100*$G24)-((Data2010!N21-$E24)*$F24)),"na")))</f>
        <v>37.057866802849723</v>
      </c>
      <c r="AD24" s="38">
        <f>IF($D24="WS",SUMPRODUCT(($C25:$C$35=$B24)*($Q25:$Q$35)*(AD25:AD$35)),IF($D24="MM",100*ABS(($G24-(Data2010!O21-$H24)/$J24)),IF($D24="XX",ABS((100*$G24)-((Data2010!O21-$E24)*$F24)),"na")))</f>
        <v>51.514425598440624</v>
      </c>
      <c r="AE24" s="38">
        <f>IF($D24="WS",SUMPRODUCT(($C25:$C$35=$B24)*($Q25:$Q$35)*(AE25:AE$35)),IF($D24="MM",100*ABS(($G24-(Data2010!P21-$H24)/$J24)),IF($D24="XX",ABS((100*$G24)-((Data2010!P21-$E24)*$F24)),"na")))</f>
        <v>43.378678051840637</v>
      </c>
      <c r="AF24" s="38">
        <f>IF($D24="WS",SUMPRODUCT(($C25:$C$35=$B24)*($Q25:$Q$35)*(AF25:AF$35)),IF($D24="MM",100*ABS(($G24-(Data2010!Q21-$H24)/$J24)),IF($D24="XX",ABS((100*$G24)-((Data2010!Q21-$E24)*$F24)),"na")))</f>
        <v>61.541496681046851</v>
      </c>
      <c r="AG24" s="38">
        <f>IF($D24="WS",SUMPRODUCT(($C25:$C$35=$B24)*($Q25:$Q$35)*(AG25:AG$35)),IF($D24="MM",100*ABS(($G24-(Data2010!R21-$H24)/$J24)),IF($D24="XX",ABS((100*$G24)-((Data2010!R21-$E24)*$F24)),"na")))</f>
        <v>32.92723867271112</v>
      </c>
      <c r="AH24" s="38">
        <f>IF($D24="WS",SUMPRODUCT(($C25:$C$35=$B24)*($Q25:$Q$35)*(AH25:AH$35)),IF($D24="MM",100*ABS(($G24-(Data2010!S21-$H24)/$J24)),IF($D24="XX",ABS((100*$G24)-((Data2010!S21-$E24)*$F24)),"na")))</f>
        <v>67.4160856550956</v>
      </c>
      <c r="AI24" s="38">
        <f>IF($D24="WS",SUMPRODUCT(($C25:$C$35=$B24)*($Q25:$Q$35)*(AI25:AI$35)),IF($D24="MM",100*ABS(($G24-(Data2010!T21-$H24)/$J24)),IF($D24="XX",ABS((100*$G24)-((Data2010!T21-$E24)*$F24)),"na")))</f>
        <v>54.701220023268661</v>
      </c>
      <c r="AJ24" s="38">
        <f>IF($D24="WS",SUMPRODUCT(($C25:$C$35=$B24)*($Q25:$Q$35)*(AJ25:AJ$35)),IF($D24="MM",100*ABS(($G24-(Data2010!U21-$H24)/$J24)),IF($D24="XX",ABS((100*$G24)-((Data2010!U21-$E24)*$F24)),"na")))</f>
        <v>52.228001596161221</v>
      </c>
      <c r="AK24" s="38">
        <f>IF($D24="WS",SUMPRODUCT(($C25:$C$35=$B24)*($Q25:$Q$35)*(AK25:AK$35)),IF($D24="MM",100*ABS(($G24-(Data2010!V21-$H24)/$J24)),IF($D24="XX",ABS((100*$G24)-((Data2010!V21-$E24)*$F24)),"na")))</f>
        <v>28.421976137748572</v>
      </c>
    </row>
    <row r="25" spans="2:37">
      <c r="B25" t="str">
        <f>tblIndicators!A20</f>
        <v>INVT03</v>
      </c>
      <c r="C25" t="str">
        <f>tblIndicators!B20</f>
        <v>INVT</v>
      </c>
      <c r="D25" t="str">
        <f>tblIndicators!D20</f>
        <v>MM</v>
      </c>
      <c r="E25">
        <f>tblIndicators!E20</f>
        <v>0</v>
      </c>
      <c r="F25">
        <f>tblIndicators!F20</f>
        <v>33.333333333333336</v>
      </c>
      <c r="G25">
        <f>tblIndicators!G20</f>
        <v>0</v>
      </c>
      <c r="H25">
        <f>MIN(Data2010!D22:V22)</f>
        <v>0</v>
      </c>
      <c r="I25">
        <f>MAX(Data2010!D22:V22)</f>
        <v>3</v>
      </c>
      <c r="J25" s="22">
        <f t="shared" si="0"/>
        <v>3</v>
      </c>
      <c r="K25">
        <f>MATCH(B25,Weights!C$4:C$36,0)</f>
        <v>26</v>
      </c>
      <c r="L25" s="95">
        <f>tblIndicators!S20</f>
        <v>0</v>
      </c>
      <c r="M25" s="178">
        <f>L25*INDEX(Weights!G$4:G$36,K25)</f>
        <v>0</v>
      </c>
      <c r="N25" s="36">
        <f t="shared" si="1"/>
        <v>0</v>
      </c>
      <c r="P25" t="str">
        <f>tblIndicators!Q20</f>
        <v xml:space="preserve">   Political will</v>
      </c>
      <c r="Q25" s="103">
        <f t="shared" si="2"/>
        <v>0</v>
      </c>
      <c r="S25" s="38">
        <f>IF($D25="WS",SUMPRODUCT(($C26:$C$35=$B25)*($Q26:$Q$35)*(S26:S$35)),IF($D25="MM",100*ABS(($G25-(Data2010!D22-$H25)/$J25)),IF($D25="XX",ABS((100*$G25)-((Data2010!D22-$E25)*$F25)),"na")))</f>
        <v>0</v>
      </c>
      <c r="T25" s="38">
        <f>IF($D25="WS",SUMPRODUCT(($C26:$C$35=$B25)*($Q26:$Q$35)*(T26:T$35)),IF($D25="MM",100*ABS(($G25-(Data2010!E22-$H25)/$J25)),IF($D25="XX",ABS((100*$G25)-((Data2010!E22-$E25)*$F25)),"na")))</f>
        <v>66.666666666666657</v>
      </c>
      <c r="U25" s="38">
        <f>IF($D25="WS",SUMPRODUCT(($C26:$C$35=$B25)*($Q26:$Q$35)*(U26:U$35)),IF($D25="MM",100*ABS(($G25-(Data2010!F22-$H25)/$J25)),IF($D25="XX",ABS((100*$G25)-((Data2010!F22-$E25)*$F25)),"na")))</f>
        <v>100</v>
      </c>
      <c r="V25" s="38">
        <f>IF($D25="WS",SUMPRODUCT(($C26:$C$35=$B25)*($Q26:$Q$35)*(V26:V$35)),IF($D25="MM",100*ABS(($G25-(Data2010!G22-$H25)/$J25)),IF($D25="XX",ABS((100*$G25)-((Data2010!G22-$E25)*$F25)),"na")))</f>
        <v>100</v>
      </c>
      <c r="W25" s="38">
        <f>IF($D25="WS",SUMPRODUCT(($C26:$C$35=$B25)*($Q26:$Q$35)*(W26:W$35)),IF($D25="MM",100*ABS(($G25-(Data2010!H22-$H25)/$J25)),IF($D25="XX",ABS((100*$G25)-((Data2010!H22-$E25)*$F25)),"na")))</f>
        <v>33.333333333333329</v>
      </c>
      <c r="X25" s="38">
        <f>IF($D25="WS",SUMPRODUCT(($C26:$C$35=$B25)*($Q26:$Q$35)*(X26:X$35)),IF($D25="MM",100*ABS(($G25-(Data2010!I22-$H25)/$J25)),IF($D25="XX",ABS((100*$G25)-((Data2010!I22-$E25)*$F25)),"na")))</f>
        <v>66.666666666666657</v>
      </c>
      <c r="Y25" s="38">
        <f>IF($D25="WS",SUMPRODUCT(($C26:$C$35=$B25)*($Q26:$Q$35)*(Y26:Y$35)),IF($D25="MM",100*ABS(($G25-(Data2010!J22-$H25)/$J25)),IF($D25="XX",ABS((100*$G25)-((Data2010!J22-$E25)*$F25)),"na")))</f>
        <v>0</v>
      </c>
      <c r="Z25" s="38">
        <f>IF($D25="WS",SUMPRODUCT(($C26:$C$35=$B25)*($Q26:$Q$35)*(Z26:Z$35)),IF($D25="MM",100*ABS(($G25-(Data2010!K22-$H25)/$J25)),IF($D25="XX",ABS((100*$G25)-((Data2010!K22-$E25)*$F25)),"na")))</f>
        <v>33.333333333333329</v>
      </c>
      <c r="AA25" s="38">
        <f>IF($D25="WS",SUMPRODUCT(($C26:$C$35=$B25)*($Q26:$Q$35)*(AA26:AA$35)),IF($D25="MM",100*ABS(($G25-(Data2010!L22-$H25)/$J25)),IF($D25="XX",ABS((100*$G25)-((Data2010!L22-$E25)*$F25)),"na")))</f>
        <v>66.666666666666657</v>
      </c>
      <c r="AB25" s="38">
        <f>IF($D25="WS",SUMPRODUCT(($C26:$C$35=$B25)*($Q26:$Q$35)*(AB26:AB$35)),IF($D25="MM",100*ABS(($G25-(Data2010!M22-$H25)/$J25)),IF($D25="XX",ABS((100*$G25)-((Data2010!M22-$E25)*$F25)),"na")))</f>
        <v>66.666666666666657</v>
      </c>
      <c r="AC25" s="38">
        <f>IF($D25="WS",SUMPRODUCT(($C26:$C$35=$B25)*($Q26:$Q$35)*(AC26:AC$35)),IF($D25="MM",100*ABS(($G25-(Data2010!N22-$H25)/$J25)),IF($D25="XX",ABS((100*$G25)-((Data2010!N22-$E25)*$F25)),"na")))</f>
        <v>33.333333333333329</v>
      </c>
      <c r="AD25" s="38">
        <f>IF($D25="WS",SUMPRODUCT(($C26:$C$35=$B25)*($Q26:$Q$35)*(AD26:AD$35)),IF($D25="MM",100*ABS(($G25-(Data2010!O22-$H25)/$J25)),IF($D25="XX",ABS((100*$G25)-((Data2010!O22-$E25)*$F25)),"na")))</f>
        <v>66.666666666666657</v>
      </c>
      <c r="AE25" s="38">
        <f>IF($D25="WS",SUMPRODUCT(($C26:$C$35=$B25)*($Q26:$Q$35)*(AE26:AE$35)),IF($D25="MM",100*ABS(($G25-(Data2010!P22-$H25)/$J25)),IF($D25="XX",ABS((100*$G25)-((Data2010!P22-$E25)*$F25)),"na")))</f>
        <v>0</v>
      </c>
      <c r="AF25" s="38">
        <f>IF($D25="WS",SUMPRODUCT(($C26:$C$35=$B25)*($Q26:$Q$35)*(AF26:AF$35)),IF($D25="MM",100*ABS(($G25-(Data2010!Q22-$H25)/$J25)),IF($D25="XX",ABS((100*$G25)-((Data2010!Q22-$E25)*$F25)),"na")))</f>
        <v>66.666666666666657</v>
      </c>
      <c r="AG25" s="38">
        <f>IF($D25="WS",SUMPRODUCT(($C26:$C$35=$B25)*($Q26:$Q$35)*(AG26:AG$35)),IF($D25="MM",100*ABS(($G25-(Data2010!R22-$H25)/$J25)),IF($D25="XX",ABS((100*$G25)-((Data2010!R22-$E25)*$F25)),"na")))</f>
        <v>33.333333333333329</v>
      </c>
      <c r="AH25" s="38">
        <f>IF($D25="WS",SUMPRODUCT(($C26:$C$35=$B25)*($Q26:$Q$35)*(AH26:AH$35)),IF($D25="MM",100*ABS(($G25-(Data2010!S22-$H25)/$J25)),IF($D25="XX",ABS((100*$G25)-((Data2010!S22-$E25)*$F25)),"na")))</f>
        <v>100</v>
      </c>
      <c r="AI25" s="38">
        <f>IF($D25="WS",SUMPRODUCT(($C26:$C$35=$B25)*($Q26:$Q$35)*(AI26:AI$35)),IF($D25="MM",100*ABS(($G25-(Data2010!T22-$H25)/$J25)),IF($D25="XX",ABS((100*$G25)-((Data2010!T22-$E25)*$F25)),"na")))</f>
        <v>33.333333333333329</v>
      </c>
      <c r="AJ25" s="38">
        <f>IF($D25="WS",SUMPRODUCT(($C26:$C$35=$B25)*($Q26:$Q$35)*(AJ26:AJ$35)),IF($D25="MM",100*ABS(($G25-(Data2010!U22-$H25)/$J25)),IF($D25="XX",ABS((100*$G25)-((Data2010!U22-$E25)*$F25)),"na")))</f>
        <v>33.333333333333329</v>
      </c>
      <c r="AK25" s="38">
        <f>IF($D25="WS",SUMPRODUCT(($C26:$C$35=$B25)*($Q26:$Q$35)*(AK26:AK$35)),IF($D25="MM",100*ABS(($G25-(Data2010!V22-$H25)/$J25)),IF($D25="XX",ABS((100*$G25)-((Data2010!V22-$E25)*$F25)),"na")))</f>
        <v>0</v>
      </c>
    </row>
    <row r="26" spans="2:37" s="95" customFormat="1">
      <c r="B26" s="95" t="str">
        <f>tblIndicators!A21</f>
        <v>FINC</v>
      </c>
      <c r="C26" s="95" t="str">
        <f>tblIndicators!B21</f>
        <v>TOTL</v>
      </c>
      <c r="D26" s="95" t="str">
        <f>tblIndicators!D21</f>
        <v>WS</v>
      </c>
      <c r="E26" s="95">
        <f>tblIndicators!E21</f>
        <v>0</v>
      </c>
      <c r="F26" s="95">
        <f>tblIndicators!F21</f>
        <v>0</v>
      </c>
      <c r="G26" s="95">
        <f>tblIndicators!G21</f>
        <v>0</v>
      </c>
      <c r="H26" s="95">
        <f>MIN(Data2010!D23:V23)</f>
        <v>0</v>
      </c>
      <c r="I26" s="95">
        <f>MAX(Data2010!D23:V23)</f>
        <v>0</v>
      </c>
      <c r="J26" s="96">
        <f t="shared" si="0"/>
        <v>0</v>
      </c>
      <c r="K26" s="95">
        <f>MATCH(B26,Weights!C$4:C$36,0)</f>
        <v>5</v>
      </c>
      <c r="L26" s="95">
        <f>tblIndicators!S21</f>
        <v>1</v>
      </c>
      <c r="M26" s="178">
        <f>L26*INDEX(Weights!G$4:G$36,K26)</f>
        <v>0.9</v>
      </c>
      <c r="N26" s="98">
        <f t="shared" si="1"/>
        <v>0.16666666666666666</v>
      </c>
      <c r="P26" s="95" t="str">
        <f>tblIndicators!Q21</f>
        <v>FINANCIAL FACILITIES</v>
      </c>
      <c r="Q26" s="102">
        <f t="shared" si="2"/>
        <v>0.16666666666666666</v>
      </c>
      <c r="S26" s="97">
        <f>IF($D26="WS",SUMPRODUCT(($C27:$C$35=$B26)*($Q27:$Q$35)*(S27:S$35)),IF($D26="MM",100*ABS(($G26-(Data2010!D23-$H26)/$J26)),IF($D26="XX",ABS((100*$G26)-((Data2010!D23-$E26)*$F26)),"na")))</f>
        <v>33.333333333333329</v>
      </c>
      <c r="T26" s="97">
        <f>IF($D26="WS",SUMPRODUCT(($C27:$C$35=$B26)*($Q27:$Q$35)*(T27:T$35)),IF($D26="MM",100*ABS(($G26-(Data2010!E23-$H26)/$J26)),IF($D26="XX",ABS((100*$G26)-((Data2010!E23-$E26)*$F26)),"na")))</f>
        <v>72.222222222222214</v>
      </c>
      <c r="U26" s="97">
        <f>IF($D26="WS",SUMPRODUCT(($C27:$C$35=$B26)*($Q27:$Q$35)*(U27:U$35)),IF($D26="MM",100*ABS(($G26-(Data2010!F23-$H26)/$J26)),IF($D26="XX",ABS((100*$G26)-((Data2010!F23-$E26)*$F26)),"na")))</f>
        <v>97.222222222222214</v>
      </c>
      <c r="V26" s="97">
        <f>IF($D26="WS",SUMPRODUCT(($C27:$C$35=$B26)*($Q27:$Q$35)*(V27:V$35)),IF($D26="MM",100*ABS(($G26-(Data2010!G23-$H26)/$J26)),IF($D26="XX",ABS((100*$G26)-((Data2010!G23-$E26)*$F26)),"na")))</f>
        <v>55.55555555555555</v>
      </c>
      <c r="W26" s="97">
        <f>IF($D26="WS",SUMPRODUCT(($C27:$C$35=$B26)*($Q27:$Q$35)*(W27:W$35)),IF($D26="MM",100*ABS(($G26-(Data2010!H23-$H26)/$J26)),IF($D26="XX",ABS((100*$G26)-((Data2010!H23-$E26)*$F26)),"na")))</f>
        <v>41.666666666666664</v>
      </c>
      <c r="X26" s="97">
        <f>IF($D26="WS",SUMPRODUCT(($C27:$C$35=$B26)*($Q27:$Q$35)*(X27:X$35)),IF($D26="MM",100*ABS(($G26-(Data2010!I23-$H26)/$J26)),IF($D26="XX",ABS((100*$G26)-((Data2010!I23-$E26)*$F26)),"na")))</f>
        <v>30.555555555555557</v>
      </c>
      <c r="Y26" s="97">
        <f>IF($D26="WS",SUMPRODUCT(($C27:$C$35=$B26)*($Q27:$Q$35)*(Y27:Y$35)),IF($D26="MM",100*ABS(($G26-(Data2010!J23-$H26)/$J26)),IF($D26="XX",ABS((100*$G26)-((Data2010!J23-$E26)*$F26)),"na")))</f>
        <v>16.666666666666664</v>
      </c>
      <c r="Z26" s="97">
        <f>IF($D26="WS",SUMPRODUCT(($C27:$C$35=$B26)*($Q27:$Q$35)*(Z27:Z$35)),IF($D26="MM",100*ABS(($G26-(Data2010!K23-$H26)/$J26)),IF($D26="XX",ABS((100*$G26)-((Data2010!K23-$E26)*$F26)),"na")))</f>
        <v>47.222222222222221</v>
      </c>
      <c r="AA26" s="97">
        <f>IF($D26="WS",SUMPRODUCT(($C27:$C$35=$B26)*($Q27:$Q$35)*(AA27:AA$35)),IF($D26="MM",100*ABS(($G26-(Data2010!L23-$H26)/$J26)),IF($D26="XX",ABS((100*$G26)-((Data2010!L23-$E26)*$F26)),"na")))</f>
        <v>22.222222222222221</v>
      </c>
      <c r="AB26" s="97">
        <f>IF($D26="WS",SUMPRODUCT(($C27:$C$35=$B26)*($Q27:$Q$35)*(AB27:AB$35)),IF($D26="MM",100*ABS(($G26-(Data2010!M23-$H26)/$J26)),IF($D26="XX",ABS((100*$G26)-((Data2010!M23-$E26)*$F26)),"na")))</f>
        <v>11.111111111111111</v>
      </c>
      <c r="AC26" s="97">
        <f>IF($D26="WS",SUMPRODUCT(($C27:$C$35=$B26)*($Q27:$Q$35)*(AC27:AC$35)),IF($D26="MM",100*ABS(($G26-(Data2010!N23-$H26)/$J26)),IF($D26="XX",ABS((100*$G26)-((Data2010!N23-$E26)*$F26)),"na")))</f>
        <v>16.666666666666664</v>
      </c>
      <c r="AD26" s="97">
        <f>IF($D26="WS",SUMPRODUCT(($C27:$C$35=$B26)*($Q27:$Q$35)*(AD27:AD$35)),IF($D26="MM",100*ABS(($G26-(Data2010!O23-$H26)/$J26)),IF($D26="XX",ABS((100*$G26)-((Data2010!O23-$E26)*$F26)),"na")))</f>
        <v>72.222222222222214</v>
      </c>
      <c r="AE26" s="97">
        <f>IF($D26="WS",SUMPRODUCT(($C27:$C$35=$B26)*($Q27:$Q$35)*(AE27:AE$35)),IF($D26="MM",100*ABS(($G26-(Data2010!P23-$H26)/$J26)),IF($D26="XX",ABS((100*$G26)-((Data2010!P23-$E26)*$F26)),"na")))</f>
        <v>8.3333333333333321</v>
      </c>
      <c r="AF26" s="97">
        <f>IF($D26="WS",SUMPRODUCT(($C27:$C$35=$B26)*($Q27:$Q$35)*(AF27:AF$35)),IF($D26="MM",100*ABS(($G26-(Data2010!Q23-$H26)/$J26)),IF($D26="XX",ABS((100*$G26)-((Data2010!Q23-$E26)*$F26)),"na")))</f>
        <v>63.888888888888886</v>
      </c>
      <c r="AG26" s="97">
        <f>IF($D26="WS",SUMPRODUCT(($C27:$C$35=$B26)*($Q27:$Q$35)*(AG27:AG$35)),IF($D26="MM",100*ABS(($G26-(Data2010!R23-$H26)/$J26)),IF($D26="XX",ABS((100*$G26)-((Data2010!R23-$E26)*$F26)),"na")))</f>
        <v>25</v>
      </c>
      <c r="AH26" s="97">
        <f>IF($D26="WS",SUMPRODUCT(($C27:$C$35=$B26)*($Q27:$Q$35)*(AH27:AH$35)),IF($D26="MM",100*ABS(($G26-(Data2010!S23-$H26)/$J26)),IF($D26="XX",ABS((100*$G26)-((Data2010!S23-$E26)*$F26)),"na")))</f>
        <v>61.111111111111107</v>
      </c>
      <c r="AI26" s="97">
        <f>IF($D26="WS",SUMPRODUCT(($C27:$C$35=$B26)*($Q27:$Q$35)*(AI27:AI$35)),IF($D26="MM",100*ABS(($G26-(Data2010!T23-$H26)/$J26)),IF($D26="XX",ABS((100*$G26)-((Data2010!T23-$E26)*$F26)),"na")))</f>
        <v>58.333333333333329</v>
      </c>
      <c r="AJ26" s="97">
        <f>IF($D26="WS",SUMPRODUCT(($C27:$C$35=$B26)*($Q27:$Q$35)*(AJ27:AJ$35)),IF($D26="MM",100*ABS(($G26-(Data2010!U23-$H26)/$J26)),IF($D26="XX",ABS((100*$G26)-((Data2010!U23-$E26)*$F26)),"na")))</f>
        <v>30.555555555555557</v>
      </c>
      <c r="AK26" s="97">
        <f>IF($D26="WS",SUMPRODUCT(($C27:$C$35=$B26)*($Q27:$Q$35)*(AK27:AK$35)),IF($D26="MM",100*ABS(($G26-(Data2010!V23-$H26)/$J26)),IF($D26="XX",ABS((100*$G26)-((Data2010!V23-$E26)*$F26)),"na")))</f>
        <v>16.666666666666664</v>
      </c>
    </row>
    <row r="27" spans="2:37">
      <c r="B27" t="str">
        <f>tblIndicators!A22</f>
        <v>FINC01</v>
      </c>
      <c r="C27" t="str">
        <f>tblIndicators!B22</f>
        <v>FINC</v>
      </c>
      <c r="D27" t="str">
        <f>tblIndicators!D22</f>
        <v>XX</v>
      </c>
      <c r="E27">
        <f>tblIndicators!E22</f>
        <v>0</v>
      </c>
      <c r="F27">
        <f>tblIndicators!F22</f>
        <v>25</v>
      </c>
      <c r="G27">
        <f>tblIndicators!G22</f>
        <v>0</v>
      </c>
      <c r="H27">
        <f>MIN(Data2010!D24:V24)</f>
        <v>0</v>
      </c>
      <c r="I27">
        <f>MAX(Data2010!D24:V24)</f>
        <v>4</v>
      </c>
      <c r="J27" s="22">
        <f t="shared" si="0"/>
        <v>4</v>
      </c>
      <c r="K27">
        <f>MATCH(B27,Weights!C$4:C$36,0)</f>
        <v>28</v>
      </c>
      <c r="L27" s="95">
        <f>tblIndicators!S22</f>
        <v>1</v>
      </c>
      <c r="M27" s="178">
        <f>L27*INDEX(Weights!G$4:G$36,K27)</f>
        <v>1</v>
      </c>
      <c r="N27" s="36">
        <f t="shared" si="1"/>
        <v>0.22222222222222221</v>
      </c>
      <c r="P27" t="str">
        <f>tblIndicators!Q22</f>
        <v xml:space="preserve">   Government payment risk</v>
      </c>
      <c r="Q27" s="103">
        <f t="shared" si="2"/>
        <v>0.22222222222222221</v>
      </c>
      <c r="S27" s="38">
        <f>IF($D27="WS",SUMPRODUCT(($C28:$C$35=$B27)*($Q28:$Q$35)*(S28:S$35)),IF($D27="MM",100*ABS(($G27-(Data2010!D24-$H27)/$J27)),IF($D27="XX",ABS((100*$G27)-((Data2010!D24-$E27)*$F27)),"na")))</f>
        <v>25</v>
      </c>
      <c r="T27" s="38">
        <f>IF($D27="WS",SUMPRODUCT(($C28:$C$35=$B27)*($Q28:$Q$35)*(T28:T$35)),IF($D27="MM",100*ABS(($G27-(Data2010!E24-$H27)/$J27)),IF($D27="XX",ABS((100*$G27)-((Data2010!E24-$E27)*$F27)),"na")))</f>
        <v>75</v>
      </c>
      <c r="U27" s="38">
        <f>IF($D27="WS",SUMPRODUCT(($C28:$C$35=$B27)*($Q28:$Q$35)*(U28:U$35)),IF($D27="MM",100*ABS(($G27-(Data2010!F24-$H27)/$J27)),IF($D27="XX",ABS((100*$G27)-((Data2010!F24-$E27)*$F27)),"na")))</f>
        <v>100</v>
      </c>
      <c r="V27" s="38">
        <f>IF($D27="WS",SUMPRODUCT(($C28:$C$35=$B27)*($Q28:$Q$35)*(V28:V$35)),IF($D27="MM",100*ABS(($G27-(Data2010!G24-$H27)/$J27)),IF($D27="XX",ABS((100*$G27)-((Data2010!G24-$E27)*$F27)),"na")))</f>
        <v>50</v>
      </c>
      <c r="W27" s="38">
        <f>IF($D27="WS",SUMPRODUCT(($C28:$C$35=$B27)*($Q28:$Q$35)*(W28:W$35)),IF($D27="MM",100*ABS(($G27-(Data2010!H24-$H27)/$J27)),IF($D27="XX",ABS((100*$G27)-((Data2010!H24-$E27)*$F27)),"na")))</f>
        <v>50</v>
      </c>
      <c r="X27" s="38">
        <f>IF($D27="WS",SUMPRODUCT(($C28:$C$35=$B27)*($Q28:$Q$35)*(X28:X$35)),IF($D27="MM",100*ABS(($G27-(Data2010!I24-$H27)/$J27)),IF($D27="XX",ABS((100*$G27)-((Data2010!I24-$E27)*$F27)),"na")))</f>
        <v>50</v>
      </c>
      <c r="Y27" s="38">
        <f>IF($D27="WS",SUMPRODUCT(($C28:$C$35=$B27)*($Q28:$Q$35)*(Y28:Y$35)),IF($D27="MM",100*ABS(($G27-(Data2010!J24-$H27)/$J27)),IF($D27="XX",ABS((100*$G27)-((Data2010!J24-$E27)*$F27)),"na")))</f>
        <v>0</v>
      </c>
      <c r="Z27" s="38">
        <f>IF($D27="WS",SUMPRODUCT(($C28:$C$35=$B27)*($Q28:$Q$35)*(Z28:Z$35)),IF($D27="MM",100*ABS(($G27-(Data2010!K24-$H27)/$J27)),IF($D27="XX",ABS((100*$G27)-((Data2010!K24-$E27)*$F27)),"na")))</f>
        <v>50</v>
      </c>
      <c r="AA27" s="38">
        <f>IF($D27="WS",SUMPRODUCT(($C28:$C$35=$B27)*($Q28:$Q$35)*(AA28:AA$35)),IF($D27="MM",100*ABS(($G27-(Data2010!L24-$H27)/$J27)),IF($D27="XX",ABS((100*$G27)-((Data2010!L24-$E27)*$F27)),"na")))</f>
        <v>50</v>
      </c>
      <c r="AB27" s="38">
        <f>IF($D27="WS",SUMPRODUCT(($C28:$C$35=$B27)*($Q28:$Q$35)*(AB28:AB$35)),IF($D27="MM",100*ABS(($G27-(Data2010!M24-$H27)/$J27)),IF($D27="XX",ABS((100*$G27)-((Data2010!M24-$E27)*$F27)),"na")))</f>
        <v>0</v>
      </c>
      <c r="AC27" s="38">
        <f>IF($D27="WS",SUMPRODUCT(($C28:$C$35=$B27)*($Q28:$Q$35)*(AC28:AC$35)),IF($D27="MM",100*ABS(($G27-(Data2010!N24-$H27)/$J27)),IF($D27="XX",ABS((100*$G27)-((Data2010!N24-$E27)*$F27)),"na")))</f>
        <v>0</v>
      </c>
      <c r="AD27" s="38">
        <f>IF($D27="WS",SUMPRODUCT(($C28:$C$35=$B27)*($Q28:$Q$35)*(AD28:AD$35)),IF($D27="MM",100*ABS(($G27-(Data2010!O24-$H27)/$J27)),IF($D27="XX",ABS((100*$G27)-((Data2010!O24-$E27)*$F27)),"na")))</f>
        <v>75</v>
      </c>
      <c r="AE27" s="38">
        <f>IF($D27="WS",SUMPRODUCT(($C28:$C$35=$B27)*($Q28:$Q$35)*(AE28:AE$35)),IF($D27="MM",100*ABS(($G27-(Data2010!P24-$H27)/$J27)),IF($D27="XX",ABS((100*$G27)-((Data2010!P24-$E27)*$F27)),"na")))</f>
        <v>0</v>
      </c>
      <c r="AF27" s="38">
        <f>IF($D27="WS",SUMPRODUCT(($C28:$C$35=$B27)*($Q28:$Q$35)*(AF28:AF$35)),IF($D27="MM",100*ABS(($G27-(Data2010!Q24-$H27)/$J27)),IF($D27="XX",ABS((100*$G27)-((Data2010!Q24-$E27)*$F27)),"na")))</f>
        <v>75</v>
      </c>
      <c r="AG27" s="38">
        <f>IF($D27="WS",SUMPRODUCT(($C28:$C$35=$B27)*($Q28:$Q$35)*(AG28:AG$35)),IF($D27="MM",100*ABS(($G27-(Data2010!R24-$H27)/$J27)),IF($D27="XX",ABS((100*$G27)-((Data2010!R24-$E27)*$F27)),"na")))</f>
        <v>25</v>
      </c>
      <c r="AH27" s="38">
        <f>IF($D27="WS",SUMPRODUCT(($C28:$C$35=$B27)*($Q28:$Q$35)*(AH28:AH$35)),IF($D27="MM",100*ABS(($G27-(Data2010!S24-$H27)/$J27)),IF($D27="XX",ABS((100*$G27)-((Data2010!S24-$E27)*$F27)),"na")))</f>
        <v>75</v>
      </c>
      <c r="AI27" s="38">
        <f>IF($D27="WS",SUMPRODUCT(($C28:$C$35=$B27)*($Q28:$Q$35)*(AI28:AI$35)),IF($D27="MM",100*ABS(($G27-(Data2010!T24-$H27)/$J27)),IF($D27="XX",ABS((100*$G27)-((Data2010!T24-$E27)*$F27)),"na")))</f>
        <v>75</v>
      </c>
      <c r="AJ27" s="38">
        <f>IF($D27="WS",SUMPRODUCT(($C28:$C$35=$B27)*($Q28:$Q$35)*(AJ28:AJ$35)),IF($D27="MM",100*ABS(($G27-(Data2010!U24-$H27)/$J27)),IF($D27="XX",ABS((100*$G27)-((Data2010!U24-$E27)*$F27)),"na")))</f>
        <v>50</v>
      </c>
      <c r="AK27" s="38">
        <f>IF($D27="WS",SUMPRODUCT(($C28:$C$35=$B27)*($Q28:$Q$35)*(AK28:AK$35)),IF($D27="MM",100*ABS(($G27-(Data2010!V24-$H27)/$J27)),IF($D27="XX",ABS((100*$G27)-((Data2010!V24-$E27)*$F27)),"na")))</f>
        <v>0</v>
      </c>
    </row>
    <row r="28" spans="2:37">
      <c r="B28" t="str">
        <f>tblIndicators!A23</f>
        <v>FINC02</v>
      </c>
      <c r="C28" t="str">
        <f>tblIndicators!B23</f>
        <v>FINC</v>
      </c>
      <c r="D28" t="str">
        <f>tblIndicators!D23</f>
        <v>XX</v>
      </c>
      <c r="E28">
        <f>tblIndicators!E23</f>
        <v>0</v>
      </c>
      <c r="F28">
        <f>tblIndicators!F23</f>
        <v>25</v>
      </c>
      <c r="G28">
        <f>tblIndicators!G23</f>
        <v>0</v>
      </c>
      <c r="H28">
        <f>MIN(Data2010!D25:V25)</f>
        <v>0</v>
      </c>
      <c r="I28">
        <f>MAX(Data2010!D25:V25)</f>
        <v>4</v>
      </c>
      <c r="J28" s="22">
        <f>I28-H28</f>
        <v>4</v>
      </c>
      <c r="K28">
        <f>MATCH(B28,Weights!C$4:C$36,0)</f>
        <v>29</v>
      </c>
      <c r="L28" s="95">
        <f>tblIndicators!S23</f>
        <v>1</v>
      </c>
      <c r="M28" s="178">
        <f>L28*INDEX(Weights!G$4:G$36,K28)</f>
        <v>2</v>
      </c>
      <c r="N28" s="36">
        <f t="shared" si="1"/>
        <v>0.44444444444444442</v>
      </c>
      <c r="P28" t="str">
        <f>tblIndicators!Q23</f>
        <v xml:space="preserve">   Capital market: private infrastructure finance</v>
      </c>
      <c r="Q28" s="103">
        <f t="shared" si="2"/>
        <v>0.44444444444444442</v>
      </c>
      <c r="S28" s="38">
        <f>IF($D28="WS",SUMPRODUCT(($C29:$C$35=$B28)*($Q29:$Q$35)*(S29:S$35)),IF($D28="MM",100*ABS(($G28-(Data2010!D25-$H28)/$J28)),IF($D28="XX",ABS((100*$G28)-((Data2010!D25-$E28)*$F28)),"na")))</f>
        <v>25</v>
      </c>
      <c r="T28" s="38">
        <f>IF($D28="WS",SUMPRODUCT(($C29:$C$35=$B28)*($Q29:$Q$35)*(T29:T$35)),IF($D28="MM",100*ABS(($G28-(Data2010!E25-$H28)/$J28)),IF($D28="XX",ABS((100*$G28)-((Data2010!E25-$E28)*$F28)),"na")))</f>
        <v>75</v>
      </c>
      <c r="U28" s="38">
        <f>IF($D28="WS",SUMPRODUCT(($C29:$C$35=$B28)*($Q29:$Q$35)*(U29:U$35)),IF($D28="MM",100*ABS(($G28-(Data2010!F25-$H28)/$J28)),IF($D28="XX",ABS((100*$G28)-((Data2010!F25-$E28)*$F28)),"na")))</f>
        <v>100</v>
      </c>
      <c r="V28" s="38">
        <f>IF($D28="WS",SUMPRODUCT(($C29:$C$35=$B28)*($Q29:$Q$35)*(V29:V$35)),IF($D28="MM",100*ABS(($G28-(Data2010!G25-$H28)/$J28)),IF($D28="XX",ABS((100*$G28)-((Data2010!G25-$E28)*$F28)),"na")))</f>
        <v>50</v>
      </c>
      <c r="W28" s="38">
        <f>IF($D28="WS",SUMPRODUCT(($C29:$C$35=$B28)*($Q29:$Q$35)*(W29:W$35)),IF($D28="MM",100*ABS(($G28-(Data2010!H25-$H28)/$J28)),IF($D28="XX",ABS((100*$G28)-((Data2010!H25-$E28)*$F28)),"na")))</f>
        <v>25</v>
      </c>
      <c r="X28" s="38">
        <f>IF($D28="WS",SUMPRODUCT(($C29:$C$35=$B28)*($Q29:$Q$35)*(X29:X$35)),IF($D28="MM",100*ABS(($G28-(Data2010!I25-$H28)/$J28)),IF($D28="XX",ABS((100*$G28)-((Data2010!I25-$E28)*$F28)),"na")))</f>
        <v>25</v>
      </c>
      <c r="Y28" s="38">
        <f>IF($D28="WS",SUMPRODUCT(($C29:$C$35=$B28)*($Q29:$Q$35)*(Y29:Y$35)),IF($D28="MM",100*ABS(($G28-(Data2010!J25-$H28)/$J28)),IF($D28="XX",ABS((100*$G28)-((Data2010!J25-$E28)*$F28)),"na")))</f>
        <v>25</v>
      </c>
      <c r="Z28" s="38">
        <f>IF($D28="WS",SUMPRODUCT(($C29:$C$35=$B28)*($Q29:$Q$35)*(Z29:Z$35)),IF($D28="MM",100*ABS(($G28-(Data2010!K25-$H28)/$J28)),IF($D28="XX",ABS((100*$G28)-((Data2010!K25-$E28)*$F28)),"na")))</f>
        <v>50</v>
      </c>
      <c r="AA28" s="38">
        <f>IF($D28="WS",SUMPRODUCT(($C29:$C$35=$B28)*($Q29:$Q$35)*(AA29:AA$35)),IF($D28="MM",100*ABS(($G28-(Data2010!L25-$H28)/$J28)),IF($D28="XX",ABS((100*$G28)-((Data2010!L25-$E28)*$F28)),"na")))</f>
        <v>0</v>
      </c>
      <c r="AB28" s="38">
        <f>IF($D28="WS",SUMPRODUCT(($C29:$C$35=$B28)*($Q29:$Q$35)*(AB29:AB$35)),IF($D28="MM",100*ABS(($G28-(Data2010!M25-$H28)/$J28)),IF($D28="XX",ABS((100*$G28)-((Data2010!M25-$E28)*$F28)),"na")))</f>
        <v>0</v>
      </c>
      <c r="AC28" s="38">
        <f>IF($D28="WS",SUMPRODUCT(($C29:$C$35=$B28)*($Q29:$Q$35)*(AC29:AC$35)),IF($D28="MM",100*ABS(($G28-(Data2010!N25-$H28)/$J28)),IF($D28="XX",ABS((100*$G28)-((Data2010!N25-$E28)*$F28)),"na")))</f>
        <v>0</v>
      </c>
      <c r="AD28" s="38">
        <f>IF($D28="WS",SUMPRODUCT(($C29:$C$35=$B28)*($Q29:$Q$35)*(AD29:AD$35)),IF($D28="MM",100*ABS(($G28-(Data2010!O25-$H28)/$J28)),IF($D28="XX",ABS((100*$G28)-((Data2010!O25-$E28)*$F28)),"na")))</f>
        <v>75</v>
      </c>
      <c r="AE28" s="38">
        <f>IF($D28="WS",SUMPRODUCT(($C29:$C$35=$B28)*($Q29:$Q$35)*(AE29:AE$35)),IF($D28="MM",100*ABS(($G28-(Data2010!P25-$H28)/$J28)),IF($D28="XX",ABS((100*$G28)-((Data2010!P25-$E28)*$F28)),"na")))</f>
        <v>0</v>
      </c>
      <c r="AF28" s="38">
        <f>IF($D28="WS",SUMPRODUCT(($C29:$C$35=$B28)*($Q29:$Q$35)*(AF29:AF$35)),IF($D28="MM",100*ABS(($G28-(Data2010!Q25-$H28)/$J28)),IF($D28="XX",ABS((100*$G28)-((Data2010!Q25-$E28)*$F28)),"na")))</f>
        <v>50</v>
      </c>
      <c r="AG28" s="38">
        <f>IF($D28="WS",SUMPRODUCT(($C29:$C$35=$B28)*($Q29:$Q$35)*(AG29:AG$35)),IF($D28="MM",100*ABS(($G28-(Data2010!R25-$H28)/$J28)),IF($D28="XX",ABS((100*$G28)-((Data2010!R25-$E28)*$F28)),"na")))</f>
        <v>25</v>
      </c>
      <c r="AH28" s="38">
        <f>IF($D28="WS",SUMPRODUCT(($C29:$C$35=$B28)*($Q29:$Q$35)*(AH29:AH$35)),IF($D28="MM",100*ABS(($G28-(Data2010!S25-$H28)/$J28)),IF($D28="XX",ABS((100*$G28)-((Data2010!S25-$E28)*$F28)),"na")))</f>
        <v>50</v>
      </c>
      <c r="AI28" s="38">
        <f>IF($D28="WS",SUMPRODUCT(($C29:$C$35=$B28)*($Q29:$Q$35)*(AI29:AI$35)),IF($D28="MM",100*ABS(($G28-(Data2010!T25-$H28)/$J28)),IF($D28="XX",ABS((100*$G28)-((Data2010!T25-$E28)*$F28)),"na")))</f>
        <v>50</v>
      </c>
      <c r="AJ28" s="38">
        <f>IF($D28="WS",SUMPRODUCT(($C29:$C$35=$B28)*($Q29:$Q$35)*(AJ29:AJ$35)),IF($D28="MM",100*ABS(($G28-(Data2010!U25-$H28)/$J28)),IF($D28="XX",ABS((100*$G28)-((Data2010!U25-$E28)*$F28)),"na")))</f>
        <v>25</v>
      </c>
      <c r="AK28" s="38">
        <f>IF($D28="WS",SUMPRODUCT(($C29:$C$35=$B28)*($Q29:$Q$35)*(AK29:AK$35)),IF($D28="MM",100*ABS(($G28-(Data2010!V25-$H28)/$J28)),IF($D28="XX",ABS((100*$G28)-((Data2010!V25-$E28)*$F28)),"na")))</f>
        <v>25</v>
      </c>
    </row>
    <row r="29" spans="2:37">
      <c r="B29" t="str">
        <f>tblIndicators!A24</f>
        <v>FINC03</v>
      </c>
      <c r="C29" t="str">
        <f>tblIndicators!B24</f>
        <v>FINC</v>
      </c>
      <c r="D29" t="str">
        <f>tblIndicators!D24</f>
        <v>XX</v>
      </c>
      <c r="E29">
        <f>tblIndicators!E24</f>
        <v>0</v>
      </c>
      <c r="F29">
        <f>tblIndicators!F24</f>
        <v>25</v>
      </c>
      <c r="G29">
        <f>tblIndicators!G24</f>
        <v>0</v>
      </c>
      <c r="H29">
        <f>MIN(Data2010!D26:V26)</f>
        <v>1</v>
      </c>
      <c r="I29">
        <f>MAX(Data2010!D26:V26)</f>
        <v>4</v>
      </c>
      <c r="J29" s="22">
        <f>I29-H29</f>
        <v>3</v>
      </c>
      <c r="K29">
        <f>MATCH(B29,Weights!C$4:C$36,0)</f>
        <v>30</v>
      </c>
      <c r="L29" s="95">
        <f>tblIndicators!S24</f>
        <v>1</v>
      </c>
      <c r="M29" s="178">
        <f>L29*INDEX(Weights!G$4:G$36,K29)</f>
        <v>1</v>
      </c>
      <c r="N29" s="36">
        <f t="shared" si="1"/>
        <v>0.22222222222222221</v>
      </c>
      <c r="P29" t="str">
        <f>tblIndicators!Q24</f>
        <v xml:space="preserve">   Marketable debt</v>
      </c>
      <c r="Q29" s="103">
        <f t="shared" si="2"/>
        <v>0.22222222222222221</v>
      </c>
      <c r="S29" s="38">
        <f>IF($D29="WS",SUMPRODUCT(($C30:$C$35=$B29)*($Q30:$Q$35)*(S30:S$35)),IF($D29="MM",100*ABS(($G29-(Data2010!D26-$H29)/$J29)),IF($D29="XX",ABS((100*$G29)-((Data2010!D26-$E29)*$F29)),"na")))</f>
        <v>75</v>
      </c>
      <c r="T29" s="38">
        <f>IF($D29="WS",SUMPRODUCT(($C30:$C$35=$B29)*($Q30:$Q$35)*(T30:T$35)),IF($D29="MM",100*ABS(($G29-(Data2010!E26-$H29)/$J29)),IF($D29="XX",ABS((100*$G29)-((Data2010!E26-$E29)*$F29)),"na")))</f>
        <v>75</v>
      </c>
      <c r="U29" s="38">
        <f>IF($D29="WS",SUMPRODUCT(($C30:$C$35=$B29)*($Q30:$Q$35)*(U30:U$35)),IF($D29="MM",100*ABS(($G29-(Data2010!F26-$H29)/$J29)),IF($D29="XX",ABS((100*$G29)-((Data2010!F26-$E29)*$F29)),"na")))</f>
        <v>100</v>
      </c>
      <c r="V29" s="38">
        <f>IF($D29="WS",SUMPRODUCT(($C30:$C$35=$B29)*($Q30:$Q$35)*(V30:V$35)),IF($D29="MM",100*ABS(($G29-(Data2010!G26-$H29)/$J29)),IF($D29="XX",ABS((100*$G29)-((Data2010!G26-$E29)*$F29)),"na")))</f>
        <v>75</v>
      </c>
      <c r="W29" s="38">
        <f>IF($D29="WS",SUMPRODUCT(($C30:$C$35=$B29)*($Q30:$Q$35)*(W30:W$35)),IF($D29="MM",100*ABS(($G29-(Data2010!H26-$H29)/$J29)),IF($D29="XX",ABS((100*$G29)-((Data2010!H26-$E29)*$F29)),"na")))</f>
        <v>75</v>
      </c>
      <c r="X29" s="38">
        <f>IF($D29="WS",SUMPRODUCT(($C30:$C$35=$B29)*($Q30:$Q$35)*(X30:X$35)),IF($D29="MM",100*ABS(($G29-(Data2010!I26-$H29)/$J29)),IF($D29="XX",ABS((100*$G29)-((Data2010!I26-$E29)*$F29)),"na")))</f>
        <v>25</v>
      </c>
      <c r="Y29" s="38">
        <f>IF($D29="WS",SUMPRODUCT(($C30:$C$35=$B29)*($Q30:$Q$35)*(Y30:Y$35)),IF($D29="MM",100*ABS(($G29-(Data2010!J26-$H29)/$J29)),IF($D29="XX",ABS((100*$G29)-((Data2010!J26-$E29)*$F29)),"na")))</f>
        <v>25</v>
      </c>
      <c r="Z29" s="38">
        <f>IF($D29="WS",SUMPRODUCT(($C30:$C$35=$B29)*($Q30:$Q$35)*(Z30:Z$35)),IF($D29="MM",100*ABS(($G29-(Data2010!K26-$H29)/$J29)),IF($D29="XX",ABS((100*$G29)-((Data2010!K26-$E29)*$F29)),"na")))</f>
        <v>50</v>
      </c>
      <c r="AA29" s="38">
        <f>IF($D29="WS",SUMPRODUCT(($C30:$C$35=$B29)*($Q30:$Q$35)*(AA30:AA$35)),IF($D29="MM",100*ABS(($G29-(Data2010!L26-$H29)/$J29)),IF($D29="XX",ABS((100*$G29)-((Data2010!L26-$E29)*$F29)),"na")))</f>
        <v>25</v>
      </c>
      <c r="AB29" s="38">
        <f>IF($D29="WS",SUMPRODUCT(($C30:$C$35=$B29)*($Q30:$Q$35)*(AB30:AB$35)),IF($D29="MM",100*ABS(($G29-(Data2010!M26-$H29)/$J29)),IF($D29="XX",ABS((100*$G29)-((Data2010!M26-$E29)*$F29)),"na")))</f>
        <v>25</v>
      </c>
      <c r="AC29" s="38">
        <f>IF($D29="WS",SUMPRODUCT(($C30:$C$35=$B29)*($Q30:$Q$35)*(AC30:AC$35)),IF($D29="MM",100*ABS(($G29-(Data2010!N26-$H29)/$J29)),IF($D29="XX",ABS((100*$G29)-((Data2010!N26-$E29)*$F29)),"na")))</f>
        <v>50</v>
      </c>
      <c r="AD29" s="38">
        <f>IF($D29="WS",SUMPRODUCT(($C30:$C$35=$B29)*($Q30:$Q$35)*(AD30:AD$35)),IF($D29="MM",100*ABS(($G29-(Data2010!O26-$H29)/$J29)),IF($D29="XX",ABS((100*$G29)-((Data2010!O26-$E29)*$F29)),"na")))</f>
        <v>75</v>
      </c>
      <c r="AE29" s="38">
        <f>IF($D29="WS",SUMPRODUCT(($C30:$C$35=$B29)*($Q30:$Q$35)*(AE30:AE$35)),IF($D29="MM",100*ABS(($G29-(Data2010!P26-$H29)/$J29)),IF($D29="XX",ABS((100*$G29)-((Data2010!P26-$E29)*$F29)),"na")))</f>
        <v>25</v>
      </c>
      <c r="AF29" s="38">
        <f>IF($D29="WS",SUMPRODUCT(($C30:$C$35=$B29)*($Q30:$Q$35)*(AF30:AF$35)),IF($D29="MM",100*ABS(($G29-(Data2010!Q26-$H29)/$J29)),IF($D29="XX",ABS((100*$G29)-((Data2010!Q26-$E29)*$F29)),"na")))</f>
        <v>100</v>
      </c>
      <c r="AG29" s="38">
        <f>IF($D29="WS",SUMPRODUCT(($C30:$C$35=$B29)*($Q30:$Q$35)*(AG30:AG$35)),IF($D29="MM",100*ABS(($G29-(Data2010!R26-$H29)/$J29)),IF($D29="XX",ABS((100*$G29)-((Data2010!R26-$E29)*$F29)),"na")))</f>
        <v>25</v>
      </c>
      <c r="AH29" s="38">
        <f>IF($D29="WS",SUMPRODUCT(($C30:$C$35=$B29)*($Q30:$Q$35)*(AH30:AH$35)),IF($D29="MM",100*ABS(($G29-(Data2010!S26-$H29)/$J29)),IF($D29="XX",ABS((100*$G29)-((Data2010!S26-$E29)*$F29)),"na")))</f>
        <v>75</v>
      </c>
      <c r="AI29" s="38">
        <f>IF($D29="WS",SUMPRODUCT(($C30:$C$35=$B29)*($Q30:$Q$35)*(AI30:AI$35)),IF($D29="MM",100*ABS(($G29-(Data2010!T26-$H29)/$J29)),IF($D29="XX",ABS((100*$G29)-((Data2010!T26-$E29)*$F29)),"na")))</f>
        <v>75</v>
      </c>
      <c r="AJ29" s="38">
        <f>IF($D29="WS",SUMPRODUCT(($C30:$C$35=$B29)*($Q30:$Q$35)*(AJ30:AJ$35)),IF($D29="MM",100*ABS(($G29-(Data2010!U26-$H29)/$J29)),IF($D29="XX",ABS((100*$G29)-((Data2010!U26-$E29)*$F29)),"na")))</f>
        <v>25</v>
      </c>
      <c r="AK29" s="38">
        <f>IF($D29="WS",SUMPRODUCT(($C30:$C$35=$B29)*($Q30:$Q$35)*(AK30:AK$35)),IF($D29="MM",100*ABS(($G29-(Data2010!V26-$H29)/$J29)),IF($D29="XX",ABS((100*$G29)-((Data2010!V26-$E29)*$F29)),"na")))</f>
        <v>25</v>
      </c>
    </row>
    <row r="30" spans="2:37">
      <c r="B30" t="str">
        <f>tblIndicators!A25</f>
        <v>FINC04</v>
      </c>
      <c r="C30" t="str">
        <f>tblIndicators!B25</f>
        <v>FINC</v>
      </c>
      <c r="D30" t="str">
        <f>tblIndicators!D25</f>
        <v>XX</v>
      </c>
      <c r="E30">
        <f>tblIndicators!E25</f>
        <v>0</v>
      </c>
      <c r="F30">
        <f>tblIndicators!F25</f>
        <v>25</v>
      </c>
      <c r="G30">
        <f>tblIndicators!G25</f>
        <v>0</v>
      </c>
      <c r="H30">
        <f>MIN(Data2010!D27:V27)</f>
        <v>0</v>
      </c>
      <c r="I30">
        <f>MAX(Data2010!D27:V27)</f>
        <v>3</v>
      </c>
      <c r="J30" s="22">
        <f>I30-H30</f>
        <v>3</v>
      </c>
      <c r="K30">
        <f>MATCH(B30,Weights!C$4:C$36,0)</f>
        <v>31</v>
      </c>
      <c r="L30" s="95">
        <f>tblIndicators!S25</f>
        <v>1</v>
      </c>
      <c r="M30" s="178">
        <f>L30*INDEX(Weights!G$4:G$36,K30)</f>
        <v>0.5</v>
      </c>
      <c r="N30" s="36">
        <f t="shared" si="1"/>
        <v>0.1111111111111111</v>
      </c>
      <c r="P30" t="str">
        <f>tblIndicators!Q25</f>
        <v xml:space="preserve">   Government support and affordability for low income users</v>
      </c>
      <c r="Q30" s="103">
        <f t="shared" si="2"/>
        <v>0.1111111111111111</v>
      </c>
      <c r="S30" s="38">
        <f>IF($D30="WS",SUMPRODUCT(($C31:$C$35=$B30)*($Q31:$Q$35)*(S31:S$35)),IF($D30="MM",100*ABS(($G30-(Data2010!D27-$H30)/$J30)),IF($D30="XX",ABS((100*$G30)-((Data2010!D27-$E30)*$F30)),"na")))</f>
        <v>0</v>
      </c>
      <c r="T30" s="38">
        <f>IF($D30="WS",SUMPRODUCT(($C31:$C$35=$B30)*($Q31:$Q$35)*(T31:T$35)),IF($D30="MM",100*ABS(($G30-(Data2010!E27-$H30)/$J30)),IF($D30="XX",ABS((100*$G30)-((Data2010!E27-$E30)*$F30)),"na")))</f>
        <v>50</v>
      </c>
      <c r="U30" s="38">
        <f>IF($D30="WS",SUMPRODUCT(($C31:$C$35=$B30)*($Q31:$Q$35)*(U31:U$35)),IF($D30="MM",100*ABS(($G30-(Data2010!F27-$H30)/$J30)),IF($D30="XX",ABS((100*$G30)-((Data2010!F27-$E30)*$F30)),"na")))</f>
        <v>75</v>
      </c>
      <c r="V30" s="38">
        <f>IF($D30="WS",SUMPRODUCT(($C31:$C$35=$B30)*($Q31:$Q$35)*(V31:V$35)),IF($D30="MM",100*ABS(($G30-(Data2010!G27-$H30)/$J30)),IF($D30="XX",ABS((100*$G30)-((Data2010!G27-$E30)*$F30)),"na")))</f>
        <v>50</v>
      </c>
      <c r="W30" s="38">
        <f>IF($D30="WS",SUMPRODUCT(($C31:$C$35=$B30)*($Q31:$Q$35)*(W31:W$35)),IF($D30="MM",100*ABS(($G30-(Data2010!H27-$H30)/$J30)),IF($D30="XX",ABS((100*$G30)-((Data2010!H27-$E30)*$F30)),"na")))</f>
        <v>25</v>
      </c>
      <c r="X30" s="38">
        <f>IF($D30="WS",SUMPRODUCT(($C31:$C$35=$B30)*($Q31:$Q$35)*(X31:X$35)),IF($D30="MM",100*ABS(($G30-(Data2010!I27-$H30)/$J30)),IF($D30="XX",ABS((100*$G30)-((Data2010!I27-$E30)*$F30)),"na")))</f>
        <v>25</v>
      </c>
      <c r="Y30" s="38">
        <f>IF($D30="WS",SUMPRODUCT(($C31:$C$35=$B30)*($Q31:$Q$35)*(Y31:Y$35)),IF($D30="MM",100*ABS(($G30-(Data2010!J27-$H30)/$J30)),IF($D30="XX",ABS((100*$G30)-((Data2010!J27-$E30)*$F30)),"na")))</f>
        <v>0</v>
      </c>
      <c r="Z30" s="38">
        <f>IF($D30="WS",SUMPRODUCT(($C31:$C$35=$B30)*($Q31:$Q$35)*(Z31:Z$35)),IF($D30="MM",100*ABS(($G30-(Data2010!K27-$H30)/$J30)),IF($D30="XX",ABS((100*$G30)-((Data2010!K27-$E30)*$F30)),"na")))</f>
        <v>25</v>
      </c>
      <c r="AA30" s="38">
        <f>IF($D30="WS",SUMPRODUCT(($C31:$C$35=$B30)*($Q31:$Q$35)*(AA31:AA$35)),IF($D30="MM",100*ABS(($G30-(Data2010!L27-$H30)/$J30)),IF($D30="XX",ABS((100*$G30)-((Data2010!L27-$E30)*$F30)),"na")))</f>
        <v>50</v>
      </c>
      <c r="AB30" s="38">
        <f>IF($D30="WS",SUMPRODUCT(($C31:$C$35=$B30)*($Q31:$Q$35)*(AB31:AB$35)),IF($D30="MM",100*ABS(($G30-(Data2010!M27-$H30)/$J30)),IF($D30="XX",ABS((100*$G30)-((Data2010!M27-$E30)*$F30)),"na")))</f>
        <v>50</v>
      </c>
      <c r="AC30" s="38">
        <f>IF($D30="WS",SUMPRODUCT(($C31:$C$35=$B30)*($Q31:$Q$35)*(AC31:AC$35)),IF($D30="MM",100*ABS(($G30-(Data2010!N27-$H30)/$J30)),IF($D30="XX",ABS((100*$G30)-((Data2010!N27-$E30)*$F30)),"na")))</f>
        <v>50</v>
      </c>
      <c r="AD30" s="38">
        <f>IF($D30="WS",SUMPRODUCT(($C31:$C$35=$B30)*($Q31:$Q$35)*(AD31:AD$35)),IF($D30="MM",100*ABS(($G30-(Data2010!O27-$H30)/$J30)),IF($D30="XX",ABS((100*$G30)-((Data2010!O27-$E30)*$F30)),"na")))</f>
        <v>50</v>
      </c>
      <c r="AE30" s="38">
        <f>IF($D30="WS",SUMPRODUCT(($C31:$C$35=$B30)*($Q31:$Q$35)*(AE31:AE$35)),IF($D30="MM",100*ABS(($G30-(Data2010!P27-$H30)/$J30)),IF($D30="XX",ABS((100*$G30)-((Data2010!P27-$E30)*$F30)),"na")))</f>
        <v>25</v>
      </c>
      <c r="AF30" s="38">
        <f>IF($D30="WS",SUMPRODUCT(($C31:$C$35=$B30)*($Q31:$Q$35)*(AF31:AF$35)),IF($D30="MM",100*ABS(($G30-(Data2010!Q27-$H30)/$J30)),IF($D30="XX",ABS((100*$G30)-((Data2010!Q27-$E30)*$F30)),"na")))</f>
        <v>25</v>
      </c>
      <c r="AG30" s="38">
        <f>IF($D30="WS",SUMPRODUCT(($C31:$C$35=$B30)*($Q31:$Q$35)*(AG31:AG$35)),IF($D30="MM",100*ABS(($G30-(Data2010!R27-$H30)/$J30)),IF($D30="XX",ABS((100*$G30)-((Data2010!R27-$E30)*$F30)),"na")))</f>
        <v>25</v>
      </c>
      <c r="AH30" s="38">
        <f>IF($D30="WS",SUMPRODUCT(($C31:$C$35=$B30)*($Q31:$Q$35)*(AH31:AH$35)),IF($D30="MM",100*ABS(($G30-(Data2010!S27-$H30)/$J30)),IF($D30="XX",ABS((100*$G30)-((Data2010!S27-$E30)*$F30)),"na")))</f>
        <v>50</v>
      </c>
      <c r="AI30" s="38">
        <f>IF($D30="WS",SUMPRODUCT(($C31:$C$35=$B30)*($Q31:$Q$35)*(AI31:AI$35)),IF($D30="MM",100*ABS(($G30-(Data2010!T27-$H30)/$J30)),IF($D30="XX",ABS((100*$G30)-((Data2010!T27-$E30)*$F30)),"na")))</f>
        <v>25</v>
      </c>
      <c r="AJ30" s="38">
        <f>IF($D30="WS",SUMPRODUCT(($C31:$C$35=$B30)*($Q31:$Q$35)*(AJ31:AJ$35)),IF($D30="MM",100*ABS(($G30-(Data2010!U27-$H30)/$J30)),IF($D30="XX",ABS((100*$G30)-((Data2010!U27-$E30)*$F30)),"na")))</f>
        <v>25</v>
      </c>
      <c r="AK30" s="38">
        <f>IF($D30="WS",SUMPRODUCT(($C31:$C$35=$B30)*($Q31:$Q$35)*(AK31:AK$35)),IF($D30="MM",100*ABS(($G30-(Data2010!V27-$H30)/$J30)),IF($D30="XX",ABS((100*$G30)-((Data2010!V27-$E30)*$F30)),"na")))</f>
        <v>0</v>
      </c>
    </row>
    <row r="31" spans="2:37" s="39" customFormat="1">
      <c r="B31" s="39" t="str">
        <f>tblIndicators!A26</f>
        <v>NEWSEC</v>
      </c>
      <c r="C31" s="39" t="str">
        <f>tblIndicators!B26</f>
        <v>TOTL</v>
      </c>
      <c r="D31" s="39" t="str">
        <f>tblIndicators!D26</f>
        <v>WS</v>
      </c>
      <c r="E31" s="39">
        <f>tblIndicators!E26</f>
        <v>0</v>
      </c>
      <c r="F31" s="39">
        <f>tblIndicators!F26</f>
        <v>0</v>
      </c>
      <c r="G31" s="39">
        <f>tblIndicators!G26</f>
        <v>0</v>
      </c>
      <c r="H31" s="39">
        <f>MIN(Data2010!D28:V28)</f>
        <v>0</v>
      </c>
      <c r="I31" s="39">
        <f>MAX(Data2010!D28:V28)</f>
        <v>0</v>
      </c>
      <c r="J31" s="96">
        <f>I31-H31</f>
        <v>0</v>
      </c>
      <c r="K31" s="39">
        <f>MATCH(B31,Weights!C$4:C$36,0)</f>
        <v>6</v>
      </c>
      <c r="L31" s="179">
        <v>0</v>
      </c>
      <c r="M31" s="178">
        <f>L31*INDEX(Weights!G$4:G$36,K31)</f>
        <v>0</v>
      </c>
      <c r="N31" s="98">
        <f t="shared" si="1"/>
        <v>0</v>
      </c>
      <c r="P31" s="39" t="str">
        <f>tblIndicators!Q26</f>
        <v>SUBNATIONAL ADJUSTMENT</v>
      </c>
      <c r="Q31" s="102">
        <f t="shared" si="2"/>
        <v>0</v>
      </c>
      <c r="S31" s="174">
        <f>IF($D31="WS",SUMPRODUCT(($C32:$C$35=$B31)*($Q32:$Q$35)*(S32:S$35)),IF($D31="MM",100*ABS(($G31-(Data2010!D28-$H31)/$J31)),IF($D31="XX",ABS((100*$G31)-((Data2010!D28-$E31)*$F31)),"na")))</f>
        <v>0</v>
      </c>
      <c r="T31" s="174">
        <f>IF($D31="WS",SUMPRODUCT(($C32:$C$35=$B31)*($Q32:$Q$35)*(T32:T$35)),IF($D31="MM",100*ABS(($G31-(Data2010!E28-$H31)/$J31)),IF($D31="XX",ABS((100*$G31)-((Data2010!E28-$E31)*$F31)),"na")))</f>
        <v>0</v>
      </c>
      <c r="U31" s="174">
        <f>IF($D31="WS",SUMPRODUCT(($C32:$C$35=$B31)*($Q32:$Q$35)*(U32:U$35)),IF($D31="MM",100*ABS(($G31-(Data2010!F28-$H31)/$J31)),IF($D31="XX",ABS((100*$G31)-((Data2010!F28-$E31)*$F31)),"na")))</f>
        <v>0</v>
      </c>
      <c r="V31" s="174">
        <f>IF($D31="WS",SUMPRODUCT(($C32:$C$35=$B31)*($Q32:$Q$35)*(V32:V$35)),IF($D31="MM",100*ABS(($G31-(Data2010!G28-$H31)/$J31)),IF($D31="XX",ABS((100*$G31)-((Data2010!G28-$E31)*$F31)),"na")))</f>
        <v>0</v>
      </c>
      <c r="W31" s="174">
        <f>IF($D31="WS",SUMPRODUCT(($C32:$C$35=$B31)*($Q32:$Q$35)*(W32:W$35)),IF($D31="MM",100*ABS(($G31-(Data2010!H28-$H31)/$J31)),IF($D31="XX",ABS((100*$G31)-((Data2010!H28-$E31)*$F31)),"na")))</f>
        <v>0</v>
      </c>
      <c r="X31" s="174">
        <f>IF($D31="WS",SUMPRODUCT(($C32:$C$35=$B31)*($Q32:$Q$35)*(X32:X$35)),IF($D31="MM",100*ABS(($G31-(Data2010!I28-$H31)/$J31)),IF($D31="XX",ABS((100*$G31)-((Data2010!I28-$E31)*$F31)),"na")))</f>
        <v>0</v>
      </c>
      <c r="Y31" s="174">
        <f>IF($D31="WS",SUMPRODUCT(($C32:$C$35=$B31)*($Q32:$Q$35)*(Y32:Y$35)),IF($D31="MM",100*ABS(($G31-(Data2010!J28-$H31)/$J31)),IF($D31="XX",ABS((100*$G31)-((Data2010!J28-$E31)*$F31)),"na")))</f>
        <v>0</v>
      </c>
      <c r="Z31" s="174">
        <f>IF($D31="WS",SUMPRODUCT(($C32:$C$35=$B31)*($Q32:$Q$35)*(Z32:Z$35)),IF($D31="MM",100*ABS(($G31-(Data2010!K28-$H31)/$J31)),IF($D31="XX",ABS((100*$G31)-((Data2010!K28-$E31)*$F31)),"na")))</f>
        <v>0</v>
      </c>
      <c r="AA31" s="174">
        <f>IF($D31="WS",SUMPRODUCT(($C32:$C$35=$B31)*($Q32:$Q$35)*(AA32:AA$35)),IF($D31="MM",100*ABS(($G31-(Data2010!L28-$H31)/$J31)),IF($D31="XX",ABS((100*$G31)-((Data2010!L28-$E31)*$F31)),"na")))</f>
        <v>0</v>
      </c>
      <c r="AB31" s="174">
        <f>IF($D31="WS",SUMPRODUCT(($C32:$C$35=$B31)*($Q32:$Q$35)*(AB32:AB$35)),IF($D31="MM",100*ABS(($G31-(Data2010!M28-$H31)/$J31)),IF($D31="XX",ABS((100*$G31)-((Data2010!M28-$E31)*$F31)),"na")))</f>
        <v>0</v>
      </c>
      <c r="AC31" s="174">
        <f>IF($D31="WS",SUMPRODUCT(($C32:$C$35=$B31)*($Q32:$Q$35)*(AC32:AC$35)),IF($D31="MM",100*ABS(($G31-(Data2010!N28-$H31)/$J31)),IF($D31="XX",ABS((100*$G31)-((Data2010!N28-$E31)*$F31)),"na")))</f>
        <v>0</v>
      </c>
      <c r="AD31" s="174">
        <f>IF($D31="WS",SUMPRODUCT(($C32:$C$35=$B31)*($Q32:$Q$35)*(AD32:AD$35)),IF($D31="MM",100*ABS(($G31-(Data2010!O28-$H31)/$J31)),IF($D31="XX",ABS((100*$G31)-((Data2010!O28-$E31)*$F31)),"na")))</f>
        <v>0</v>
      </c>
      <c r="AE31" s="174">
        <f>IF($D31="WS",SUMPRODUCT(($C32:$C$35=$B31)*($Q32:$Q$35)*(AE32:AE$35)),IF($D31="MM",100*ABS(($G31-(Data2010!P28-$H31)/$J31)),IF($D31="XX",ABS((100*$G31)-((Data2010!P28-$E31)*$F31)),"na")))</f>
        <v>0</v>
      </c>
      <c r="AF31" s="174">
        <f>IF($D31="WS",SUMPRODUCT(($C32:$C$35=$B31)*($Q32:$Q$35)*(AF32:AF$35)),IF($D31="MM",100*ABS(($G31-(Data2010!Q28-$H31)/$J31)),IF($D31="XX",ABS((100*$G31)-((Data2010!Q28-$E31)*$F31)),"na")))</f>
        <v>0</v>
      </c>
      <c r="AG31" s="174">
        <f>IF($D31="WS",SUMPRODUCT(($C32:$C$35=$B31)*($Q32:$Q$35)*(AG32:AG$35)),IF($D31="MM",100*ABS(($G31-(Data2010!R28-$H31)/$J31)),IF($D31="XX",ABS((100*$G31)-((Data2010!R28-$E31)*$F31)),"na")))</f>
        <v>0</v>
      </c>
      <c r="AH31" s="174">
        <f>IF($D31="WS",SUMPRODUCT(($C32:$C$35=$B31)*($Q32:$Q$35)*(AH32:AH$35)),IF($D31="MM",100*ABS(($G31-(Data2010!S28-$H31)/$J31)),IF($D31="XX",ABS((100*$G31)-((Data2010!S28-$E31)*$F31)),"na")))</f>
        <v>0</v>
      </c>
      <c r="AI31" s="174">
        <f>IF($D31="WS",SUMPRODUCT(($C32:$C$35=$B31)*($Q32:$Q$35)*(AI32:AI$35)),IF($D31="MM",100*ABS(($G31-(Data2010!T28-$H31)/$J31)),IF($D31="XX",ABS((100*$G31)-((Data2010!T28-$E31)*$F31)),"na")))</f>
        <v>0</v>
      </c>
      <c r="AJ31" s="174">
        <f>IF($D31="WS",SUMPRODUCT(($C32:$C$35=$B31)*($Q32:$Q$35)*(AJ32:AJ$35)),IF($D31="MM",100*ABS(($G31-(Data2010!U28-$H31)/$J31)),IF($D31="XX",ABS((100*$G31)-((Data2010!U28-$E31)*$F31)),"na")))</f>
        <v>0</v>
      </c>
      <c r="AK31" s="174">
        <f>IF($D31="WS",SUMPRODUCT(($C32:$C$35=$B31)*($Q32:$Q$35)*(AK32:AK$35)),IF($D31="MM",100*ABS(($G31-(Data2010!V28-$H31)/$J31)),IF($D31="XX",ABS((100*$G31)-((Data2010!V28-$E31)*$F31)),"na")))</f>
        <v>0</v>
      </c>
    </row>
    <row r="32" spans="2:37">
      <c r="B32" t="str">
        <f>tblIndicators!A27</f>
        <v>NEWSEC01</v>
      </c>
      <c r="C32" t="str">
        <f>tblIndicators!B27</f>
        <v>NEWSEC</v>
      </c>
      <c r="D32" t="str">
        <f>tblIndicators!D27</f>
        <v>XX</v>
      </c>
      <c r="E32">
        <f>tblIndicators!E27</f>
        <v>0</v>
      </c>
      <c r="F32">
        <f>tblIndicators!F27</f>
        <v>25</v>
      </c>
      <c r="G32">
        <f>tblIndicators!G27</f>
        <v>0</v>
      </c>
      <c r="H32">
        <f>MIN(Data2010!D29:V29)</f>
        <v>0</v>
      </c>
      <c r="I32">
        <f>MAX(Data2010!D29:V29)</f>
        <v>3</v>
      </c>
      <c r="J32" s="22">
        <f>I32-H32</f>
        <v>3</v>
      </c>
      <c r="K32">
        <f>MATCH(B32,Weights!C$4:C$36,0)</f>
        <v>33</v>
      </c>
      <c r="L32" s="179">
        <f>tblIndicators!S27</f>
        <v>0</v>
      </c>
      <c r="M32" s="178">
        <f>L32*INDEX(Weights!G$4:G$36,K32)</f>
        <v>0</v>
      </c>
      <c r="N32" s="179">
        <v>0</v>
      </c>
      <c r="P32" t="str">
        <f>tblIndicators!Q27</f>
        <v xml:space="preserve">   Subnational adjustment factor</v>
      </c>
      <c r="Q32" s="103">
        <f t="shared" si="2"/>
        <v>0</v>
      </c>
      <c r="S32" s="38">
        <f>IF($D32="WS",SUMPRODUCT(($C33:$C$35=$B32)*($Q33:$Q$35)*(S33:S$35)),IF($D32="MM",100*ABS(($G32-(Data2010!D29-$H32)/$J32)),IF($D32="XX",ABS((100*$G32)-((Data2010!D29-$E32)*$F32)),"na")))</f>
        <v>50</v>
      </c>
      <c r="T32" s="38">
        <f>IF($D32="WS",SUMPRODUCT(($C33:$C$35=$B32)*($Q33:$Q$35)*(T33:T$35)),IF($D32="MM",100*ABS(($G32-(Data2010!E29-$H32)/$J32)),IF($D32="XX",ABS((100*$G32)-((Data2010!E29-$E32)*$F32)),"na")))</f>
        <v>75</v>
      </c>
      <c r="U32" s="38">
        <f>IF($D32="WS",SUMPRODUCT(($C33:$C$35=$B32)*($Q33:$Q$35)*(U33:U$35)),IF($D32="MM",100*ABS(($G32-(Data2010!F29-$H32)/$J32)),IF($D32="XX",ABS((100*$G32)-((Data2010!F29-$E32)*$F32)),"na")))</f>
        <v>50</v>
      </c>
      <c r="V32" s="38">
        <f>IF($D32="WS",SUMPRODUCT(($C33:$C$35=$B32)*($Q33:$Q$35)*(V33:V$35)),IF($D32="MM",100*ABS(($G32-(Data2010!G29-$H32)/$J32)),IF($D32="XX",ABS((100*$G32)-((Data2010!G29-$E32)*$F32)),"na")))</f>
        <v>50</v>
      </c>
      <c r="W32" s="38">
        <f>IF($D32="WS",SUMPRODUCT(($C33:$C$35=$B32)*($Q33:$Q$35)*(W33:W$35)),IF($D32="MM",100*ABS(($G32-(Data2010!H29-$H32)/$J32)),IF($D32="XX",ABS((100*$G32)-((Data2010!H29-$E32)*$F32)),"na")))</f>
        <v>0</v>
      </c>
      <c r="X32" s="38">
        <f>IF($D32="WS",SUMPRODUCT(($C33:$C$35=$B32)*($Q33:$Q$35)*(X33:X$35)),IF($D32="MM",100*ABS(($G32-(Data2010!I29-$H32)/$J32)),IF($D32="XX",ABS((100*$G32)-((Data2010!I29-$E32)*$F32)),"na")))</f>
        <v>25</v>
      </c>
      <c r="Y32" s="38">
        <f>IF($D32="WS",SUMPRODUCT(($C33:$C$35=$B32)*($Q33:$Q$35)*(Y33:Y$35)),IF($D32="MM",100*ABS(($G32-(Data2010!J29-$H32)/$J32)),IF($D32="XX",ABS((100*$G32)-((Data2010!J29-$E32)*$F32)),"na")))</f>
        <v>25</v>
      </c>
      <c r="Z32" s="38">
        <f>IF($D32="WS",SUMPRODUCT(($C33:$C$35=$B32)*($Q33:$Q$35)*(Z33:Z$35)),IF($D32="MM",100*ABS(($G32-(Data2010!K29-$H32)/$J32)),IF($D32="XX",ABS((100*$G32)-((Data2010!K29-$E32)*$F32)),"na")))</f>
        <v>0</v>
      </c>
      <c r="AA32" s="38">
        <f>IF($D32="WS",SUMPRODUCT(($C33:$C$35=$B32)*($Q33:$Q$35)*(AA33:AA$35)),IF($D32="MM",100*ABS(($G32-(Data2010!L29-$H32)/$J32)),IF($D32="XX",ABS((100*$G32)-((Data2010!L29-$E32)*$F32)),"na")))</f>
        <v>25</v>
      </c>
      <c r="AB32" s="38">
        <f>IF($D32="WS",SUMPRODUCT(($C33:$C$35=$B32)*($Q33:$Q$35)*(AB33:AB$35)),IF($D32="MM",100*ABS(($G32-(Data2010!M29-$H32)/$J32)),IF($D32="XX",ABS((100*$G32)-((Data2010!M29-$E32)*$F32)),"na")))</f>
        <v>0</v>
      </c>
      <c r="AC32" s="38">
        <f>IF($D32="WS",SUMPRODUCT(($C33:$C$35=$B32)*($Q33:$Q$35)*(AC33:AC$35)),IF($D32="MM",100*ABS(($G32-(Data2010!N29-$H32)/$J32)),IF($D32="XX",ABS((100*$G32)-((Data2010!N29-$E32)*$F32)),"na")))</f>
        <v>25</v>
      </c>
      <c r="AD32" s="38">
        <f>IF($D32="WS",SUMPRODUCT(($C33:$C$35=$B32)*($Q33:$Q$35)*(AD33:AD$35)),IF($D32="MM",100*ABS(($G32-(Data2010!O29-$H32)/$J32)),IF($D32="XX",ABS((100*$G32)-((Data2010!O29-$E32)*$F32)),"na")))</f>
        <v>50</v>
      </c>
      <c r="AE32" s="38">
        <f>IF($D32="WS",SUMPRODUCT(($C33:$C$35=$B32)*($Q33:$Q$35)*(AE33:AE$35)),IF($D32="MM",100*ABS(($G32-(Data2010!P29-$H32)/$J32)),IF($D32="XX",ABS((100*$G32)-((Data2010!P29-$E32)*$F32)),"na")))</f>
        <v>0</v>
      </c>
      <c r="AF32" s="38">
        <f>IF($D32="WS",SUMPRODUCT(($C33:$C$35=$B32)*($Q33:$Q$35)*(AF33:AF$35)),IF($D32="MM",100*ABS(($G32-(Data2010!Q29-$H32)/$J32)),IF($D32="XX",ABS((100*$G32)-((Data2010!Q29-$E32)*$F32)),"na")))</f>
        <v>0</v>
      </c>
      <c r="AG32" s="38">
        <f>IF($D32="WS",SUMPRODUCT(($C33:$C$35=$B32)*($Q33:$Q$35)*(AG33:AG$35)),IF($D32="MM",100*ABS(($G32-(Data2010!R29-$H32)/$J32)),IF($D32="XX",ABS((100*$G32)-((Data2010!R29-$E32)*$F32)),"na")))</f>
        <v>25</v>
      </c>
      <c r="AH32" s="38">
        <f>IF($D32="WS",SUMPRODUCT(($C33:$C$35=$B32)*($Q33:$Q$35)*(AH33:AH$35)),IF($D32="MM",100*ABS(($G32-(Data2010!S29-$H32)/$J32)),IF($D32="XX",ABS((100*$G32)-((Data2010!S29-$E32)*$F32)),"na")))</f>
        <v>50</v>
      </c>
      <c r="AI32" s="38">
        <f>IF($D32="WS",SUMPRODUCT(($C33:$C$35=$B32)*($Q33:$Q$35)*(AI33:AI$35)),IF($D32="MM",100*ABS(($G32-(Data2010!T29-$H32)/$J32)),IF($D32="XX",ABS((100*$G32)-((Data2010!T29-$E32)*$F32)),"na")))</f>
        <v>25</v>
      </c>
      <c r="AJ32" s="38">
        <f>IF($D32="WS",SUMPRODUCT(($C33:$C$35=$B32)*($Q33:$Q$35)*(AJ33:AJ$35)),IF($D32="MM",100*ABS(($G32-(Data2010!U29-$H32)/$J32)),IF($D32="XX",ABS((100*$G32)-((Data2010!U29-$E32)*$F32)),"na")))</f>
        <v>25</v>
      </c>
      <c r="AK32" s="38">
        <f>IF($D32="WS",SUMPRODUCT(($C33:$C$35=$B32)*($Q33:$Q$35)*(AK33:AK$35)),IF($D32="MM",100*ABS(($G32-(Data2010!V29-$H32)/$J32)),IF($D32="XX",ABS((100*$G32)-((Data2010!V29-$E32)*$F32)),"na")))</f>
        <v>0</v>
      </c>
    </row>
  </sheetData>
  <phoneticPr fontId="61"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sheetPr codeName="Sheet24"/>
  <dimension ref="A1:AK30"/>
  <sheetViews>
    <sheetView showGridLines="0" workbookViewId="0">
      <selection activeCell="S23" sqref="S23"/>
    </sheetView>
  </sheetViews>
  <sheetFormatPr defaultRowHeight="15"/>
  <cols>
    <col min="1" max="1" width="1.140625" customWidth="1"/>
    <col min="2" max="13" width="5.28515625" hidden="1" customWidth="1"/>
    <col min="14" max="14" width="7" hidden="1" customWidth="1"/>
    <col min="15" max="15" width="5" customWidth="1"/>
    <col min="16" max="16" width="43.140625" bestFit="1" customWidth="1"/>
    <col min="18" max="18" width="1.85546875" customWidth="1"/>
    <col min="27" max="27" width="9.7109375" customWidth="1"/>
  </cols>
  <sheetData>
    <row r="1" spans="1:37" s="72" customFormat="1" ht="21.75" customHeight="1">
      <c r="A1" s="72" t="s">
        <v>389</v>
      </c>
    </row>
    <row r="5" spans="1:37" ht="24">
      <c r="P5" s="99"/>
      <c r="Q5" s="99"/>
      <c r="R5" s="30"/>
      <c r="S5" s="31" t="str">
        <f>Data2010!D3</f>
        <v>Argentina</v>
      </c>
      <c r="T5" s="31" t="str">
        <f>Data2010!E3</f>
        <v>Brazil</v>
      </c>
      <c r="U5" s="31" t="str">
        <f>Data2010!F3</f>
        <v xml:space="preserve">Chile </v>
      </c>
      <c r="V5" s="31" t="str">
        <f>Data2010!G3</f>
        <v>Colombia</v>
      </c>
      <c r="W5" s="31" t="str">
        <f>Data2010!H3</f>
        <v>Costa Rica</v>
      </c>
      <c r="X5" s="31" t="str">
        <f>Data2010!I3</f>
        <v>Dominican Rep.</v>
      </c>
      <c r="Y5" s="31" t="str">
        <f>Data2010!J3</f>
        <v>Ecuador</v>
      </c>
      <c r="Z5" s="31" t="str">
        <f>Data2010!K3</f>
        <v>El Salvador</v>
      </c>
      <c r="AA5" s="31" t="str">
        <f>Data2010!L3</f>
        <v>Guatemala</v>
      </c>
      <c r="AB5" s="31" t="str">
        <f>Data2010!M3</f>
        <v>Honduras</v>
      </c>
      <c r="AC5" s="31" t="str">
        <f>Data2010!N3</f>
        <v>Jamaica</v>
      </c>
      <c r="AD5" s="31" t="str">
        <f>Data2010!O3</f>
        <v>Mexico</v>
      </c>
      <c r="AE5" s="31" t="str">
        <f>Data2010!P3</f>
        <v>Nicaragua</v>
      </c>
      <c r="AF5" s="31" t="str">
        <f>Data2010!Q3</f>
        <v>Panama</v>
      </c>
      <c r="AG5" s="31" t="str">
        <f>Data2010!R3</f>
        <v>Paraguay</v>
      </c>
      <c r="AH5" s="31" t="str">
        <f>Data2010!S3</f>
        <v>Peru</v>
      </c>
      <c r="AI5" s="31" t="str">
        <f>Data2010!T3</f>
        <v>Trinidad &amp; Tobago</v>
      </c>
      <c r="AJ5" s="31" t="str">
        <f>Data2010!U3</f>
        <v>Uruguay</v>
      </c>
      <c r="AK5" s="31" t="str">
        <f>Data2010!V3</f>
        <v>Venezuela</v>
      </c>
    </row>
    <row r="6" spans="1:37">
      <c r="B6" s="32" t="s">
        <v>964</v>
      </c>
      <c r="C6" s="32" t="s">
        <v>965</v>
      </c>
      <c r="D6" s="32" t="s">
        <v>967</v>
      </c>
      <c r="E6" s="32" t="s">
        <v>968</v>
      </c>
      <c r="F6" s="32" t="s">
        <v>969</v>
      </c>
      <c r="G6" s="32" t="s">
        <v>970</v>
      </c>
      <c r="H6" s="32" t="s">
        <v>1032</v>
      </c>
      <c r="I6" s="32" t="s">
        <v>1033</v>
      </c>
      <c r="J6" s="32" t="s">
        <v>1034</v>
      </c>
      <c r="K6" s="33" t="s">
        <v>1035</v>
      </c>
      <c r="L6" s="33"/>
      <c r="M6" s="32" t="s">
        <v>1036</v>
      </c>
      <c r="N6" s="32" t="s">
        <v>1037</v>
      </c>
      <c r="Q6" s="100"/>
    </row>
    <row r="7" spans="1:37" s="95" customFormat="1">
      <c r="B7" s="95" t="str">
        <f>tblIndicators!A2</f>
        <v>TOTL</v>
      </c>
      <c r="C7" s="95">
        <f>tblIndicators!B2</f>
        <v>0</v>
      </c>
      <c r="D7" s="95" t="str">
        <f>tblIndicators!D2</f>
        <v>WS</v>
      </c>
      <c r="E7" s="95">
        <f>tblIndicators!E2</f>
        <v>0</v>
      </c>
      <c r="F7" s="95">
        <f>tblIndicators!F2</f>
        <v>0</v>
      </c>
      <c r="G7" s="95">
        <f>tblIndicators!G2</f>
        <v>0</v>
      </c>
      <c r="H7" s="95">
        <f>MIN(Data2009!D4:V4)</f>
        <v>0</v>
      </c>
      <c r="I7" s="95">
        <f>MAX(Data2009!D4:V4)</f>
        <v>0</v>
      </c>
      <c r="J7" s="96">
        <f>I7-H7</f>
        <v>0</v>
      </c>
      <c r="L7" s="95">
        <f>tblIndicators!S2</f>
        <v>1</v>
      </c>
      <c r="P7" s="95" t="str">
        <f>tblIndicators!Q2</f>
        <v>OVERALL SCORE</v>
      </c>
      <c r="Q7" s="101"/>
      <c r="S7" s="97">
        <f>IF($D7="WS",SUMPRODUCT(($C8:$C$33=$B7)*($Q8:$Q$33)*(S8:S$33)),IF($D7="MM",100*ABS(($G7-(Data2009!D4-$H7)/$J7)),IF($D7="XX",ABS((100*$G7)-((Data2009!D4-$E7)*$F7)),"na")))</f>
        <v>27.200618117497719</v>
      </c>
      <c r="T7" s="97">
        <f>IF($D7="WS",SUMPRODUCT(($C8:$C$33=$B7)*($Q8:$Q$33)*(T8:T$33)),IF($D7="MM",100*ABS(($G7-(Data2009!E4-$H7)/$J7)),IF($D7="XX",ABS((100*$G7)-((Data2009!E4-$E7)*$F7)),"na")))</f>
        <v>58.423547871996426</v>
      </c>
      <c r="U7" s="97">
        <f>IF($D7="WS",SUMPRODUCT(($C8:$C$33=$B7)*($Q8:$Q$33)*(U8:U$33)),IF($D7="MM",100*ABS(($G7-(Data2009!F4-$H7)/$J7)),IF($D7="XX",ABS((100*$G7)-((Data2009!F4-$E7)*$F7)),"na")))</f>
        <v>68.262327653541888</v>
      </c>
      <c r="V7" s="97">
        <f>IF($D7="WS",SUMPRODUCT(($C8:$C$33=$B7)*($Q8:$Q$33)*(V8:V$33)),IF($D7="MM",100*ABS(($G7-(Data2009!G4-$H7)/$J7)),IF($D7="XX",ABS((100*$G7)-((Data2009!G4-$E7)*$F7)),"na")))</f>
        <v>40.228418025888914</v>
      </c>
      <c r="W7" s="97">
        <f>IF($D7="WS",SUMPRODUCT(($C8:$C$33=$B7)*($Q8:$Q$33)*(W8:W$33)),IF($D7="MM",100*ABS(($G7-(Data2009!H4-$H7)/$J7)),IF($D7="XX",ABS((100*$G7)-((Data2009!H4-$E7)*$F7)),"na")))</f>
        <v>41.873759085148819</v>
      </c>
      <c r="X7" s="97">
        <f>IF($D7="WS",SUMPRODUCT(($C8:$C$33=$B7)*($Q8:$Q$33)*(X8:X$33)),IF($D7="MM",100*ABS(($G7-(Data2009!I4-$H7)/$J7)),IF($D7="XX",ABS((100*$G7)-((Data2009!I4-$E7)*$F7)),"na")))</f>
        <v>24.985418840238417</v>
      </c>
      <c r="Y7" s="97">
        <f>IF($D7="WS",SUMPRODUCT(($C8:$C$33=$B7)*($Q8:$Q$33)*(Y8:Y$33)),IF($D7="MM",100*ABS(($G7-(Data2009!J4-$H7)/$J7)),IF($D7="XX",ABS((100*$G7)-((Data2009!J4-$E7)*$F7)),"na")))</f>
        <v>16.276689463096538</v>
      </c>
      <c r="Z7" s="97">
        <f>IF($D7="WS",SUMPRODUCT(($C8:$C$33=$B7)*($Q8:$Q$33)*(Z8:Z$33)),IF($D7="MM",100*ABS(($G7-(Data2009!K4-$H7)/$J7)),IF($D7="XX",ABS((100*$G7)-((Data2009!K4-$E7)*$F7)),"na")))</f>
        <v>29.4127618034771</v>
      </c>
      <c r="AA7" s="97">
        <f>IF($D7="WS",SUMPRODUCT(($C8:$C$33=$B7)*($Q8:$Q$33)*(AA8:AA$33)),IF($D7="MM",100*ABS(($G7-(Data2009!L4-$H7)/$J7)),IF($D7="XX",ABS((100*$G7)-((Data2009!L4-$E7)*$F7)),"na")))</f>
        <v>21.275872012336663</v>
      </c>
      <c r="AB7" s="97">
        <f>IF($D7="WS",SUMPRODUCT(($C8:$C$33=$B7)*($Q8:$Q$33)*(AB8:AB$33)),IF($D7="MM",100*ABS(($G7-(Data2009!M4-$H7)/$J7)),IF($D7="XX",ABS((100*$G7)-((Data2009!M4-$E7)*$F7)),"na")))</f>
        <v>21.276129196241719</v>
      </c>
      <c r="AC7" s="97">
        <f>IF($D7="WS",SUMPRODUCT(($C8:$C$33=$B7)*($Q8:$Q$33)*(AC8:AC$33)),IF($D7="MM",100*ABS(($G7-(Data2009!N4-$H7)/$J7)),IF($D7="XX",ABS((100*$G7)-((Data2009!N4-$E7)*$F7)),"na")))</f>
        <v>27.727439150740693</v>
      </c>
      <c r="AD7" s="97">
        <f>IF($D7="WS",SUMPRODUCT(($C8:$C$33=$B7)*($Q8:$Q$33)*(AD8:AD$33)),IF($D7="MM",100*ABS(($G7-(Data2009!O4-$H7)/$J7)),IF($D7="XX",ABS((100*$G7)-((Data2009!O4-$E7)*$F7)),"na")))</f>
        <v>49.066565083787516</v>
      </c>
      <c r="AE7" s="97">
        <f>IF($D7="WS",SUMPRODUCT(($C8:$C$33=$B7)*($Q8:$Q$33)*(AE8:AE$33)),IF($D7="MM",100*ABS(($G7-(Data2009!P4-$H7)/$J7)),IF($D7="XX",ABS((100*$G7)-((Data2009!P4-$E7)*$F7)),"na")))</f>
        <v>10.911754334541984</v>
      </c>
      <c r="AF7" s="97">
        <f>IF($D7="WS",SUMPRODUCT(($C8:$C$33=$B7)*($Q8:$Q$33)*(AF8:AF$33)),IF($D7="MM",100*ABS(($G7-(Data2009!Q4-$H7)/$J7)),IF($D7="XX",ABS((100*$G7)-((Data2009!Q4-$E7)*$F7)),"na")))</f>
        <v>29.02584291428095</v>
      </c>
      <c r="AG7" s="97">
        <f>IF($D7="WS",SUMPRODUCT(($C8:$C$33=$B7)*($Q8:$Q$33)*(AG8:AG$33)),IF($D7="MM",100*ABS(($G7-(Data2009!R4-$H7)/$J7)),IF($D7="XX",ABS((100*$G7)-((Data2009!R4-$E7)*$F7)),"na")))</f>
        <v>23.300088709362171</v>
      </c>
      <c r="AH7" s="97">
        <f>IF($D7="WS",SUMPRODUCT(($C8:$C$33=$B7)*($Q8:$Q$33)*(AH8:AH$33)),IF($D7="MM",100*ABS(($G7-(Data2009!S4-$H7)/$J7)),IF($D7="XX",ABS((100*$G7)-((Data2009!S4-$E7)*$F7)),"na")))</f>
        <v>54.772182814742507</v>
      </c>
      <c r="AI7" s="97">
        <f>IF($D7="WS",SUMPRODUCT(($C8:$C$33=$B7)*($Q8:$Q$33)*(AI8:AI$33)),IF($D7="MM",100*ABS(($G7-(Data2009!T4-$H7)/$J7)),IF($D7="XX",ABS((100*$G7)-((Data2009!T4-$E7)*$F7)),"na")))</f>
        <v>31.188811487007165</v>
      </c>
      <c r="AJ7" s="97">
        <f>IF($D7="WS",SUMPRODUCT(($C8:$C$33=$B7)*($Q8:$Q$33)*(AJ8:AJ$33)),IF($D7="MM",100*ABS(($G7-(Data2009!U4-$H7)/$J7)),IF($D7="XX",ABS((100*$G7)-((Data2009!U4-$E7)*$F7)),"na")))</f>
        <v>29.553749630491886</v>
      </c>
      <c r="AK7" s="97">
        <f>IF($D7="WS",SUMPRODUCT(($C8:$C$33=$B7)*($Q8:$Q$33)*(AK8:AK$33)),IF($D7="MM",100*ABS(($G7-(Data2009!V4-$H7)/$J7)),IF($D7="XX",ABS((100*$G7)-((Data2009!V4-$E7)*$F7)),"na")))</f>
        <v>12.073791109366482</v>
      </c>
    </row>
    <row r="8" spans="1:37" s="95" customFormat="1">
      <c r="B8" s="95" t="str">
        <f>tblIndicators!A3</f>
        <v>LEGF</v>
      </c>
      <c r="C8" s="95" t="str">
        <f>tblIndicators!B3</f>
        <v>TOTL</v>
      </c>
      <c r="D8" s="95" t="str">
        <f>tblIndicators!D3</f>
        <v>WS</v>
      </c>
      <c r="E8" s="95">
        <f>tblIndicators!E3</f>
        <v>0</v>
      </c>
      <c r="F8" s="95">
        <f>tblIndicators!F3</f>
        <v>0</v>
      </c>
      <c r="G8" s="95">
        <f>tblIndicators!G3</f>
        <v>0</v>
      </c>
      <c r="H8" s="95">
        <f>MIN(Data2009!D5:V5)</f>
        <v>0</v>
      </c>
      <c r="I8" s="95">
        <f>MAX(Data2009!D5:V5)</f>
        <v>0</v>
      </c>
      <c r="J8" s="96">
        <f t="shared" ref="J8:J30" si="0">I8-H8</f>
        <v>0</v>
      </c>
      <c r="K8" s="95">
        <f>MATCH(B8,Weights!C$4:C$36,0)</f>
        <v>1</v>
      </c>
      <c r="L8" s="95">
        <f>tblIndicators!S3</f>
        <v>1</v>
      </c>
      <c r="M8" s="178">
        <f>L8*INDEX(Weights!G$4:G$36,K8)</f>
        <v>1.5</v>
      </c>
      <c r="N8" s="98">
        <f t="shared" ref="N8:N30" si="1">M8/SUMIF(C$8:C$30,C8,M$8:M$30)</f>
        <v>0.27777777777777773</v>
      </c>
      <c r="P8" s="95" t="str">
        <f>tblIndicators!Q3</f>
        <v>REGULATORY FRAMEWORK</v>
      </c>
      <c r="Q8" s="102">
        <f>N8</f>
        <v>0.27777777777777773</v>
      </c>
      <c r="S8" s="97">
        <f>IF($D8="WS",SUMPRODUCT(($C9:$C$33=$B8)*($Q9:$Q$33)*(S9:S$33)),IF($D8="MM",100*ABS(($G8-(Data2009!D5-$H8)/$J8)),IF($D8="XX",ABS((100*$G8)-((Data2009!D5-$E8)*$F8)),"na")))</f>
        <v>28.125</v>
      </c>
      <c r="T8" s="97">
        <f>IF($D8="WS",SUMPRODUCT(($C9:$C$33=$B8)*($Q9:$Q$33)*(T9:T$33)),IF($D8="MM",100*ABS(($G8-(Data2009!E5-$H8)/$J8)),IF($D8="XX",ABS((100*$G8)-((Data2009!E5-$E8)*$F8)),"na")))</f>
        <v>46.875</v>
      </c>
      <c r="U8" s="97">
        <f>IF($D8="WS",SUMPRODUCT(($C9:$C$33=$B8)*($Q9:$Q$33)*(U9:U$33)),IF($D8="MM",100*ABS(($G8-(Data2009!F5-$H8)/$J8)),IF($D8="XX",ABS((100*$G8)-((Data2009!F5-$E8)*$F8)),"na")))</f>
        <v>62.5</v>
      </c>
      <c r="V8" s="97">
        <f>IF($D8="WS",SUMPRODUCT(($C9:$C$33=$B8)*($Q9:$Q$33)*(V9:V$33)),IF($D8="MM",100*ABS(($G8-(Data2009!G5-$H8)/$J8)),IF($D8="XX",ABS((100*$G8)-((Data2009!G5-$E8)*$F8)),"na")))</f>
        <v>31.25</v>
      </c>
      <c r="W8" s="97">
        <f>IF($D8="WS",SUMPRODUCT(($C9:$C$33=$B8)*($Q9:$Q$33)*(W9:W$33)),IF($D8="MM",100*ABS(($G8-(Data2009!H5-$H8)/$J8)),IF($D8="XX",ABS((100*$G8)-((Data2009!H5-$E8)*$F8)),"na")))</f>
        <v>50</v>
      </c>
      <c r="X8" s="97">
        <f>IF($D8="WS",SUMPRODUCT(($C9:$C$33=$B8)*($Q9:$Q$33)*(X9:X$33)),IF($D8="MM",100*ABS(($G8-(Data2009!I5-$H8)/$J8)),IF($D8="XX",ABS((100*$G8)-((Data2009!I5-$E8)*$F8)),"na")))</f>
        <v>18.75</v>
      </c>
      <c r="Y8" s="97">
        <f>IF($D8="WS",SUMPRODUCT(($C9:$C$33=$B8)*($Q9:$Q$33)*(Y9:Y$33)),IF($D8="MM",100*ABS(($G8-(Data2009!J5-$H8)/$J8)),IF($D8="XX",ABS((100*$G8)-((Data2009!J5-$E8)*$F8)),"na")))</f>
        <v>6.25</v>
      </c>
      <c r="Z8" s="97">
        <f>IF($D8="WS",SUMPRODUCT(($C9:$C$33=$B8)*($Q9:$Q$33)*(Z9:Z$33)),IF($D8="MM",100*ABS(($G8-(Data2009!K5-$H8)/$J8)),IF($D8="XX",ABS((100*$G8)-((Data2009!K5-$E8)*$F8)),"na")))</f>
        <v>18.75</v>
      </c>
      <c r="AA8" s="97">
        <f>IF($D8="WS",SUMPRODUCT(($C9:$C$33=$B8)*($Q9:$Q$33)*(AA9:AA$33)),IF($D8="MM",100*ABS(($G8-(Data2009!L5-$H8)/$J8)),IF($D8="XX",ABS((100*$G8)-((Data2009!L5-$E8)*$F8)),"na")))</f>
        <v>18.75</v>
      </c>
      <c r="AB8" s="97">
        <f>IF($D8="WS",SUMPRODUCT(($C9:$C$33=$B8)*($Q9:$Q$33)*(AB9:AB$33)),IF($D8="MM",100*ABS(($G8-(Data2009!M5-$H8)/$J8)),IF($D8="XX",ABS((100*$G8)-((Data2009!M5-$E8)*$F8)),"na")))</f>
        <v>15.625</v>
      </c>
      <c r="AC8" s="97">
        <f>IF($D8="WS",SUMPRODUCT(($C9:$C$33=$B8)*($Q9:$Q$33)*(AC9:AC$33)),IF($D8="MM",100*ABS(($G8-(Data2009!N5-$H8)/$J8)),IF($D8="XX",ABS((100*$G8)-((Data2009!N5-$E8)*$F8)),"na")))</f>
        <v>25</v>
      </c>
      <c r="AD8" s="97">
        <f>IF($D8="WS",SUMPRODUCT(($C9:$C$33=$B8)*($Q9:$Q$33)*(AD9:AD$33)),IF($D8="MM",100*ABS(($G8-(Data2009!O5-$H8)/$J8)),IF($D8="XX",ABS((100*$G8)-((Data2009!O5-$E8)*$F8)),"na")))</f>
        <v>50</v>
      </c>
      <c r="AE8" s="97">
        <f>IF($D8="WS",SUMPRODUCT(($C9:$C$33=$B8)*($Q9:$Q$33)*(AE9:AE$33)),IF($D8="MM",100*ABS(($G8-(Data2009!P5-$H8)/$J8)),IF($D8="XX",ABS((100*$G8)-((Data2009!P5-$E8)*$F8)),"na")))</f>
        <v>6.25</v>
      </c>
      <c r="AF8" s="97">
        <f>IF($D8="WS",SUMPRODUCT(($C9:$C$33=$B8)*($Q9:$Q$33)*(AF9:AF$33)),IF($D8="MM",100*ABS(($G8-(Data2009!Q5-$H8)/$J8)),IF($D8="XX",ABS((100*$G8)-((Data2009!Q5-$E8)*$F8)),"na")))</f>
        <v>25</v>
      </c>
      <c r="AG8" s="97">
        <f>IF($D8="WS",SUMPRODUCT(($C9:$C$33=$B8)*($Q9:$Q$33)*(AG9:AG$33)),IF($D8="MM",100*ABS(($G8-(Data2009!R5-$H8)/$J8)),IF($D8="XX",ABS((100*$G8)-((Data2009!R5-$E8)*$F8)),"na")))</f>
        <v>25</v>
      </c>
      <c r="AH8" s="97">
        <f>IF($D8="WS",SUMPRODUCT(($C9:$C$33=$B8)*($Q9:$Q$33)*(AH9:AH$33)),IF($D8="MM",100*ABS(($G8-(Data2009!S5-$H8)/$J8)),IF($D8="XX",ABS((100*$G8)-((Data2009!S5-$E8)*$F8)),"na")))</f>
        <v>65.625</v>
      </c>
      <c r="AI8" s="97">
        <f>IF($D8="WS",SUMPRODUCT(($C9:$C$33=$B8)*($Q9:$Q$33)*(AI9:AI$33)),IF($D8="MM",100*ABS(($G8-(Data2009!T5-$H8)/$J8)),IF($D8="XX",ABS((100*$G8)-((Data2009!T5-$E8)*$F8)),"na")))</f>
        <v>25</v>
      </c>
      <c r="AJ8" s="97">
        <f>IF($D8="WS",SUMPRODUCT(($C9:$C$33=$B8)*($Q9:$Q$33)*(AJ9:AJ$33)),IF($D8="MM",100*ABS(($G8-(Data2009!U5-$H8)/$J8)),IF($D8="XX",ABS((100*$G8)-((Data2009!U5-$E8)*$F8)),"na")))</f>
        <v>25</v>
      </c>
      <c r="AK8" s="97">
        <f>IF($D8="WS",SUMPRODUCT(($C9:$C$33=$B8)*($Q9:$Q$33)*(AK9:AK$33)),IF($D8="MM",100*ABS(($G8-(Data2009!V5-$H8)/$J8)),IF($D8="XX",ABS((100*$G8)-((Data2009!V5-$E8)*$F8)),"na")))</f>
        <v>9.375</v>
      </c>
    </row>
    <row r="9" spans="1:37">
      <c r="B9" t="str">
        <f>tblIndicators!A4</f>
        <v>LEGF01</v>
      </c>
      <c r="C9" t="str">
        <f>tblIndicators!B4</f>
        <v>LEGF</v>
      </c>
      <c r="D9" t="str">
        <f>tblIndicators!D4</f>
        <v>XX</v>
      </c>
      <c r="E9">
        <f>tblIndicators!E4</f>
        <v>0</v>
      </c>
      <c r="F9">
        <f>tblIndicators!F4</f>
        <v>25</v>
      </c>
      <c r="G9">
        <f>tblIndicators!G4</f>
        <v>0</v>
      </c>
      <c r="H9">
        <f>MIN(Data2009!D6:V6)</f>
        <v>0</v>
      </c>
      <c r="I9">
        <f>MAX(Data2009!D6:V6)</f>
        <v>3</v>
      </c>
      <c r="J9" s="22">
        <f t="shared" si="0"/>
        <v>3</v>
      </c>
      <c r="K9">
        <f>MATCH(B9,Weights!C$4:C$36,0)</f>
        <v>10</v>
      </c>
      <c r="L9">
        <f>tblIndicators!S4</f>
        <v>1</v>
      </c>
      <c r="M9" s="178">
        <f>L9*INDEX(Weights!G$4:G$36,K9)</f>
        <v>3</v>
      </c>
      <c r="N9" s="36">
        <f t="shared" si="1"/>
        <v>0.375</v>
      </c>
      <c r="P9" t="str">
        <f>tblIndicators!Q4</f>
        <v xml:space="preserve">   Consistency and quality of PPP regulations</v>
      </c>
      <c r="Q9" s="103">
        <f t="shared" ref="Q9:Q30" si="2">N9</f>
        <v>0.375</v>
      </c>
      <c r="S9" s="38">
        <f>IF($D9="WS",SUMPRODUCT(($C10:$C$33=$B9)*($Q10:$Q$33)*(S10:S$33)),IF($D9="MM",100*ABS(($G9-(Data2009!D6-$H9)/$J9)),IF($D9="XX",ABS((100*$G9)-((Data2009!D6-$E9)*$F9)),"na")))</f>
        <v>50</v>
      </c>
      <c r="T9" s="38">
        <f>IF($D9="WS",SUMPRODUCT(($C10:$C$33=$B9)*($Q10:$Q$33)*(T10:T$33)),IF($D9="MM",100*ABS(($G9-(Data2009!E6-$H9)/$J9)),IF($D9="XX",ABS((100*$G9)-((Data2009!E6-$E9)*$F9)),"na")))</f>
        <v>50</v>
      </c>
      <c r="U9" s="38">
        <f>IF($D9="WS",SUMPRODUCT(($C10:$C$33=$B9)*($Q10:$Q$33)*(U10:U$33)),IF($D9="MM",100*ABS(($G9-(Data2009!F6-$H9)/$J9)),IF($D9="XX",ABS((100*$G9)-((Data2009!F6-$E9)*$F9)),"na")))</f>
        <v>75</v>
      </c>
      <c r="V9" s="38">
        <f>IF($D9="WS",SUMPRODUCT(($C10:$C$33=$B9)*($Q10:$Q$33)*(V10:V$33)),IF($D9="MM",100*ABS(($G9-(Data2009!G6-$H9)/$J9)),IF($D9="XX",ABS((100*$G9)-((Data2009!G6-$E9)*$F9)),"na")))</f>
        <v>25</v>
      </c>
      <c r="W9" s="38">
        <f>IF($D9="WS",SUMPRODUCT(($C10:$C$33=$B9)*($Q10:$Q$33)*(W10:W$33)),IF($D9="MM",100*ABS(($G9-(Data2009!H6-$H9)/$J9)),IF($D9="XX",ABS((100*$G9)-((Data2009!H6-$E9)*$F9)),"na")))</f>
        <v>50</v>
      </c>
      <c r="X9" s="38">
        <f>IF($D9="WS",SUMPRODUCT(($C10:$C$33=$B9)*($Q10:$Q$33)*(X10:X$33)),IF($D9="MM",100*ABS(($G9-(Data2009!I6-$H9)/$J9)),IF($D9="XX",ABS((100*$G9)-((Data2009!I6-$E9)*$F9)),"na")))</f>
        <v>25</v>
      </c>
      <c r="Y9" s="38">
        <f>IF($D9="WS",SUMPRODUCT(($C10:$C$33=$B9)*($Q10:$Q$33)*(Y10:Y$33)),IF($D9="MM",100*ABS(($G9-(Data2009!J6-$H9)/$J9)),IF($D9="XX",ABS((100*$G9)-((Data2009!J6-$E9)*$F9)),"na")))</f>
        <v>0</v>
      </c>
      <c r="Z9" s="38">
        <f>IF($D9="WS",SUMPRODUCT(($C10:$C$33=$B9)*($Q10:$Q$33)*(Z10:Z$33)),IF($D9="MM",100*ABS(($G9-(Data2009!K6-$H9)/$J9)),IF($D9="XX",ABS((100*$G9)-((Data2009!K6-$E9)*$F9)),"na")))</f>
        <v>0</v>
      </c>
      <c r="AA9" s="38">
        <f>IF($D9="WS",SUMPRODUCT(($C10:$C$33=$B9)*($Q10:$Q$33)*(AA10:AA$33)),IF($D9="MM",100*ABS(($G9-(Data2009!L6-$H9)/$J9)),IF($D9="XX",ABS((100*$G9)-((Data2009!L6-$E9)*$F9)),"na")))</f>
        <v>25</v>
      </c>
      <c r="AB9" s="38">
        <f>IF($D9="WS",SUMPRODUCT(($C10:$C$33=$B9)*($Q10:$Q$33)*(AB10:AB$33)),IF($D9="MM",100*ABS(($G9-(Data2009!M6-$H9)/$J9)),IF($D9="XX",ABS((100*$G9)-((Data2009!M6-$E9)*$F9)),"na")))</f>
        <v>0</v>
      </c>
      <c r="AC9" s="38">
        <f>IF($D9="WS",SUMPRODUCT(($C10:$C$33=$B9)*($Q10:$Q$33)*(AC10:AC$33)),IF($D9="MM",100*ABS(($G9-(Data2009!N6-$H9)/$J9)),IF($D9="XX",ABS((100*$G9)-((Data2009!N6-$E9)*$F9)),"na")))</f>
        <v>25</v>
      </c>
      <c r="AD9" s="38">
        <f>IF($D9="WS",SUMPRODUCT(($C10:$C$33=$B9)*($Q10:$Q$33)*(AD10:AD$33)),IF($D9="MM",100*ABS(($G9-(Data2009!O6-$H9)/$J9)),IF($D9="XX",ABS((100*$G9)-((Data2009!O6-$E9)*$F9)),"na")))</f>
        <v>50</v>
      </c>
      <c r="AE9" s="38">
        <f>IF($D9="WS",SUMPRODUCT(($C10:$C$33=$B9)*($Q10:$Q$33)*(AE10:AE$33)),IF($D9="MM",100*ABS(($G9-(Data2009!P6-$H9)/$J9)),IF($D9="XX",ABS((100*$G9)-((Data2009!P6-$E9)*$F9)),"na")))</f>
        <v>0</v>
      </c>
      <c r="AF9" s="38">
        <f>IF($D9="WS",SUMPRODUCT(($C10:$C$33=$B9)*($Q10:$Q$33)*(AF10:AF$33)),IF($D9="MM",100*ABS(($G9-(Data2009!Q6-$H9)/$J9)),IF($D9="XX",ABS((100*$G9)-((Data2009!Q6-$E9)*$F9)),"na")))</f>
        <v>25</v>
      </c>
      <c r="AG9" s="38">
        <f>IF($D9="WS",SUMPRODUCT(($C10:$C$33=$B9)*($Q10:$Q$33)*(AG10:AG$33)),IF($D9="MM",100*ABS(($G9-(Data2009!R6-$H9)/$J9)),IF($D9="XX",ABS((100*$G9)-((Data2009!R6-$E9)*$F9)),"na")))</f>
        <v>25</v>
      </c>
      <c r="AH9" s="38">
        <f>IF($D9="WS",SUMPRODUCT(($C10:$C$33=$B9)*($Q10:$Q$33)*(AH10:AH$33)),IF($D9="MM",100*ABS(($G9-(Data2009!S6-$H9)/$J9)),IF($D9="XX",ABS((100*$G9)-((Data2009!S6-$E9)*$F9)),"na")))</f>
        <v>75</v>
      </c>
      <c r="AI9" s="38">
        <f>IF($D9="WS",SUMPRODUCT(($C10:$C$33=$B9)*($Q10:$Q$33)*(AI10:AI$33)),IF($D9="MM",100*ABS(($G9-(Data2009!T6-$H9)/$J9)),IF($D9="XX",ABS((100*$G9)-((Data2009!T6-$E9)*$F9)),"na")))</f>
        <v>25</v>
      </c>
      <c r="AJ9" s="38">
        <f>IF($D9="WS",SUMPRODUCT(($C10:$C$33=$B9)*($Q10:$Q$33)*(AJ10:AJ$33)),IF($D9="MM",100*ABS(($G9-(Data2009!U6-$H9)/$J9)),IF($D9="XX",ABS((100*$G9)-((Data2009!U6-$E9)*$F9)),"na")))</f>
        <v>25</v>
      </c>
      <c r="AK9" s="38">
        <f>IF($D9="WS",SUMPRODUCT(($C10:$C$33=$B9)*($Q10:$Q$33)*(AK10:AK$33)),IF($D9="MM",100*ABS(($G9-(Data2009!V6-$H9)/$J9)),IF($D9="XX",ABS((100*$G9)-((Data2009!V6-$E9)*$F9)),"na")))</f>
        <v>25</v>
      </c>
    </row>
    <row r="10" spans="1:37">
      <c r="B10" t="str">
        <f>tblIndicators!A5</f>
        <v>LEGF02</v>
      </c>
      <c r="C10" t="str">
        <f>tblIndicators!B5</f>
        <v>LEGF</v>
      </c>
      <c r="D10" t="str">
        <f>tblIndicators!D5</f>
        <v>XX</v>
      </c>
      <c r="E10">
        <f>tblIndicators!E5</f>
        <v>0</v>
      </c>
      <c r="F10">
        <f>tblIndicators!F5</f>
        <v>25</v>
      </c>
      <c r="G10">
        <f>tblIndicators!G5</f>
        <v>0</v>
      </c>
      <c r="H10">
        <f>MIN(Data2009!D7:V7)</f>
        <v>0</v>
      </c>
      <c r="I10">
        <f>MAX(Data2009!D7:V7)</f>
        <v>3</v>
      </c>
      <c r="J10" s="22">
        <f t="shared" si="0"/>
        <v>3</v>
      </c>
      <c r="K10">
        <f>MATCH(B10,Weights!C$4:C$36,0)</f>
        <v>11</v>
      </c>
      <c r="L10">
        <f>tblIndicators!S5</f>
        <v>1</v>
      </c>
      <c r="M10" s="178">
        <f>L10*INDEX(Weights!G$4:G$36,K10)</f>
        <v>2</v>
      </c>
      <c r="N10" s="36">
        <f t="shared" si="1"/>
        <v>0.25</v>
      </c>
      <c r="P10" t="str">
        <f>tblIndicators!Q5</f>
        <v xml:space="preserve">   Effective PPP selection and decision making</v>
      </c>
      <c r="Q10" s="103">
        <f t="shared" si="2"/>
        <v>0.25</v>
      </c>
      <c r="S10" s="38">
        <f>IF($D10="WS",SUMPRODUCT(($C11:$C$33=$B10)*($Q11:$Q$33)*(S11:S$33)),IF($D10="MM",100*ABS(($G10-(Data2009!D7-$H10)/$J10)),IF($D10="XX",ABS((100*$G10)-((Data2009!D7-$E10)*$F10)),"na")))</f>
        <v>25</v>
      </c>
      <c r="T10" s="38">
        <f>IF($D10="WS",SUMPRODUCT(($C11:$C$33=$B10)*($Q11:$Q$33)*(T11:T$33)),IF($D10="MM",100*ABS(($G10-(Data2009!E7-$H10)/$J10)),IF($D10="XX",ABS((100*$G10)-((Data2009!E7-$E10)*$F10)),"na")))</f>
        <v>50</v>
      </c>
      <c r="U10" s="38">
        <f>IF($D10="WS",SUMPRODUCT(($C11:$C$33=$B10)*($Q11:$Q$33)*(U11:U$33)),IF($D10="MM",100*ABS(($G10-(Data2009!F7-$H10)/$J10)),IF($D10="XX",ABS((100*$G10)-((Data2009!F7-$E10)*$F10)),"na")))</f>
        <v>50</v>
      </c>
      <c r="V10" s="38">
        <f>IF($D10="WS",SUMPRODUCT(($C11:$C$33=$B10)*($Q11:$Q$33)*(V11:V$33)),IF($D10="MM",100*ABS(($G10-(Data2009!G7-$H10)/$J10)),IF($D10="XX",ABS((100*$G10)-((Data2009!G7-$E10)*$F10)),"na")))</f>
        <v>50</v>
      </c>
      <c r="W10" s="38">
        <f>IF($D10="WS",SUMPRODUCT(($C11:$C$33=$B10)*($Q11:$Q$33)*(W11:W$33)),IF($D10="MM",100*ABS(($G10-(Data2009!H7-$H10)/$J10)),IF($D10="XX",ABS((100*$G10)-((Data2009!H7-$E10)*$F10)),"na")))</f>
        <v>50</v>
      </c>
      <c r="X10" s="38">
        <f>IF($D10="WS",SUMPRODUCT(($C11:$C$33=$B10)*($Q11:$Q$33)*(X11:X$33)),IF($D10="MM",100*ABS(($G10-(Data2009!I7-$H10)/$J10)),IF($D10="XX",ABS((100*$G10)-((Data2009!I7-$E10)*$F10)),"na")))</f>
        <v>0</v>
      </c>
      <c r="Y10" s="38">
        <f>IF($D10="WS",SUMPRODUCT(($C11:$C$33=$B10)*($Q11:$Q$33)*(Y11:Y$33)),IF($D10="MM",100*ABS(($G10-(Data2009!J7-$H10)/$J10)),IF($D10="XX",ABS((100*$G10)-((Data2009!J7-$E10)*$F10)),"na")))</f>
        <v>0</v>
      </c>
      <c r="Z10" s="38">
        <f>IF($D10="WS",SUMPRODUCT(($C11:$C$33=$B10)*($Q11:$Q$33)*(Z11:Z$33)),IF($D10="MM",100*ABS(($G10-(Data2009!K7-$H10)/$J10)),IF($D10="XX",ABS((100*$G10)-((Data2009!K7-$E10)*$F10)),"na")))</f>
        <v>25</v>
      </c>
      <c r="AA10" s="38">
        <f>IF($D10="WS",SUMPRODUCT(($C11:$C$33=$B10)*($Q11:$Q$33)*(AA11:AA$33)),IF($D10="MM",100*ABS(($G10-(Data2009!L7-$H10)/$J10)),IF($D10="XX",ABS((100*$G10)-((Data2009!L7-$E10)*$F10)),"na")))</f>
        <v>0</v>
      </c>
      <c r="AB10" s="38">
        <f>IF($D10="WS",SUMPRODUCT(($C11:$C$33=$B10)*($Q11:$Q$33)*(AB11:AB$33)),IF($D10="MM",100*ABS(($G10-(Data2009!M7-$H10)/$J10)),IF($D10="XX",ABS((100*$G10)-((Data2009!M7-$E10)*$F10)),"na")))</f>
        <v>25</v>
      </c>
      <c r="AC10" s="38">
        <f>IF($D10="WS",SUMPRODUCT(($C11:$C$33=$B10)*($Q11:$Q$33)*(AC11:AC$33)),IF($D10="MM",100*ABS(($G10-(Data2009!N7-$H10)/$J10)),IF($D10="XX",ABS((100*$G10)-((Data2009!N7-$E10)*$F10)),"na")))</f>
        <v>25</v>
      </c>
      <c r="AD10" s="38">
        <f>IF($D10="WS",SUMPRODUCT(($C11:$C$33=$B10)*($Q11:$Q$33)*(AD11:AD$33)),IF($D10="MM",100*ABS(($G10-(Data2009!O7-$H10)/$J10)),IF($D10="XX",ABS((100*$G10)-((Data2009!O7-$E10)*$F10)),"na")))</f>
        <v>50</v>
      </c>
      <c r="AE10" s="38">
        <f>IF($D10="WS",SUMPRODUCT(($C11:$C$33=$B10)*($Q11:$Q$33)*(AE11:AE$33)),IF($D10="MM",100*ABS(($G10-(Data2009!P7-$H10)/$J10)),IF($D10="XX",ABS((100*$G10)-((Data2009!P7-$E10)*$F10)),"na")))</f>
        <v>0</v>
      </c>
      <c r="AF10" s="38">
        <f>IF($D10="WS",SUMPRODUCT(($C11:$C$33=$B10)*($Q11:$Q$33)*(AF11:AF$33)),IF($D10="MM",100*ABS(($G10-(Data2009!Q7-$H10)/$J10)),IF($D10="XX",ABS((100*$G10)-((Data2009!Q7-$E10)*$F10)),"na")))</f>
        <v>25</v>
      </c>
      <c r="AG10" s="38">
        <f>IF($D10="WS",SUMPRODUCT(($C11:$C$33=$B10)*($Q11:$Q$33)*(AG11:AG$33)),IF($D10="MM",100*ABS(($G10-(Data2009!R7-$H10)/$J10)),IF($D10="XX",ABS((100*$G10)-((Data2009!R7-$E10)*$F10)),"na")))</f>
        <v>25</v>
      </c>
      <c r="AH10" s="38">
        <f>IF($D10="WS",SUMPRODUCT(($C11:$C$33=$B10)*($Q11:$Q$33)*(AH11:AH$33)),IF($D10="MM",100*ABS(($G10-(Data2009!S7-$H10)/$J10)),IF($D10="XX",ABS((100*$G10)-((Data2009!S7-$E10)*$F10)),"na")))</f>
        <v>75</v>
      </c>
      <c r="AI10" s="38">
        <f>IF($D10="WS",SUMPRODUCT(($C11:$C$33=$B10)*($Q11:$Q$33)*(AI11:AI$33)),IF($D10="MM",100*ABS(($G10-(Data2009!T7-$H10)/$J10)),IF($D10="XX",ABS((100*$G10)-((Data2009!T7-$E10)*$F10)),"na")))</f>
        <v>25</v>
      </c>
      <c r="AJ10" s="38">
        <f>IF($D10="WS",SUMPRODUCT(($C11:$C$33=$B10)*($Q11:$Q$33)*(AJ11:AJ$33)),IF($D10="MM",100*ABS(($G10-(Data2009!U7-$H10)/$J10)),IF($D10="XX",ABS((100*$G10)-((Data2009!U7-$E10)*$F10)),"na")))</f>
        <v>25</v>
      </c>
      <c r="AK10" s="38">
        <f>IF($D10="WS",SUMPRODUCT(($C11:$C$33=$B10)*($Q11:$Q$33)*(AK11:AK$33)),IF($D10="MM",100*ABS(($G10-(Data2009!V7-$H10)/$J10)),IF($D10="XX",ABS((100*$G10)-((Data2009!V7-$E10)*$F10)),"na")))</f>
        <v>0</v>
      </c>
    </row>
    <row r="11" spans="1:37">
      <c r="B11" t="str">
        <f>tblIndicators!A6</f>
        <v>LEGF03</v>
      </c>
      <c r="C11" t="str">
        <f>tblIndicators!B6</f>
        <v>LEGF</v>
      </c>
      <c r="D11" t="str">
        <f>tblIndicators!D6</f>
        <v>XX</v>
      </c>
      <c r="E11">
        <f>tblIndicators!E6</f>
        <v>0</v>
      </c>
      <c r="F11">
        <f>tblIndicators!F6</f>
        <v>25</v>
      </c>
      <c r="G11">
        <f>tblIndicators!G6</f>
        <v>0</v>
      </c>
      <c r="H11">
        <f>MIN(Data2009!D8:V8)</f>
        <v>0</v>
      </c>
      <c r="I11">
        <f>MAX(Data2009!D8:V8)</f>
        <v>3</v>
      </c>
      <c r="J11" s="22">
        <f t="shared" si="0"/>
        <v>3</v>
      </c>
      <c r="K11">
        <f>MATCH(B11,Weights!C$4:C$36,0)</f>
        <v>12</v>
      </c>
      <c r="L11">
        <f>tblIndicators!S6</f>
        <v>1</v>
      </c>
      <c r="M11" s="178">
        <f>L11*INDEX(Weights!G$4:G$36,K11)</f>
        <v>1</v>
      </c>
      <c r="N11" s="36">
        <f t="shared" si="1"/>
        <v>0.125</v>
      </c>
      <c r="P11" t="str">
        <f>tblIndicators!Q6</f>
        <v xml:space="preserve">   Fairness/openness of bids, contract changes</v>
      </c>
      <c r="Q11" s="103">
        <f t="shared" si="2"/>
        <v>0.125</v>
      </c>
      <c r="S11" s="38">
        <f>IF($D11="WS",SUMPRODUCT(($C12:$C$33=$B11)*($Q12:$Q$33)*(S12:S$33)),IF($D11="MM",100*ABS(($G11-(Data2009!D8-$H11)/$J11)),IF($D11="XX",ABS((100*$G11)-((Data2009!D8-$E11)*$F11)),"na")))</f>
        <v>25</v>
      </c>
      <c r="T11" s="38">
        <f>IF($D11="WS",SUMPRODUCT(($C12:$C$33=$B11)*($Q12:$Q$33)*(T12:T$33)),IF($D11="MM",100*ABS(($G11-(Data2009!E8-$H11)/$J11)),IF($D11="XX",ABS((100*$G11)-((Data2009!E8-$E11)*$F11)),"na")))</f>
        <v>25</v>
      </c>
      <c r="U11" s="38">
        <f>IF($D11="WS",SUMPRODUCT(($C12:$C$33=$B11)*($Q12:$Q$33)*(U12:U$33)),IF($D11="MM",100*ABS(($G11-(Data2009!F8-$H11)/$J11)),IF($D11="XX",ABS((100*$G11)-((Data2009!F8-$E11)*$F11)),"na")))</f>
        <v>75</v>
      </c>
      <c r="V11" s="38">
        <f>IF($D11="WS",SUMPRODUCT(($C12:$C$33=$B11)*($Q12:$Q$33)*(V12:V$33)),IF($D11="MM",100*ABS(($G11-(Data2009!G8-$H11)/$J11)),IF($D11="XX",ABS((100*$G11)-((Data2009!G8-$E11)*$F11)),"na")))</f>
        <v>25</v>
      </c>
      <c r="W11" s="38">
        <f>IF($D11="WS",SUMPRODUCT(($C12:$C$33=$B11)*($Q12:$Q$33)*(W12:W$33)),IF($D11="MM",100*ABS(($G11-(Data2009!H8-$H11)/$J11)),IF($D11="XX",ABS((100*$G11)-((Data2009!H8-$E11)*$F11)),"na")))</f>
        <v>50</v>
      </c>
      <c r="X11" s="38">
        <f>IF($D11="WS",SUMPRODUCT(($C12:$C$33=$B11)*($Q12:$Q$33)*(X12:X$33)),IF($D11="MM",100*ABS(($G11-(Data2009!I8-$H11)/$J11)),IF($D11="XX",ABS((100*$G11)-((Data2009!I8-$E11)*$F11)),"na")))</f>
        <v>25</v>
      </c>
      <c r="Y11" s="38">
        <f>IF($D11="WS",SUMPRODUCT(($C12:$C$33=$B11)*($Q12:$Q$33)*(Y12:Y$33)),IF($D11="MM",100*ABS(($G11-(Data2009!J8-$H11)/$J11)),IF($D11="XX",ABS((100*$G11)-((Data2009!J8-$E11)*$F11)),"na")))</f>
        <v>0</v>
      </c>
      <c r="Z11" s="38">
        <f>IF($D11="WS",SUMPRODUCT(($C12:$C$33=$B11)*($Q12:$Q$33)*(Z12:Z$33)),IF($D11="MM",100*ABS(($G11-(Data2009!K8-$H11)/$J11)),IF($D11="XX",ABS((100*$G11)-((Data2009!K8-$E11)*$F11)),"na")))</f>
        <v>50</v>
      </c>
      <c r="AA11" s="38">
        <f>IF($D11="WS",SUMPRODUCT(($C12:$C$33=$B11)*($Q12:$Q$33)*(AA12:AA$33)),IF($D11="MM",100*ABS(($G11-(Data2009!L8-$H11)/$J11)),IF($D11="XX",ABS((100*$G11)-((Data2009!L8-$E11)*$F11)),"na")))</f>
        <v>25</v>
      </c>
      <c r="AB11" s="38">
        <f>IF($D11="WS",SUMPRODUCT(($C12:$C$33=$B11)*($Q12:$Q$33)*(AB12:AB$33)),IF($D11="MM",100*ABS(($G11-(Data2009!M8-$H11)/$J11)),IF($D11="XX",ABS((100*$G11)-((Data2009!M8-$E11)*$F11)),"na")))</f>
        <v>25</v>
      </c>
      <c r="AC11" s="38">
        <f>IF($D11="WS",SUMPRODUCT(($C12:$C$33=$B11)*($Q12:$Q$33)*(AC12:AC$33)),IF($D11="MM",100*ABS(($G11-(Data2009!N8-$H11)/$J11)),IF($D11="XX",ABS((100*$G11)-((Data2009!N8-$E11)*$F11)),"na")))</f>
        <v>25</v>
      </c>
      <c r="AD11" s="38">
        <f>IF($D11="WS",SUMPRODUCT(($C12:$C$33=$B11)*($Q12:$Q$33)*(AD12:AD$33)),IF($D11="MM",100*ABS(($G11-(Data2009!O8-$H11)/$J11)),IF($D11="XX",ABS((100*$G11)-((Data2009!O8-$E11)*$F11)),"na")))</f>
        <v>50</v>
      </c>
      <c r="AE11" s="38">
        <f>IF($D11="WS",SUMPRODUCT(($C12:$C$33=$B11)*($Q12:$Q$33)*(AE12:AE$33)),IF($D11="MM",100*ABS(($G11-(Data2009!P8-$H11)/$J11)),IF($D11="XX",ABS((100*$G11)-((Data2009!P8-$E11)*$F11)),"na")))</f>
        <v>0</v>
      </c>
      <c r="AF11" s="38">
        <f>IF($D11="WS",SUMPRODUCT(($C12:$C$33=$B11)*($Q12:$Q$33)*(AF12:AF$33)),IF($D11="MM",100*ABS(($G11-(Data2009!Q8-$H11)/$J11)),IF($D11="XX",ABS((100*$G11)-((Data2009!Q8-$E11)*$F11)),"na")))</f>
        <v>25</v>
      </c>
      <c r="AG11" s="38">
        <f>IF($D11="WS",SUMPRODUCT(($C12:$C$33=$B11)*($Q12:$Q$33)*(AG12:AG$33)),IF($D11="MM",100*ABS(($G11-(Data2009!R8-$H11)/$J11)),IF($D11="XX",ABS((100*$G11)-((Data2009!R8-$E11)*$F11)),"na")))</f>
        <v>25</v>
      </c>
      <c r="AH11" s="38">
        <f>IF($D11="WS",SUMPRODUCT(($C12:$C$33=$B11)*($Q12:$Q$33)*(AH12:AH$33)),IF($D11="MM",100*ABS(($G11-(Data2009!S8-$H11)/$J11)),IF($D11="XX",ABS((100*$G11)-((Data2009!S8-$E11)*$F11)),"na")))</f>
        <v>50</v>
      </c>
      <c r="AI11" s="38">
        <f>IF($D11="WS",SUMPRODUCT(($C12:$C$33=$B11)*($Q12:$Q$33)*(AI12:AI$33)),IF($D11="MM",100*ABS(($G11-(Data2009!T8-$H11)/$J11)),IF($D11="XX",ABS((100*$G11)-((Data2009!T8-$E11)*$F11)),"na")))</f>
        <v>25</v>
      </c>
      <c r="AJ11" s="38">
        <f>IF($D11="WS",SUMPRODUCT(($C12:$C$33=$B11)*($Q12:$Q$33)*(AJ12:AJ$33)),IF($D11="MM",100*ABS(($G11-(Data2009!U8-$H11)/$J11)),IF($D11="XX",ABS((100*$G11)-((Data2009!U8-$E11)*$F11)),"na")))</f>
        <v>25</v>
      </c>
      <c r="AK11" s="38">
        <f>IF($D11="WS",SUMPRODUCT(($C12:$C$33=$B11)*($Q12:$Q$33)*(AK12:AK$33)),IF($D11="MM",100*ABS(($G11-(Data2009!V8-$H11)/$J11)),IF($D11="XX",ABS((100*$G11)-((Data2009!V8-$E11)*$F11)),"na")))</f>
        <v>0</v>
      </c>
    </row>
    <row r="12" spans="1:37">
      <c r="B12" t="str">
        <f>tblIndicators!A7</f>
        <v>LEGF04</v>
      </c>
      <c r="C12" t="str">
        <f>tblIndicators!B7</f>
        <v>LEGF</v>
      </c>
      <c r="D12" t="str">
        <f>tblIndicators!D7</f>
        <v>XX</v>
      </c>
      <c r="E12">
        <f>tblIndicators!E7</f>
        <v>0</v>
      </c>
      <c r="F12">
        <f>tblIndicators!F7</f>
        <v>25</v>
      </c>
      <c r="G12">
        <f>tblIndicators!G7</f>
        <v>0</v>
      </c>
      <c r="H12">
        <f>MIN(Data2009!D9:V9)</f>
        <v>0</v>
      </c>
      <c r="I12">
        <f>MAX(Data2009!D9:V9)</f>
        <v>2</v>
      </c>
      <c r="J12" s="22">
        <f t="shared" si="0"/>
        <v>2</v>
      </c>
      <c r="K12">
        <f>MATCH(B12,Weights!C$4:C$36,0)</f>
        <v>13</v>
      </c>
      <c r="L12">
        <f>tblIndicators!S7</f>
        <v>1</v>
      </c>
      <c r="M12" s="178">
        <f>L12*INDEX(Weights!G$4:G$36,K12)</f>
        <v>2</v>
      </c>
      <c r="N12" s="36">
        <f t="shared" si="1"/>
        <v>0.25</v>
      </c>
      <c r="P12" t="str">
        <f>tblIndicators!Q7</f>
        <v xml:space="preserve">   Dispute resolution mechanisms</v>
      </c>
      <c r="Q12" s="103">
        <f t="shared" si="2"/>
        <v>0.25</v>
      </c>
      <c r="S12" s="38">
        <f>IF($D12="WS",SUMPRODUCT(($C13:$C$33=$B12)*($Q13:$Q$33)*(S13:S$33)),IF($D12="MM",100*ABS(($G12-(Data2009!D9-$H12)/$J12)),IF($D12="XX",ABS((100*$G12)-((Data2009!D9-$E12)*$F12)),"na")))</f>
        <v>0</v>
      </c>
      <c r="T12" s="38">
        <f>IF($D12="WS",SUMPRODUCT(($C13:$C$33=$B12)*($Q13:$Q$33)*(T13:T$33)),IF($D12="MM",100*ABS(($G12-(Data2009!E9-$H12)/$J12)),IF($D12="XX",ABS((100*$G12)-((Data2009!E9-$E12)*$F12)),"na")))</f>
        <v>50</v>
      </c>
      <c r="U12" s="38">
        <f>IF($D12="WS",SUMPRODUCT(($C13:$C$33=$B12)*($Q13:$Q$33)*(U13:U$33)),IF($D12="MM",100*ABS(($G12-(Data2009!F9-$H12)/$J12)),IF($D12="XX",ABS((100*$G12)-((Data2009!F9-$E12)*$F12)),"na")))</f>
        <v>50</v>
      </c>
      <c r="V12" s="38">
        <f>IF($D12="WS",SUMPRODUCT(($C13:$C$33=$B12)*($Q13:$Q$33)*(V13:V$33)),IF($D12="MM",100*ABS(($G12-(Data2009!G9-$H12)/$J12)),IF($D12="XX",ABS((100*$G12)-((Data2009!G9-$E12)*$F12)),"na")))</f>
        <v>25</v>
      </c>
      <c r="W12" s="38">
        <f>IF($D12="WS",SUMPRODUCT(($C13:$C$33=$B12)*($Q13:$Q$33)*(W13:W$33)),IF($D12="MM",100*ABS(($G12-(Data2009!H9-$H12)/$J12)),IF($D12="XX",ABS((100*$G12)-((Data2009!H9-$E12)*$F12)),"na")))</f>
        <v>50</v>
      </c>
      <c r="X12" s="38">
        <f>IF($D12="WS",SUMPRODUCT(($C13:$C$33=$B12)*($Q13:$Q$33)*(X13:X$33)),IF($D12="MM",100*ABS(($G12-(Data2009!I9-$H12)/$J12)),IF($D12="XX",ABS((100*$G12)-((Data2009!I9-$E12)*$F12)),"na")))</f>
        <v>25</v>
      </c>
      <c r="Y12" s="38">
        <f>IF($D12="WS",SUMPRODUCT(($C13:$C$33=$B12)*($Q13:$Q$33)*(Y13:Y$33)),IF($D12="MM",100*ABS(($G12-(Data2009!J9-$H12)/$J12)),IF($D12="XX",ABS((100*$G12)-((Data2009!J9-$E12)*$F12)),"na")))</f>
        <v>25</v>
      </c>
      <c r="Z12" s="38">
        <f>IF($D12="WS",SUMPRODUCT(($C13:$C$33=$B12)*($Q13:$Q$33)*(Z13:Z$33)),IF($D12="MM",100*ABS(($G12-(Data2009!K9-$H12)/$J12)),IF($D12="XX",ABS((100*$G12)-((Data2009!K9-$E12)*$F12)),"na")))</f>
        <v>25</v>
      </c>
      <c r="AA12" s="38">
        <f>IF($D12="WS",SUMPRODUCT(($C13:$C$33=$B12)*($Q13:$Q$33)*(AA13:AA$33)),IF($D12="MM",100*ABS(($G12-(Data2009!L9-$H12)/$J12)),IF($D12="XX",ABS((100*$G12)-((Data2009!L9-$E12)*$F12)),"na")))</f>
        <v>25</v>
      </c>
      <c r="AB12" s="38">
        <f>IF($D12="WS",SUMPRODUCT(($C13:$C$33=$B12)*($Q13:$Q$33)*(AB13:AB$33)),IF($D12="MM",100*ABS(($G12-(Data2009!M9-$H12)/$J12)),IF($D12="XX",ABS((100*$G12)-((Data2009!M9-$E12)*$F12)),"na")))</f>
        <v>25</v>
      </c>
      <c r="AC12" s="38">
        <f>IF($D12="WS",SUMPRODUCT(($C13:$C$33=$B12)*($Q13:$Q$33)*(AC13:AC$33)),IF($D12="MM",100*ABS(($G12-(Data2009!N9-$H12)/$J12)),IF($D12="XX",ABS((100*$G12)-((Data2009!N9-$E12)*$F12)),"na")))</f>
        <v>25</v>
      </c>
      <c r="AD12" s="38">
        <f>IF($D12="WS",SUMPRODUCT(($C13:$C$33=$B12)*($Q13:$Q$33)*(AD13:AD$33)),IF($D12="MM",100*ABS(($G12-(Data2009!O9-$H12)/$J12)),IF($D12="XX",ABS((100*$G12)-((Data2009!O9-$E12)*$F12)),"na")))</f>
        <v>50</v>
      </c>
      <c r="AE12" s="38">
        <f>IF($D12="WS",SUMPRODUCT(($C13:$C$33=$B12)*($Q13:$Q$33)*(AE13:AE$33)),IF($D12="MM",100*ABS(($G12-(Data2009!P9-$H12)/$J12)),IF($D12="XX",ABS((100*$G12)-((Data2009!P9-$E12)*$F12)),"na")))</f>
        <v>25</v>
      </c>
      <c r="AF12" s="38">
        <f>IF($D12="WS",SUMPRODUCT(($C13:$C$33=$B12)*($Q13:$Q$33)*(AF13:AF$33)),IF($D12="MM",100*ABS(($G12-(Data2009!Q9-$H12)/$J12)),IF($D12="XX",ABS((100*$G12)-((Data2009!Q9-$E12)*$F12)),"na")))</f>
        <v>25</v>
      </c>
      <c r="AG12" s="38">
        <f>IF($D12="WS",SUMPRODUCT(($C13:$C$33=$B12)*($Q13:$Q$33)*(AG13:AG$33)),IF($D12="MM",100*ABS(($G12-(Data2009!R9-$H12)/$J12)),IF($D12="XX",ABS((100*$G12)-((Data2009!R9-$E12)*$F12)),"na")))</f>
        <v>25</v>
      </c>
      <c r="AH12" s="38">
        <f>IF($D12="WS",SUMPRODUCT(($C13:$C$33=$B12)*($Q13:$Q$33)*(AH13:AH$33)),IF($D12="MM",100*ABS(($G12-(Data2009!S9-$H12)/$J12)),IF($D12="XX",ABS((100*$G12)-((Data2009!S9-$E12)*$F12)),"na")))</f>
        <v>50</v>
      </c>
      <c r="AI12" s="38">
        <f>IF($D12="WS",SUMPRODUCT(($C13:$C$33=$B12)*($Q13:$Q$33)*(AI13:AI$33)),IF($D12="MM",100*ABS(($G12-(Data2009!T9-$H12)/$J12)),IF($D12="XX",ABS((100*$G12)-((Data2009!T9-$E12)*$F12)),"na")))</f>
        <v>25</v>
      </c>
      <c r="AJ12" s="38">
        <f>IF($D12="WS",SUMPRODUCT(($C13:$C$33=$B12)*($Q13:$Q$33)*(AJ13:AJ$33)),IF($D12="MM",100*ABS(($G12-(Data2009!U9-$H12)/$J12)),IF($D12="XX",ABS((100*$G12)-((Data2009!U9-$E12)*$F12)),"na")))</f>
        <v>25</v>
      </c>
      <c r="AK12" s="38">
        <f>IF($D12="WS",SUMPRODUCT(($C13:$C$33=$B12)*($Q13:$Q$33)*(AK13:AK$33)),IF($D12="MM",100*ABS(($G12-(Data2009!V9-$H12)/$J12)),IF($D12="XX",ABS((100*$G12)-((Data2009!V9-$E12)*$F12)),"na")))</f>
        <v>0</v>
      </c>
    </row>
    <row r="13" spans="1:37" s="95" customFormat="1">
      <c r="B13" s="95" t="str">
        <f>tblIndicators!A8</f>
        <v>INST</v>
      </c>
      <c r="C13" s="95" t="str">
        <f>tblIndicators!B8</f>
        <v>TOTL</v>
      </c>
      <c r="D13" s="95" t="str">
        <f>tblIndicators!D8</f>
        <v>WS</v>
      </c>
      <c r="E13" s="95">
        <f>tblIndicators!E8</f>
        <v>0</v>
      </c>
      <c r="F13" s="95">
        <f>tblIndicators!F8</f>
        <v>0</v>
      </c>
      <c r="G13" s="95">
        <f>tblIndicators!G8</f>
        <v>0</v>
      </c>
      <c r="H13" s="95">
        <f>MIN(Data2009!D10:V10)</f>
        <v>0</v>
      </c>
      <c r="I13" s="95">
        <f>MAX(Data2009!D10:V10)</f>
        <v>0</v>
      </c>
      <c r="J13" s="96">
        <f t="shared" si="0"/>
        <v>0</v>
      </c>
      <c r="K13" s="95">
        <f>MATCH(B13,Weights!C$4:C$36,0)</f>
        <v>2</v>
      </c>
      <c r="L13" s="95">
        <f>tblIndicators!S8</f>
        <v>1</v>
      </c>
      <c r="M13" s="178">
        <f>L13*INDEX(Weights!G$4:G$36,K13)</f>
        <v>1.2</v>
      </c>
      <c r="N13" s="98">
        <f t="shared" si="1"/>
        <v>0.22222222222222221</v>
      </c>
      <c r="P13" s="95" t="str">
        <f>tblIndicators!Q8</f>
        <v>INSTITUTIONAL FRAMEWORK</v>
      </c>
      <c r="Q13" s="102">
        <f t="shared" si="2"/>
        <v>0.22222222222222221</v>
      </c>
      <c r="S13" s="97">
        <f>IF($D13="WS",SUMPRODUCT(($C14:$C$33=$B13)*($Q14:$Q$33)*(S14:S$33)),IF($D13="MM",100*ABS(($G13-(Data2009!D10-$H13)/$J13)),IF($D13="XX",ABS((100*$G13)-((Data2009!D10-$E13)*$F13)),"na")))</f>
        <v>16.666666666666664</v>
      </c>
      <c r="T13" s="97">
        <f>IF($D13="WS",SUMPRODUCT(($C14:$C$33=$B13)*($Q14:$Q$33)*(T14:T$33)),IF($D13="MM",100*ABS(($G13-(Data2009!E10-$H13)/$J13)),IF($D13="XX",ABS((100*$G13)-((Data2009!E10-$E13)*$F13)),"na")))</f>
        <v>66.666666666666657</v>
      </c>
      <c r="U13" s="97">
        <f>IF($D13="WS",SUMPRODUCT(($C14:$C$33=$B13)*($Q14:$Q$33)*(U14:U$33)),IF($D13="MM",100*ABS(($G13-(Data2009!F10-$H13)/$J13)),IF($D13="XX",ABS((100*$G13)-((Data2009!F10-$E13)*$F13)),"na")))</f>
        <v>49.999999999999993</v>
      </c>
      <c r="V13" s="97">
        <f>IF($D13="WS",SUMPRODUCT(($C14:$C$33=$B13)*($Q14:$Q$33)*(V14:V$33)),IF($D13="MM",100*ABS(($G13-(Data2009!G10-$H13)/$J13)),IF($D13="XX",ABS((100*$G13)-((Data2009!G10-$E13)*$F13)),"na")))</f>
        <v>33.333333333333329</v>
      </c>
      <c r="W13" s="97">
        <f>IF($D13="WS",SUMPRODUCT(($C14:$C$33=$B13)*($Q14:$Q$33)*(W14:W$33)),IF($D13="MM",100*ABS(($G13-(Data2009!H10-$H13)/$J13)),IF($D13="XX",ABS((100*$G13)-((Data2009!H10-$E13)*$F13)),"na")))</f>
        <v>24.999999999999996</v>
      </c>
      <c r="X13" s="97">
        <f>IF($D13="WS",SUMPRODUCT(($C14:$C$33=$B13)*($Q14:$Q$33)*(X14:X$33)),IF($D13="MM",100*ABS(($G13-(Data2009!I10-$H13)/$J13)),IF($D13="XX",ABS((100*$G13)-((Data2009!I10-$E13)*$F13)),"na")))</f>
        <v>24.999999999999996</v>
      </c>
      <c r="Y13" s="97">
        <f>IF($D13="WS",SUMPRODUCT(($C14:$C$33=$B13)*($Q14:$Q$33)*(Y14:Y$33)),IF($D13="MM",100*ABS(($G13-(Data2009!J10-$H13)/$J13)),IF($D13="XX",ABS((100*$G13)-((Data2009!J10-$E13)*$F13)),"na")))</f>
        <v>0</v>
      </c>
      <c r="Z13" s="97">
        <f>IF($D13="WS",SUMPRODUCT(($C14:$C$33=$B13)*($Q14:$Q$33)*(Z14:Z$33)),IF($D13="MM",100*ABS(($G13-(Data2009!K10-$H13)/$J13)),IF($D13="XX",ABS((100*$G13)-((Data2009!K10-$E13)*$F13)),"na")))</f>
        <v>16.666666666666664</v>
      </c>
      <c r="AA13" s="97">
        <f>IF($D13="WS",SUMPRODUCT(($C14:$C$33=$B13)*($Q14:$Q$33)*(AA14:AA$33)),IF($D13="MM",100*ABS(($G13-(Data2009!L10-$H13)/$J13)),IF($D13="XX",ABS((100*$G13)-((Data2009!L10-$E13)*$F13)),"na")))</f>
        <v>24.999999999999996</v>
      </c>
      <c r="AB13" s="97">
        <f>IF($D13="WS",SUMPRODUCT(($C14:$C$33=$B13)*($Q14:$Q$33)*(AB14:AB$33)),IF($D13="MM",100*ABS(($G13-(Data2009!M10-$H13)/$J13)),IF($D13="XX",ABS((100*$G13)-((Data2009!M10-$E13)*$F13)),"na")))</f>
        <v>33.333333333333329</v>
      </c>
      <c r="AC13" s="97">
        <f>IF($D13="WS",SUMPRODUCT(($C14:$C$33=$B13)*($Q14:$Q$33)*(AC14:AC$33)),IF($D13="MM",100*ABS(($G13-(Data2009!N10-$H13)/$J13)),IF($D13="XX",ABS((100*$G13)-((Data2009!N10-$E13)*$F13)),"na")))</f>
        <v>41.666666666666657</v>
      </c>
      <c r="AD13" s="97">
        <f>IF($D13="WS",SUMPRODUCT(($C14:$C$33=$B13)*($Q14:$Q$33)*(AD14:AD$33)),IF($D13="MM",100*ABS(($G13-(Data2009!O10-$H13)/$J13)),IF($D13="XX",ABS((100*$G13)-((Data2009!O10-$E13)*$F13)),"na")))</f>
        <v>33.333333333333329</v>
      </c>
      <c r="AE13" s="97">
        <f>IF($D13="WS",SUMPRODUCT(($C14:$C$33=$B13)*($Q14:$Q$33)*(AE14:AE$33)),IF($D13="MM",100*ABS(($G13-(Data2009!P10-$H13)/$J13)),IF($D13="XX",ABS((100*$G13)-((Data2009!P10-$E13)*$F13)),"na")))</f>
        <v>8.3333333333333321</v>
      </c>
      <c r="AF13" s="97">
        <f>IF($D13="WS",SUMPRODUCT(($C14:$C$33=$B13)*($Q14:$Q$33)*(AF14:AF$33)),IF($D13="MM",100*ABS(($G13-(Data2009!Q10-$H13)/$J13)),IF($D13="XX",ABS((100*$G13)-((Data2009!Q10-$E13)*$F13)),"na")))</f>
        <v>8.3333333333333321</v>
      </c>
      <c r="AG13" s="97">
        <f>IF($D13="WS",SUMPRODUCT(($C14:$C$33=$B13)*($Q14:$Q$33)*(AG14:AG$33)),IF($D13="MM",100*ABS(($G13-(Data2009!R10-$H13)/$J13)),IF($D13="XX",ABS((100*$G13)-((Data2009!R10-$E13)*$F13)),"na")))</f>
        <v>24.999999999999996</v>
      </c>
      <c r="AH13" s="97">
        <f>IF($D13="WS",SUMPRODUCT(($C14:$C$33=$B13)*($Q14:$Q$33)*(AH14:AH$33)),IF($D13="MM",100*ABS(($G13-(Data2009!S10-$H13)/$J13)),IF($D13="XX",ABS((100*$G13)-((Data2009!S10-$E13)*$F13)),"na")))</f>
        <v>49.999999999999993</v>
      </c>
      <c r="AI13" s="97">
        <f>IF($D13="WS",SUMPRODUCT(($C14:$C$33=$B13)*($Q14:$Q$33)*(AI14:AI$33)),IF($D13="MM",100*ABS(($G13-(Data2009!T10-$H13)/$J13)),IF($D13="XX",ABS((100*$G13)-((Data2009!T10-$E13)*$F13)),"na")))</f>
        <v>24.999999999999996</v>
      </c>
      <c r="AJ13" s="97">
        <f>IF($D13="WS",SUMPRODUCT(($C14:$C$33=$B13)*($Q14:$Q$33)*(AJ14:AJ$33)),IF($D13="MM",100*ABS(($G13-(Data2009!U10-$H13)/$J13)),IF($D13="XX",ABS((100*$G13)-((Data2009!U10-$E13)*$F13)),"na")))</f>
        <v>33.333333333333329</v>
      </c>
      <c r="AK13" s="97">
        <f>IF($D13="WS",SUMPRODUCT(($C14:$C$33=$B13)*($Q14:$Q$33)*(AK14:AK$33)),IF($D13="MM",100*ABS(($G13-(Data2009!V10-$H13)/$J13)),IF($D13="XX",ABS((100*$G13)-((Data2009!V10-$E13)*$F13)),"na")))</f>
        <v>0</v>
      </c>
    </row>
    <row r="14" spans="1:37">
      <c r="B14" t="str">
        <f>tblIndicators!A9</f>
        <v>INST01</v>
      </c>
      <c r="C14" t="str">
        <f>tblIndicators!B9</f>
        <v>INST</v>
      </c>
      <c r="D14" t="str">
        <f>tblIndicators!D9</f>
        <v>XX</v>
      </c>
      <c r="E14">
        <f>tblIndicators!E9</f>
        <v>0</v>
      </c>
      <c r="F14">
        <f>tblIndicators!F9</f>
        <v>25</v>
      </c>
      <c r="G14">
        <f>tblIndicators!G9</f>
        <v>0</v>
      </c>
      <c r="H14">
        <f>MIN(Data2009!D11:V11)</f>
        <v>0</v>
      </c>
      <c r="I14">
        <f>MAX(Data2009!D11:V11)</f>
        <v>3</v>
      </c>
      <c r="J14" s="22">
        <f t="shared" si="0"/>
        <v>3</v>
      </c>
      <c r="K14">
        <f>MATCH(B14,Weights!C$4:C$36,0)</f>
        <v>15</v>
      </c>
      <c r="L14">
        <f>tblIndicators!S9</f>
        <v>1</v>
      </c>
      <c r="M14" s="178">
        <f>L14*INDEX(Weights!G$4:G$36,K14)</f>
        <v>2</v>
      </c>
      <c r="N14" s="36">
        <f t="shared" si="1"/>
        <v>0.66666666666666663</v>
      </c>
      <c r="P14" t="str">
        <f>tblIndicators!Q9</f>
        <v xml:space="preserve">   Quality of institutional design</v>
      </c>
      <c r="Q14" s="103">
        <f t="shared" si="2"/>
        <v>0.66666666666666663</v>
      </c>
      <c r="S14" s="38">
        <f>IF($D14="WS",SUMPRODUCT(($C15:$C$33=$B14)*($Q15:$Q$33)*(S15:S$33)),IF($D14="MM",100*ABS(($G14-(Data2009!D11-$H14)/$J14)),IF($D14="XX",ABS((100*$G14)-((Data2009!D11-$E14)*$F14)),"na")))</f>
        <v>25</v>
      </c>
      <c r="T14" s="38">
        <f>IF($D14="WS",SUMPRODUCT(($C15:$C$33=$B14)*($Q15:$Q$33)*(T15:T$33)),IF($D14="MM",100*ABS(($G14-(Data2009!E11-$H14)/$J14)),IF($D14="XX",ABS((100*$G14)-((Data2009!E11-$E14)*$F14)),"na")))</f>
        <v>75</v>
      </c>
      <c r="U14" s="38">
        <f>IF($D14="WS",SUMPRODUCT(($C15:$C$33=$B14)*($Q15:$Q$33)*(U15:U$33)),IF($D14="MM",100*ABS(($G14-(Data2009!F11-$H14)/$J14)),IF($D14="XX",ABS((100*$G14)-((Data2009!F11-$E14)*$F14)),"na")))</f>
        <v>50</v>
      </c>
      <c r="V14" s="38">
        <f>IF($D14="WS",SUMPRODUCT(($C15:$C$33=$B14)*($Q15:$Q$33)*(V15:V$33)),IF($D14="MM",100*ABS(($G14-(Data2009!G11-$H14)/$J14)),IF($D14="XX",ABS((100*$G14)-((Data2009!G11-$E14)*$F14)),"na")))</f>
        <v>25</v>
      </c>
      <c r="W14" s="38">
        <f>IF($D14="WS",SUMPRODUCT(($C15:$C$33=$B14)*($Q15:$Q$33)*(W15:W$33)),IF($D14="MM",100*ABS(($G14-(Data2009!H11-$H14)/$J14)),IF($D14="XX",ABS((100*$G14)-((Data2009!H11-$E14)*$F14)),"na")))</f>
        <v>25</v>
      </c>
      <c r="X14" s="38">
        <f>IF($D14="WS",SUMPRODUCT(($C15:$C$33=$B14)*($Q15:$Q$33)*(X15:X$33)),IF($D14="MM",100*ABS(($G14-(Data2009!I11-$H14)/$J14)),IF($D14="XX",ABS((100*$G14)-((Data2009!I11-$E14)*$F14)),"na")))</f>
        <v>25</v>
      </c>
      <c r="Y14" s="38">
        <f>IF($D14="WS",SUMPRODUCT(($C15:$C$33=$B14)*($Q15:$Q$33)*(Y15:Y$33)),IF($D14="MM",100*ABS(($G14-(Data2009!J11-$H14)/$J14)),IF($D14="XX",ABS((100*$G14)-((Data2009!J11-$E14)*$F14)),"na")))</f>
        <v>0</v>
      </c>
      <c r="Z14" s="38">
        <f>IF($D14="WS",SUMPRODUCT(($C15:$C$33=$B14)*($Q15:$Q$33)*(Z15:Z$33)),IF($D14="MM",100*ABS(($G14-(Data2009!K11-$H14)/$J14)),IF($D14="XX",ABS((100*$G14)-((Data2009!K11-$E14)*$F14)),"na")))</f>
        <v>0</v>
      </c>
      <c r="AA14" s="38">
        <f>IF($D14="WS",SUMPRODUCT(($C15:$C$33=$B14)*($Q15:$Q$33)*(AA15:AA$33)),IF($D14="MM",100*ABS(($G14-(Data2009!L11-$H14)/$J14)),IF($D14="XX",ABS((100*$G14)-((Data2009!L11-$E14)*$F14)),"na")))</f>
        <v>25</v>
      </c>
      <c r="AB14" s="38">
        <f>IF($D14="WS",SUMPRODUCT(($C15:$C$33=$B14)*($Q15:$Q$33)*(AB15:AB$33)),IF($D14="MM",100*ABS(($G14-(Data2009!M11-$H14)/$J14)),IF($D14="XX",ABS((100*$G14)-((Data2009!M11-$E14)*$F14)),"na")))</f>
        <v>25</v>
      </c>
      <c r="AC14" s="38">
        <f>IF($D14="WS",SUMPRODUCT(($C15:$C$33=$B14)*($Q15:$Q$33)*(AC15:AC$33)),IF($D14="MM",100*ABS(($G14-(Data2009!N11-$H14)/$J14)),IF($D14="XX",ABS((100*$G14)-((Data2009!N11-$E14)*$F14)),"na")))</f>
        <v>50</v>
      </c>
      <c r="AD14" s="38">
        <f>IF($D14="WS",SUMPRODUCT(($C15:$C$33=$B14)*($Q15:$Q$33)*(AD15:AD$33)),IF($D14="MM",100*ABS(($G14-(Data2009!O11-$H14)/$J14)),IF($D14="XX",ABS((100*$G14)-((Data2009!O11-$E14)*$F14)),"na")))</f>
        <v>25</v>
      </c>
      <c r="AE14" s="38">
        <f>IF($D14="WS",SUMPRODUCT(($C15:$C$33=$B14)*($Q15:$Q$33)*(AE15:AE$33)),IF($D14="MM",100*ABS(($G14-(Data2009!P11-$H14)/$J14)),IF($D14="XX",ABS((100*$G14)-((Data2009!P11-$E14)*$F14)),"na")))</f>
        <v>0</v>
      </c>
      <c r="AF14" s="38">
        <f>IF($D14="WS",SUMPRODUCT(($C15:$C$33=$B14)*($Q15:$Q$33)*(AF15:AF$33)),IF($D14="MM",100*ABS(($G14-(Data2009!Q11-$H14)/$J14)),IF($D14="XX",ABS((100*$G14)-((Data2009!Q11-$E14)*$F14)),"na")))</f>
        <v>0</v>
      </c>
      <c r="AG14" s="38">
        <f>IF($D14="WS",SUMPRODUCT(($C15:$C$33=$B14)*($Q15:$Q$33)*(AG15:AG$33)),IF($D14="MM",100*ABS(($G14-(Data2009!R11-$H14)/$J14)),IF($D14="XX",ABS((100*$G14)-((Data2009!R11-$E14)*$F14)),"na")))</f>
        <v>25</v>
      </c>
      <c r="AH14" s="38">
        <f>IF($D14="WS",SUMPRODUCT(($C15:$C$33=$B14)*($Q15:$Q$33)*(AH15:AH$33)),IF($D14="MM",100*ABS(($G14-(Data2009!S11-$H14)/$J14)),IF($D14="XX",ABS((100*$G14)-((Data2009!S11-$E14)*$F14)),"na")))</f>
        <v>50</v>
      </c>
      <c r="AI14" s="38">
        <f>IF($D14="WS",SUMPRODUCT(($C15:$C$33=$B14)*($Q15:$Q$33)*(AI15:AI$33)),IF($D14="MM",100*ABS(($G14-(Data2009!T11-$H14)/$J14)),IF($D14="XX",ABS((100*$G14)-((Data2009!T11-$E14)*$F14)),"na")))</f>
        <v>25</v>
      </c>
      <c r="AJ14" s="38">
        <f>IF($D14="WS",SUMPRODUCT(($C15:$C$33=$B14)*($Q15:$Q$33)*(AJ15:AJ$33)),IF($D14="MM",100*ABS(($G14-(Data2009!U11-$H14)/$J14)),IF($D14="XX",ABS((100*$G14)-((Data2009!U11-$E14)*$F14)),"na")))</f>
        <v>25</v>
      </c>
      <c r="AK14" s="38">
        <f>IF($D14="WS",SUMPRODUCT(($C15:$C$33=$B14)*($Q15:$Q$33)*(AK15:AK$33)),IF($D14="MM",100*ABS(($G14-(Data2009!V11-$H14)/$J14)),IF($D14="XX",ABS((100*$G14)-((Data2009!V11-$E14)*$F14)),"na")))</f>
        <v>0</v>
      </c>
    </row>
    <row r="15" spans="1:37">
      <c r="B15" t="str">
        <f>tblIndicators!A10</f>
        <v>INST02</v>
      </c>
      <c r="C15" t="str">
        <f>tblIndicators!B10</f>
        <v>INST</v>
      </c>
      <c r="D15" t="str">
        <f>tblIndicators!D10</f>
        <v>XX</v>
      </c>
      <c r="E15">
        <f>tblIndicators!E10</f>
        <v>0</v>
      </c>
      <c r="F15">
        <f>tblIndicators!F10</f>
        <v>25</v>
      </c>
      <c r="G15">
        <f>tblIndicators!G10</f>
        <v>0</v>
      </c>
      <c r="H15">
        <f>MIN(Data2009!D12:V12)</f>
        <v>0</v>
      </c>
      <c r="I15">
        <f>MAX(Data2009!D12:V12)</f>
        <v>2</v>
      </c>
      <c r="J15" s="22">
        <f t="shared" si="0"/>
        <v>2</v>
      </c>
      <c r="K15">
        <f>MATCH(B15,Weights!C$4:C$36,0)</f>
        <v>16</v>
      </c>
      <c r="L15">
        <f>tblIndicators!S10</f>
        <v>1</v>
      </c>
      <c r="M15" s="178">
        <f>L15*INDEX(Weights!G$4:G$36,K15)</f>
        <v>1</v>
      </c>
      <c r="N15" s="36">
        <f t="shared" si="1"/>
        <v>0.33333333333333331</v>
      </c>
      <c r="P15" t="str">
        <f>tblIndicators!Q10</f>
        <v xml:space="preserve">   PPP contract, hold-up and expropriation risk</v>
      </c>
      <c r="Q15" s="103">
        <f t="shared" si="2"/>
        <v>0.33333333333333331</v>
      </c>
      <c r="S15" s="38">
        <f>IF($D15="WS",SUMPRODUCT(($C16:$C$33=$B15)*($Q16:$Q$33)*(S16:S$33)),IF($D15="MM",100*ABS(($G15-(Data2009!D12-$H15)/$J15)),IF($D15="XX",ABS((100*$G15)-((Data2009!D12-$E15)*$F15)),"na")))</f>
        <v>0</v>
      </c>
      <c r="T15" s="38">
        <f>IF($D15="WS",SUMPRODUCT(($C16:$C$33=$B15)*($Q16:$Q$33)*(T16:T$33)),IF($D15="MM",100*ABS(($G15-(Data2009!E12-$H15)/$J15)),IF($D15="XX",ABS((100*$G15)-((Data2009!E12-$E15)*$F15)),"na")))</f>
        <v>50</v>
      </c>
      <c r="U15" s="38">
        <f>IF($D15="WS",SUMPRODUCT(($C16:$C$33=$B15)*($Q16:$Q$33)*(U16:U$33)),IF($D15="MM",100*ABS(($G15-(Data2009!F12-$H15)/$J15)),IF($D15="XX",ABS((100*$G15)-((Data2009!F12-$E15)*$F15)),"na")))</f>
        <v>50</v>
      </c>
      <c r="V15" s="38">
        <f>IF($D15="WS",SUMPRODUCT(($C16:$C$33=$B15)*($Q16:$Q$33)*(V16:V$33)),IF($D15="MM",100*ABS(($G15-(Data2009!G12-$H15)/$J15)),IF($D15="XX",ABS((100*$G15)-((Data2009!G12-$E15)*$F15)),"na")))</f>
        <v>50</v>
      </c>
      <c r="W15" s="38">
        <f>IF($D15="WS",SUMPRODUCT(($C16:$C$33=$B15)*($Q16:$Q$33)*(W16:W$33)),IF($D15="MM",100*ABS(($G15-(Data2009!H12-$H15)/$J15)),IF($D15="XX",ABS((100*$G15)-((Data2009!H12-$E15)*$F15)),"na")))</f>
        <v>25</v>
      </c>
      <c r="X15" s="38">
        <f>IF($D15="WS",SUMPRODUCT(($C16:$C$33=$B15)*($Q16:$Q$33)*(X16:X$33)),IF($D15="MM",100*ABS(($G15-(Data2009!I12-$H15)/$J15)),IF($D15="XX",ABS((100*$G15)-((Data2009!I12-$E15)*$F15)),"na")))</f>
        <v>25</v>
      </c>
      <c r="Y15" s="38">
        <f>IF($D15="WS",SUMPRODUCT(($C16:$C$33=$B15)*($Q16:$Q$33)*(Y16:Y$33)),IF($D15="MM",100*ABS(($G15-(Data2009!J12-$H15)/$J15)),IF($D15="XX",ABS((100*$G15)-((Data2009!J12-$E15)*$F15)),"na")))</f>
        <v>0</v>
      </c>
      <c r="Z15" s="38">
        <f>IF($D15="WS",SUMPRODUCT(($C16:$C$33=$B15)*($Q16:$Q$33)*(Z16:Z$33)),IF($D15="MM",100*ABS(($G15-(Data2009!K12-$H15)/$J15)),IF($D15="XX",ABS((100*$G15)-((Data2009!K12-$E15)*$F15)),"na")))</f>
        <v>50</v>
      </c>
      <c r="AA15" s="38">
        <f>IF($D15="WS",SUMPRODUCT(($C16:$C$33=$B15)*($Q16:$Q$33)*(AA16:AA$33)),IF($D15="MM",100*ABS(($G15-(Data2009!L12-$H15)/$J15)),IF($D15="XX",ABS((100*$G15)-((Data2009!L12-$E15)*$F15)),"na")))</f>
        <v>25</v>
      </c>
      <c r="AB15" s="38">
        <f>IF($D15="WS",SUMPRODUCT(($C16:$C$33=$B15)*($Q16:$Q$33)*(AB16:AB$33)),IF($D15="MM",100*ABS(($G15-(Data2009!M12-$H15)/$J15)),IF($D15="XX",ABS((100*$G15)-((Data2009!M12-$E15)*$F15)),"na")))</f>
        <v>50</v>
      </c>
      <c r="AC15" s="38">
        <f>IF($D15="WS",SUMPRODUCT(($C16:$C$33=$B15)*($Q16:$Q$33)*(AC16:AC$33)),IF($D15="MM",100*ABS(($G15-(Data2009!N12-$H15)/$J15)),IF($D15="XX",ABS((100*$G15)-((Data2009!N12-$E15)*$F15)),"na")))</f>
        <v>25</v>
      </c>
      <c r="AD15" s="38">
        <f>IF($D15="WS",SUMPRODUCT(($C16:$C$33=$B15)*($Q16:$Q$33)*(AD16:AD$33)),IF($D15="MM",100*ABS(($G15-(Data2009!O12-$H15)/$J15)),IF($D15="XX",ABS((100*$G15)-((Data2009!O12-$E15)*$F15)),"na")))</f>
        <v>50</v>
      </c>
      <c r="AE15" s="38">
        <f>IF($D15="WS",SUMPRODUCT(($C16:$C$33=$B15)*($Q16:$Q$33)*(AE16:AE$33)),IF($D15="MM",100*ABS(($G15-(Data2009!P12-$H15)/$J15)),IF($D15="XX",ABS((100*$G15)-((Data2009!P12-$E15)*$F15)),"na")))</f>
        <v>25</v>
      </c>
      <c r="AF15" s="38">
        <f>IF($D15="WS",SUMPRODUCT(($C16:$C$33=$B15)*($Q16:$Q$33)*(AF16:AF$33)),IF($D15="MM",100*ABS(($G15-(Data2009!Q12-$H15)/$J15)),IF($D15="XX",ABS((100*$G15)-((Data2009!Q12-$E15)*$F15)),"na")))</f>
        <v>25</v>
      </c>
      <c r="AG15" s="38">
        <f>IF($D15="WS",SUMPRODUCT(($C16:$C$33=$B15)*($Q16:$Q$33)*(AG16:AG$33)),IF($D15="MM",100*ABS(($G15-(Data2009!R12-$H15)/$J15)),IF($D15="XX",ABS((100*$G15)-((Data2009!R12-$E15)*$F15)),"na")))</f>
        <v>25</v>
      </c>
      <c r="AH15" s="38">
        <f>IF($D15="WS",SUMPRODUCT(($C16:$C$33=$B15)*($Q16:$Q$33)*(AH16:AH$33)),IF($D15="MM",100*ABS(($G15-(Data2009!S12-$H15)/$J15)),IF($D15="XX",ABS((100*$G15)-((Data2009!S12-$E15)*$F15)),"na")))</f>
        <v>50</v>
      </c>
      <c r="AI15" s="38">
        <f>IF($D15="WS",SUMPRODUCT(($C16:$C$33=$B15)*($Q16:$Q$33)*(AI16:AI$33)),IF($D15="MM",100*ABS(($G15-(Data2009!T12-$H15)/$J15)),IF($D15="XX",ABS((100*$G15)-((Data2009!T12-$E15)*$F15)),"na")))</f>
        <v>25</v>
      </c>
      <c r="AJ15" s="38">
        <f>IF($D15="WS",SUMPRODUCT(($C16:$C$33=$B15)*($Q16:$Q$33)*(AJ16:AJ$33)),IF($D15="MM",100*ABS(($G15-(Data2009!U12-$H15)/$J15)),IF($D15="XX",ABS((100*$G15)-((Data2009!U12-$E15)*$F15)),"na")))</f>
        <v>50</v>
      </c>
      <c r="AK15" s="38">
        <f>IF($D15="WS",SUMPRODUCT(($C16:$C$33=$B15)*($Q16:$Q$33)*(AK16:AK$33)),IF($D15="MM",100*ABS(($G15-(Data2009!V12-$H15)/$J15)),IF($D15="XX",ABS((100*$G15)-((Data2009!V12-$E15)*$F15)),"na")))</f>
        <v>0</v>
      </c>
    </row>
    <row r="16" spans="1:37" s="95" customFormat="1">
      <c r="B16" s="95" t="str">
        <f>tblIndicators!A11</f>
        <v>OPER</v>
      </c>
      <c r="C16" s="95" t="str">
        <f>tblIndicators!B11</f>
        <v>TOTL</v>
      </c>
      <c r="D16" s="95" t="str">
        <f>tblIndicators!D11</f>
        <v>WS</v>
      </c>
      <c r="E16" s="95">
        <f>tblIndicators!E11</f>
        <v>0</v>
      </c>
      <c r="F16" s="95">
        <f>tblIndicators!F11</f>
        <v>0</v>
      </c>
      <c r="G16" s="95">
        <f>tblIndicators!G11</f>
        <v>0</v>
      </c>
      <c r="H16" s="95">
        <f>MIN(Data2009!D13:V13)</f>
        <v>0</v>
      </c>
      <c r="I16" s="95">
        <f>MAX(Data2009!D13:V13)</f>
        <v>0</v>
      </c>
      <c r="J16" s="96">
        <f t="shared" si="0"/>
        <v>0</v>
      </c>
      <c r="K16" s="95">
        <f>MATCH(B16,Weights!C$4:C$36,0)</f>
        <v>3</v>
      </c>
      <c r="L16" s="95">
        <f>tblIndicators!S11</f>
        <v>1</v>
      </c>
      <c r="M16" s="178">
        <f>L16*INDEX(Weights!G$4:G$36,K16)</f>
        <v>0.9</v>
      </c>
      <c r="N16" s="98">
        <f t="shared" si="1"/>
        <v>0.16666666666666666</v>
      </c>
      <c r="P16" s="95" t="str">
        <f>tblIndicators!Q11</f>
        <v>OPERATIONAL MATURITY</v>
      </c>
      <c r="Q16" s="102">
        <f t="shared" si="2"/>
        <v>0.16666666666666666</v>
      </c>
      <c r="S16" s="97">
        <f>IF($D16="WS",SUMPRODUCT(($C17:$C$33=$B16)*($Q17:$Q$33)*(S17:S$33)),IF($D16="MM",100*ABS(($G16-(Data2009!D13-$H16)/$J16)),IF($D16="XX",ABS((100*$G16)-((Data2009!D13-$E16)*$F16)),"na")))</f>
        <v>22.115384615384617</v>
      </c>
      <c r="T16" s="97">
        <f>IF($D16="WS",SUMPRODUCT(($C17:$C$33=$B16)*($Q17:$Q$33)*(T17:T$33)),IF($D16="MM",100*ABS(($G16-(Data2009!E13-$H16)/$J16)),IF($D16="XX",ABS((100*$G16)-((Data2009!E13-$E16)*$F16)),"na")))</f>
        <v>68.75</v>
      </c>
      <c r="U16" s="97">
        <f>IF($D16="WS",SUMPRODUCT(($C17:$C$33=$B16)*($Q17:$Q$33)*(U17:U$33)),IF($D16="MM",100*ABS(($G16-(Data2009!F13-$H16)/$J16)),IF($D16="XX",ABS((100*$G16)-((Data2009!F13-$E16)*$F16)),"na")))</f>
        <v>70.192307692307693</v>
      </c>
      <c r="V16" s="97">
        <f>IF($D16="WS",SUMPRODUCT(($C17:$C$33=$B16)*($Q17:$Q$33)*(V17:V$33)),IF($D16="MM",100*ABS(($G16-(Data2009!G13-$H16)/$J16)),IF($D16="XX",ABS((100*$G16)-((Data2009!G13-$E16)*$F16)),"na")))</f>
        <v>45.192307692307693</v>
      </c>
      <c r="W16" s="97">
        <f>IF($D16="WS",SUMPRODUCT(($C17:$C$33=$B16)*($Q17:$Q$33)*(W17:W$33)),IF($D16="MM",100*ABS(($G16-(Data2009!H13-$H16)/$J16)),IF($D16="XX",ABS((100*$G16)-((Data2009!H13-$E16)*$F16)),"na")))</f>
        <v>44.95192307692308</v>
      </c>
      <c r="X16" s="97">
        <f>IF($D16="WS",SUMPRODUCT(($C17:$C$33=$B16)*($Q17:$Q$33)*(X17:X$33)),IF($D16="MM",100*ABS(($G16-(Data2009!I13-$H16)/$J16)),IF($D16="XX",ABS((100*$G16)-((Data2009!I13-$E16)*$F16)),"na")))</f>
        <v>32.932692307692307</v>
      </c>
      <c r="Y16" s="97">
        <f>IF($D16="WS",SUMPRODUCT(($C17:$C$33=$B16)*($Q17:$Q$33)*(Y17:Y$33)),IF($D16="MM",100*ABS(($G16-(Data2009!J13-$H16)/$J16)),IF($D16="XX",ABS((100*$G16)-((Data2009!J13-$E16)*$F16)),"na")))</f>
        <v>34.134615384615387</v>
      </c>
      <c r="Z16" s="97">
        <f>IF($D16="WS",SUMPRODUCT(($C17:$C$33=$B16)*($Q17:$Q$33)*(Z17:Z$33)),IF($D16="MM",100*ABS(($G16-(Data2009!K13-$H16)/$J16)),IF($D16="XX",ABS((100*$G16)-((Data2009!K13-$E16)*$F16)),"na")))</f>
        <v>21.875</v>
      </c>
      <c r="AA16" s="97">
        <f>IF($D16="WS",SUMPRODUCT(($C17:$C$33=$B16)*($Q17:$Q$33)*(AA17:AA$33)),IF($D16="MM",100*ABS(($G16-(Data2009!L13-$H16)/$J16)),IF($D16="XX",ABS((100*$G16)-((Data2009!L13-$E16)*$F16)),"na")))</f>
        <v>6.7307692307692308</v>
      </c>
      <c r="AB16" s="97">
        <f>IF($D16="WS",SUMPRODUCT(($C17:$C$33=$B16)*($Q17:$Q$33)*(AB17:AB$33)),IF($D16="MM",100*ABS(($G16-(Data2009!M13-$H16)/$J16)),IF($D16="XX",ABS((100*$G16)-((Data2009!M13-$E16)*$F16)),"na")))</f>
        <v>19.471153846153847</v>
      </c>
      <c r="AC16" s="97">
        <f>IF($D16="WS",SUMPRODUCT(($C17:$C$33=$B16)*($Q17:$Q$33)*(AC17:AC$33)),IF($D16="MM",100*ABS(($G16-(Data2009!N13-$H16)/$J16)),IF($D16="XX",ABS((100*$G16)-((Data2009!N13-$E16)*$F16)),"na")))</f>
        <v>16.10576923076923</v>
      </c>
      <c r="AD16" s="97">
        <f>IF($D16="WS",SUMPRODUCT(($C17:$C$33=$B16)*($Q17:$Q$33)*(AD17:AD$33)),IF($D16="MM",100*ABS(($G16-(Data2009!O13-$H16)/$J16)),IF($D16="XX",ABS((100*$G16)-((Data2009!O13-$E16)*$F16)),"na")))</f>
        <v>45.91346153846154</v>
      </c>
      <c r="AE16" s="97">
        <f>IF($D16="WS",SUMPRODUCT(($C17:$C$33=$B16)*($Q17:$Q$33)*(AE17:AE$33)),IF($D16="MM",100*ABS(($G16-(Data2009!P13-$H16)/$J16)),IF($D16="XX",ABS((100*$G16)-((Data2009!P13-$E16)*$F16)),"na")))</f>
        <v>6.490384615384615</v>
      </c>
      <c r="AF16" s="97">
        <f>IF($D16="WS",SUMPRODUCT(($C17:$C$33=$B16)*($Q17:$Q$33)*(AF17:AF$33)),IF($D16="MM",100*ABS(($G16-(Data2009!Q13-$H16)/$J16)),IF($D16="XX",ABS((100*$G16)-((Data2009!Q13-$E16)*$F16)),"na")))</f>
        <v>6.9711538461538458</v>
      </c>
      <c r="AG16" s="97">
        <f>IF($D16="WS",SUMPRODUCT(($C17:$C$33=$B16)*($Q17:$Q$33)*(AG17:AG$33)),IF($D16="MM",100*ABS(($G16-(Data2009!R13-$H16)/$J16)),IF($D16="XX",ABS((100*$G16)-((Data2009!R13-$E16)*$F16)),"na")))</f>
        <v>6.490384615384615</v>
      </c>
      <c r="AH16" s="97">
        <f>IF($D16="WS",SUMPRODUCT(($C17:$C$33=$B16)*($Q17:$Q$33)*(AH17:AH$33)),IF($D16="MM",100*ABS(($G16-(Data2009!S13-$H16)/$J16)),IF($D16="XX",ABS((100*$G16)-((Data2009!S13-$E16)*$F16)),"na")))</f>
        <v>45.192307692307693</v>
      </c>
      <c r="AI16" s="97">
        <f>IF($D16="WS",SUMPRODUCT(($C17:$C$33=$B16)*($Q17:$Q$33)*(AI17:AI$33)),IF($D16="MM",100*ABS(($G16-(Data2009!T13-$H16)/$J16)),IF($D16="XX",ABS((100*$G16)-((Data2009!T13-$E16)*$F16)),"na")))</f>
        <v>3.3653846153846154</v>
      </c>
      <c r="AJ16" s="97">
        <f>IF($D16="WS",SUMPRODUCT(($C17:$C$33=$B16)*($Q17:$Q$33)*(AJ17:AJ$33)),IF($D16="MM",100*ABS(($G16-(Data2009!U13-$H16)/$J16)),IF($D16="XX",ABS((100*$G16)-((Data2009!U13-$E16)*$F16)),"na")))</f>
        <v>13.701923076923077</v>
      </c>
      <c r="AK16" s="97">
        <f>IF($D16="WS",SUMPRODUCT(($C17:$C$33=$B16)*($Q17:$Q$33)*(AK17:AK$33)),IF($D16="MM",100*ABS(($G16-(Data2009!V13-$H16)/$J16)),IF($D16="XX",ABS((100*$G16)-((Data2009!V13-$E16)*$F16)),"na")))</f>
        <v>7.2115384615384617</v>
      </c>
    </row>
    <row r="17" spans="2:37">
      <c r="B17" t="str">
        <f>tblIndicators!A12</f>
        <v>OPER01</v>
      </c>
      <c r="C17" t="str">
        <f>tblIndicators!B12</f>
        <v>OPER</v>
      </c>
      <c r="D17" t="str">
        <f>tblIndicators!D12</f>
        <v>XX</v>
      </c>
      <c r="E17">
        <f>tblIndicators!E12</f>
        <v>0</v>
      </c>
      <c r="F17">
        <f>tblIndicators!F12</f>
        <v>25</v>
      </c>
      <c r="G17">
        <f>tblIndicators!G12</f>
        <v>0</v>
      </c>
      <c r="H17">
        <f>MIN(Data2009!D14:V14)</f>
        <v>0</v>
      </c>
      <c r="I17">
        <f>MAX(Data2009!D14:V14)</f>
        <v>3</v>
      </c>
      <c r="J17" s="22">
        <f t="shared" si="0"/>
        <v>3</v>
      </c>
      <c r="K17">
        <f>MATCH(B17,Weights!C$4:C$36,0)</f>
        <v>18</v>
      </c>
      <c r="L17">
        <f>tblIndicators!S12</f>
        <v>1</v>
      </c>
      <c r="M17" s="178">
        <f>L17*INDEX(Weights!G$4:G$36,K17)</f>
        <v>2</v>
      </c>
      <c r="N17" s="36">
        <f t="shared" si="1"/>
        <v>0.25</v>
      </c>
      <c r="P17" t="str">
        <f>tblIndicators!Q12</f>
        <v xml:space="preserve">   Public capacity to plan and oversee PPPs</v>
      </c>
      <c r="Q17" s="103">
        <f t="shared" si="2"/>
        <v>0.25</v>
      </c>
      <c r="S17" s="38">
        <f>IF($D17="WS",SUMPRODUCT(($C18:$C$33=$B17)*($Q18:$Q$33)*(S18:S$33)),IF($D17="MM",100*ABS(($G17-(Data2009!D14-$H17)/$J17)),IF($D17="XX",ABS((100*$G17)-((Data2009!D14-$E17)*$F17)),"na")))</f>
        <v>50</v>
      </c>
      <c r="T17" s="38">
        <f>IF($D17="WS",SUMPRODUCT(($C18:$C$33=$B17)*($Q18:$Q$33)*(T18:T$33)),IF($D17="MM",100*ABS(($G17-(Data2009!E14-$H17)/$J17)),IF($D17="XX",ABS((100*$G17)-((Data2009!E14-$E17)*$F17)),"na")))</f>
        <v>50</v>
      </c>
      <c r="U17" s="38">
        <f>IF($D17="WS",SUMPRODUCT(($C18:$C$33=$B17)*($Q18:$Q$33)*(U18:U$33)),IF($D17="MM",100*ABS(($G17-(Data2009!F14-$H17)/$J17)),IF($D17="XX",ABS((100*$G17)-((Data2009!F14-$E17)*$F17)),"na")))</f>
        <v>75</v>
      </c>
      <c r="V17" s="38">
        <f>IF($D17="WS",SUMPRODUCT(($C18:$C$33=$B17)*($Q18:$Q$33)*(V18:V$33)),IF($D17="MM",100*ABS(($G17-(Data2009!G14-$H17)/$J17)),IF($D17="XX",ABS((100*$G17)-((Data2009!G14-$E17)*$F17)),"na")))</f>
        <v>50</v>
      </c>
      <c r="W17" s="38">
        <f>IF($D17="WS",SUMPRODUCT(($C18:$C$33=$B17)*($Q18:$Q$33)*(W18:W$33)),IF($D17="MM",100*ABS(($G17-(Data2009!H14-$H17)/$J17)),IF($D17="XX",ABS((100*$G17)-((Data2009!H14-$E17)*$F17)),"na")))</f>
        <v>25</v>
      </c>
      <c r="X17" s="38">
        <f>IF($D17="WS",SUMPRODUCT(($C18:$C$33=$B17)*($Q18:$Q$33)*(X18:X$33)),IF($D17="MM",100*ABS(($G17-(Data2009!I14-$H17)/$J17)),IF($D17="XX",ABS((100*$G17)-((Data2009!I14-$E17)*$F17)),"na")))</f>
        <v>25</v>
      </c>
      <c r="Y17" s="38">
        <f>IF($D17="WS",SUMPRODUCT(($C18:$C$33=$B17)*($Q18:$Q$33)*(Y18:Y$33)),IF($D17="MM",100*ABS(($G17-(Data2009!J14-$H17)/$J17)),IF($D17="XX",ABS((100*$G17)-((Data2009!J14-$E17)*$F17)),"na")))</f>
        <v>25</v>
      </c>
      <c r="Z17" s="38">
        <f>IF($D17="WS",SUMPRODUCT(($C18:$C$33=$B17)*($Q18:$Q$33)*(Z18:Z$33)),IF($D17="MM",100*ABS(($G17-(Data2009!K14-$H17)/$J17)),IF($D17="XX",ABS((100*$G17)-((Data2009!K14-$E17)*$F17)),"na")))</f>
        <v>50</v>
      </c>
      <c r="AA17" s="38">
        <f>IF($D17="WS",SUMPRODUCT(($C18:$C$33=$B17)*($Q18:$Q$33)*(AA18:AA$33)),IF($D17="MM",100*ABS(($G17-(Data2009!L14-$H17)/$J17)),IF($D17="XX",ABS((100*$G17)-((Data2009!L14-$E17)*$F17)),"na")))</f>
        <v>0</v>
      </c>
      <c r="AB17" s="38">
        <f>IF($D17="WS",SUMPRODUCT(($C18:$C$33=$B17)*($Q18:$Q$33)*(AB18:AB$33)),IF($D17="MM",100*ABS(($G17-(Data2009!M14-$H17)/$J17)),IF($D17="XX",ABS((100*$G17)-((Data2009!M14-$E17)*$F17)),"na")))</f>
        <v>25</v>
      </c>
      <c r="AC17" s="38">
        <f>IF($D17="WS",SUMPRODUCT(($C18:$C$33=$B17)*($Q18:$Q$33)*(AC18:AC$33)),IF($D17="MM",100*ABS(($G17-(Data2009!N14-$H17)/$J17)),IF($D17="XX",ABS((100*$G17)-((Data2009!N14-$E17)*$F17)),"na")))</f>
        <v>25</v>
      </c>
      <c r="AD17" s="38">
        <f>IF($D17="WS",SUMPRODUCT(($C18:$C$33=$B17)*($Q18:$Q$33)*(AD18:AD$33)),IF($D17="MM",100*ABS(($G17-(Data2009!O14-$H17)/$J17)),IF($D17="XX",ABS((100*$G17)-((Data2009!O14-$E17)*$F17)),"na")))</f>
        <v>25</v>
      </c>
      <c r="AE17" s="38">
        <f>IF($D17="WS",SUMPRODUCT(($C18:$C$33=$B17)*($Q18:$Q$33)*(AE18:AE$33)),IF($D17="MM",100*ABS(($G17-(Data2009!P14-$H17)/$J17)),IF($D17="XX",ABS((100*$G17)-((Data2009!P14-$E17)*$F17)),"na")))</f>
        <v>0</v>
      </c>
      <c r="AF17" s="38">
        <f>IF($D17="WS",SUMPRODUCT(($C18:$C$33=$B17)*($Q18:$Q$33)*(AF18:AF$33)),IF($D17="MM",100*ABS(($G17-(Data2009!Q14-$H17)/$J17)),IF($D17="XX",ABS((100*$G17)-((Data2009!Q14-$E17)*$F17)),"na")))</f>
        <v>0</v>
      </c>
      <c r="AG17" s="38">
        <f>IF($D17="WS",SUMPRODUCT(($C18:$C$33=$B17)*($Q18:$Q$33)*(AG18:AG$33)),IF($D17="MM",100*ABS(($G17-(Data2009!R14-$H17)/$J17)),IF($D17="XX",ABS((100*$G17)-((Data2009!R14-$E17)*$F17)),"na")))</f>
        <v>0</v>
      </c>
      <c r="AH17" s="38">
        <f>IF($D17="WS",SUMPRODUCT(($C18:$C$33=$B17)*($Q18:$Q$33)*(AH18:AH$33)),IF($D17="MM",100*ABS(($G17-(Data2009!S14-$H17)/$J17)),IF($D17="XX",ABS((100*$G17)-((Data2009!S14-$E17)*$F17)),"na")))</f>
        <v>25</v>
      </c>
      <c r="AI17" s="38">
        <f>IF($D17="WS",SUMPRODUCT(($C18:$C$33=$B17)*($Q18:$Q$33)*(AI18:AI$33)),IF($D17="MM",100*ABS(($G17-(Data2009!T14-$H17)/$J17)),IF($D17="XX",ABS((100*$G17)-((Data2009!T14-$E17)*$F17)),"na")))</f>
        <v>0</v>
      </c>
      <c r="AJ17" s="38">
        <f>IF($D17="WS",SUMPRODUCT(($C18:$C$33=$B17)*($Q18:$Q$33)*(AJ18:AJ$33)),IF($D17="MM",100*ABS(($G17-(Data2009!U14-$H17)/$J17)),IF($D17="XX",ABS((100*$G17)-((Data2009!U14-$E17)*$F17)),"na")))</f>
        <v>25</v>
      </c>
      <c r="AK17" s="38">
        <f>IF($D17="WS",SUMPRODUCT(($C18:$C$33=$B17)*($Q18:$Q$33)*(AK18:AK$33)),IF($D17="MM",100*ABS(($G17-(Data2009!V14-$H17)/$J17)),IF($D17="XX",ABS((100*$G17)-((Data2009!V14-$E17)*$F17)),"na")))</f>
        <v>25</v>
      </c>
    </row>
    <row r="18" spans="2:37">
      <c r="B18" t="str">
        <f>tblIndicators!A13</f>
        <v>OPER02</v>
      </c>
      <c r="C18" t="str">
        <f>tblIndicators!B13</f>
        <v>OPER</v>
      </c>
      <c r="D18" t="str">
        <f>tblIndicators!D13</f>
        <v>XX</v>
      </c>
      <c r="E18">
        <f>tblIndicators!E13</f>
        <v>0</v>
      </c>
      <c r="F18">
        <f>tblIndicators!F13</f>
        <v>25</v>
      </c>
      <c r="G18">
        <f>tblIndicators!G13</f>
        <v>0</v>
      </c>
      <c r="H18">
        <f>MIN(Data2009!D15:V15)</f>
        <v>0</v>
      </c>
      <c r="I18">
        <f>MAX(Data2009!D15:V15)</f>
        <v>3</v>
      </c>
      <c r="J18" s="22">
        <f t="shared" si="0"/>
        <v>3</v>
      </c>
      <c r="K18">
        <f>MATCH(B18,Weights!C$4:C$36,0)</f>
        <v>19</v>
      </c>
      <c r="L18">
        <f>tblIndicators!S13</f>
        <v>1</v>
      </c>
      <c r="M18" s="178">
        <f>L18*INDEX(Weights!G$4:G$36,K18)</f>
        <v>1</v>
      </c>
      <c r="N18" s="36">
        <f t="shared" si="1"/>
        <v>0.125</v>
      </c>
      <c r="P18" t="str">
        <f>tblIndicators!Q13</f>
        <v xml:space="preserve">   Methods and criteria for awarding projects </v>
      </c>
      <c r="Q18" s="103">
        <f t="shared" si="2"/>
        <v>0.125</v>
      </c>
      <c r="S18" s="38">
        <f>IF($D18="WS",SUMPRODUCT(($C19:$C$33=$B18)*($Q19:$Q$33)*(S19:S$33)),IF($D18="MM",100*ABS(($G18-(Data2009!D15-$H18)/$J18)),IF($D18="XX",ABS((100*$G18)-((Data2009!D15-$E18)*$F18)),"na")))</f>
        <v>25</v>
      </c>
      <c r="T18" s="38">
        <f>IF($D18="WS",SUMPRODUCT(($C19:$C$33=$B18)*($Q19:$Q$33)*(T19:T$33)),IF($D18="MM",100*ABS(($G18-(Data2009!E15-$H18)/$J18)),IF($D18="XX",ABS((100*$G18)-((Data2009!E15-$E18)*$F18)),"na")))</f>
        <v>50</v>
      </c>
      <c r="U18" s="38">
        <f>IF($D18="WS",SUMPRODUCT(($C19:$C$33=$B18)*($Q19:$Q$33)*(U19:U$33)),IF($D18="MM",100*ABS(($G18-(Data2009!F15-$H18)/$J18)),IF($D18="XX",ABS((100*$G18)-((Data2009!F15-$E18)*$F18)),"na")))</f>
        <v>75</v>
      </c>
      <c r="V18" s="38">
        <f>IF($D18="WS",SUMPRODUCT(($C19:$C$33=$B18)*($Q19:$Q$33)*(V19:V$33)),IF($D18="MM",100*ABS(($G18-(Data2009!G15-$H18)/$J18)),IF($D18="XX",ABS((100*$G18)-((Data2009!G15-$E18)*$F18)),"na")))</f>
        <v>50</v>
      </c>
      <c r="W18" s="38">
        <f>IF($D18="WS",SUMPRODUCT(($C19:$C$33=$B18)*($Q19:$Q$33)*(W19:W$33)),IF($D18="MM",100*ABS(($G18-(Data2009!H15-$H18)/$J18)),IF($D18="XX",ABS((100*$G18)-((Data2009!H15-$E18)*$F18)),"na")))</f>
        <v>50</v>
      </c>
      <c r="X18" s="38">
        <f>IF($D18="WS",SUMPRODUCT(($C19:$C$33=$B18)*($Q19:$Q$33)*(X19:X$33)),IF($D18="MM",100*ABS(($G18-(Data2009!I15-$H18)/$J18)),IF($D18="XX",ABS((100*$G18)-((Data2009!I15-$E18)*$F18)),"na")))</f>
        <v>0</v>
      </c>
      <c r="Y18" s="38">
        <f>IF($D18="WS",SUMPRODUCT(($C19:$C$33=$B18)*($Q19:$Q$33)*(Y19:Y$33)),IF($D18="MM",100*ABS(($G18-(Data2009!J15-$H18)/$J18)),IF($D18="XX",ABS((100*$G18)-((Data2009!J15-$E18)*$F18)),"na")))</f>
        <v>0</v>
      </c>
      <c r="Z18" s="38">
        <f>IF($D18="WS",SUMPRODUCT(($C19:$C$33=$B18)*($Q19:$Q$33)*(Z19:Z$33)),IF($D18="MM",100*ABS(($G18-(Data2009!K15-$H18)/$J18)),IF($D18="XX",ABS((100*$G18)-((Data2009!K15-$E18)*$F18)),"na")))</f>
        <v>25</v>
      </c>
      <c r="AA18" s="38">
        <f>IF($D18="WS",SUMPRODUCT(($C19:$C$33=$B18)*($Q19:$Q$33)*(AA19:AA$33)),IF($D18="MM",100*ABS(($G18-(Data2009!L15-$H18)/$J18)),IF($D18="XX",ABS((100*$G18)-((Data2009!L15-$E18)*$F18)),"na")))</f>
        <v>25</v>
      </c>
      <c r="AB18" s="38">
        <f>IF($D18="WS",SUMPRODUCT(($C19:$C$33=$B18)*($Q19:$Q$33)*(AB19:AB$33)),IF($D18="MM",100*ABS(($G18-(Data2009!M15-$H18)/$J18)),IF($D18="XX",ABS((100*$G18)-((Data2009!M15-$E18)*$F18)),"na")))</f>
        <v>25</v>
      </c>
      <c r="AC18" s="38">
        <f>IF($D18="WS",SUMPRODUCT(($C19:$C$33=$B18)*($Q19:$Q$33)*(AC19:AC$33)),IF($D18="MM",100*ABS(($G18-(Data2009!N15-$H18)/$J18)),IF($D18="XX",ABS((100*$G18)-((Data2009!N15-$E18)*$F18)),"na")))</f>
        <v>0</v>
      </c>
      <c r="AD18" s="38">
        <f>IF($D18="WS",SUMPRODUCT(($C19:$C$33=$B18)*($Q19:$Q$33)*(AD19:AD$33)),IF($D18="MM",100*ABS(($G18-(Data2009!O15-$H18)/$J18)),IF($D18="XX",ABS((100*$G18)-((Data2009!O15-$E18)*$F18)),"na")))</f>
        <v>25</v>
      </c>
      <c r="AE18" s="38">
        <f>IF($D18="WS",SUMPRODUCT(($C19:$C$33=$B18)*($Q19:$Q$33)*(AE19:AE$33)),IF($D18="MM",100*ABS(($G18-(Data2009!P15-$H18)/$J18)),IF($D18="XX",ABS((100*$G18)-((Data2009!P15-$E18)*$F18)),"na")))</f>
        <v>0</v>
      </c>
      <c r="AF18" s="38">
        <f>IF($D18="WS",SUMPRODUCT(($C19:$C$33=$B18)*($Q19:$Q$33)*(AF19:AF$33)),IF($D18="MM",100*ABS(($G18-(Data2009!Q15-$H18)/$J18)),IF($D18="XX",ABS((100*$G18)-((Data2009!Q15-$E18)*$F18)),"na")))</f>
        <v>0</v>
      </c>
      <c r="AG18" s="38">
        <f>IF($D18="WS",SUMPRODUCT(($C19:$C$33=$B18)*($Q19:$Q$33)*(AG19:AG$33)),IF($D18="MM",100*ABS(($G18-(Data2009!R15-$H18)/$J18)),IF($D18="XX",ABS((100*$G18)-((Data2009!R15-$E18)*$F18)),"na")))</f>
        <v>0</v>
      </c>
      <c r="AH18" s="38">
        <f>IF($D18="WS",SUMPRODUCT(($C19:$C$33=$B18)*($Q19:$Q$33)*(AH19:AH$33)),IF($D18="MM",100*ABS(($G18-(Data2009!S15-$H18)/$J18)),IF($D18="XX",ABS((100*$G18)-((Data2009!S15-$E18)*$F18)),"na")))</f>
        <v>50</v>
      </c>
      <c r="AI18" s="38">
        <f>IF($D18="WS",SUMPRODUCT(($C19:$C$33=$B18)*($Q19:$Q$33)*(AI19:AI$33)),IF($D18="MM",100*ABS(($G18-(Data2009!T15-$H18)/$J18)),IF($D18="XX",ABS((100*$G18)-((Data2009!T15-$E18)*$F18)),"na")))</f>
        <v>25</v>
      </c>
      <c r="AJ18" s="38">
        <f>IF($D18="WS",SUMPRODUCT(($C19:$C$33=$B18)*($Q19:$Q$33)*(AJ19:AJ$33)),IF($D18="MM",100*ABS(($G18-(Data2009!U15-$H18)/$J18)),IF($D18="XX",ABS((100*$G18)-((Data2009!U15-$E18)*$F18)),"na")))</f>
        <v>25</v>
      </c>
      <c r="AK18" s="38">
        <f>IF($D18="WS",SUMPRODUCT(($C19:$C$33=$B18)*($Q19:$Q$33)*(AK19:AK$33)),IF($D18="MM",100*ABS(($G18-(Data2009!V15-$H18)/$J18)),IF($D18="XX",ABS((100*$G18)-((Data2009!V15-$E18)*$F18)),"na")))</f>
        <v>0</v>
      </c>
    </row>
    <row r="19" spans="2:37">
      <c r="B19" t="str">
        <f>tblIndicators!A14</f>
        <v>OPER03</v>
      </c>
      <c r="C19" t="str">
        <f>tblIndicators!B14</f>
        <v>OPER</v>
      </c>
      <c r="D19" t="str">
        <f>tblIndicators!D14</f>
        <v>XX</v>
      </c>
      <c r="E19">
        <f>tblIndicators!E14</f>
        <v>0</v>
      </c>
      <c r="F19">
        <f>tblIndicators!F14</f>
        <v>25</v>
      </c>
      <c r="G19">
        <f>tblIndicators!G14</f>
        <v>0</v>
      </c>
      <c r="H19">
        <f>MIN(Data2009!D16:V16)</f>
        <v>0</v>
      </c>
      <c r="I19">
        <f>MAX(Data2009!D16:V16)</f>
        <v>3</v>
      </c>
      <c r="J19" s="22">
        <f t="shared" si="0"/>
        <v>3</v>
      </c>
      <c r="K19">
        <f>MATCH(B19,Weights!C$4:C$36,0)</f>
        <v>20</v>
      </c>
      <c r="L19">
        <f>tblIndicators!S14</f>
        <v>1</v>
      </c>
      <c r="M19" s="178">
        <f>L19*INDEX(Weights!G$4:G$36,K19)</f>
        <v>1</v>
      </c>
      <c r="N19" s="36">
        <f t="shared" si="1"/>
        <v>0.125</v>
      </c>
      <c r="P19" t="str">
        <f>tblIndicators!Q14</f>
        <v xml:space="preserve">   Regulators' risk allocation record</v>
      </c>
      <c r="Q19" s="103">
        <f t="shared" si="2"/>
        <v>0.125</v>
      </c>
      <c r="S19" s="38">
        <f>IF($D19="WS",SUMPRODUCT(($C20:$C$33=$B19)*($Q20:$Q$33)*(S20:S$33)),IF($D19="MM",100*ABS(($G19-(Data2009!D16-$H19)/$J19)),IF($D19="XX",ABS((100*$G19)-((Data2009!D16-$E19)*$F19)),"na")))</f>
        <v>0</v>
      </c>
      <c r="T19" s="38">
        <f>IF($D19="WS",SUMPRODUCT(($C20:$C$33=$B19)*($Q20:$Q$33)*(T20:T$33)),IF($D19="MM",100*ABS(($G19-(Data2009!E16-$H19)/$J19)),IF($D19="XX",ABS((100*$G19)-((Data2009!E16-$E19)*$F19)),"na")))</f>
        <v>50</v>
      </c>
      <c r="U19" s="38">
        <f>IF($D19="WS",SUMPRODUCT(($C20:$C$33=$B19)*($Q20:$Q$33)*(U20:U$33)),IF($D19="MM",100*ABS(($G19-(Data2009!F16-$H19)/$J19)),IF($D19="XX",ABS((100*$G19)-((Data2009!F16-$E19)*$F19)),"na")))</f>
        <v>50</v>
      </c>
      <c r="V19" s="38">
        <f>IF($D19="WS",SUMPRODUCT(($C20:$C$33=$B19)*($Q20:$Q$33)*(V20:V$33)),IF($D19="MM",100*ABS(($G19-(Data2009!G16-$H19)/$J19)),IF($D19="XX",ABS((100*$G19)-((Data2009!G16-$E19)*$F19)),"na")))</f>
        <v>25</v>
      </c>
      <c r="W19" s="38">
        <f>IF($D19="WS",SUMPRODUCT(($C20:$C$33=$B19)*($Q20:$Q$33)*(W20:W$33)),IF($D19="MM",100*ABS(($G19-(Data2009!H16-$H19)/$J19)),IF($D19="XX",ABS((100*$G19)-((Data2009!H16-$E19)*$F19)),"na")))</f>
        <v>50</v>
      </c>
      <c r="X19" s="38">
        <f>IF($D19="WS",SUMPRODUCT(($C20:$C$33=$B19)*($Q20:$Q$33)*(X20:X$33)),IF($D19="MM",100*ABS(($G19-(Data2009!I16-$H19)/$J19)),IF($D19="XX",ABS((100*$G19)-((Data2009!I16-$E19)*$F19)),"na")))</f>
        <v>0</v>
      </c>
      <c r="Y19" s="38">
        <f>IF($D19="WS",SUMPRODUCT(($C20:$C$33=$B19)*($Q20:$Q$33)*(Y20:Y$33)),IF($D19="MM",100*ABS(($G19-(Data2009!J16-$H19)/$J19)),IF($D19="XX",ABS((100*$G19)-((Data2009!J16-$E19)*$F19)),"na")))</f>
        <v>0</v>
      </c>
      <c r="Z19" s="38">
        <f>IF($D19="WS",SUMPRODUCT(($C20:$C$33=$B19)*($Q20:$Q$33)*(Z20:Z$33)),IF($D19="MM",100*ABS(($G19-(Data2009!K16-$H19)/$J19)),IF($D19="XX",ABS((100*$G19)-((Data2009!K16-$E19)*$F19)),"na")))</f>
        <v>0</v>
      </c>
      <c r="AA19" s="38">
        <f>IF($D19="WS",SUMPRODUCT(($C20:$C$33=$B19)*($Q20:$Q$33)*(AA20:AA$33)),IF($D19="MM",100*ABS(($G19-(Data2009!L16-$H19)/$J19)),IF($D19="XX",ABS((100*$G19)-((Data2009!L16-$E19)*$F19)),"na")))</f>
        <v>25</v>
      </c>
      <c r="AB19" s="38">
        <f>IF($D19="WS",SUMPRODUCT(($C20:$C$33=$B19)*($Q20:$Q$33)*(AB20:AB$33)),IF($D19="MM",100*ABS(($G19-(Data2009!M16-$H19)/$J19)),IF($D19="XX",ABS((100*$G19)-((Data2009!M16-$E19)*$F19)),"na")))</f>
        <v>25</v>
      </c>
      <c r="AC19" s="38">
        <f>IF($D19="WS",SUMPRODUCT(($C20:$C$33=$B19)*($Q20:$Q$33)*(AC20:AC$33)),IF($D19="MM",100*ABS(($G19-(Data2009!N16-$H19)/$J19)),IF($D19="XX",ABS((100*$G19)-((Data2009!N16-$E19)*$F19)),"na")))</f>
        <v>25</v>
      </c>
      <c r="AD19" s="38">
        <f>IF($D19="WS",SUMPRODUCT(($C20:$C$33=$B19)*($Q20:$Q$33)*(AD20:AD$33)),IF($D19="MM",100*ABS(($G19-(Data2009!O16-$H19)/$J19)),IF($D19="XX",ABS((100*$G19)-((Data2009!O16-$E19)*$F19)),"na")))</f>
        <v>25</v>
      </c>
      <c r="AE19" s="38">
        <f>IF($D19="WS",SUMPRODUCT(($C20:$C$33=$B19)*($Q20:$Q$33)*(AE20:AE$33)),IF($D19="MM",100*ABS(($G19-(Data2009!P16-$H19)/$J19)),IF($D19="XX",ABS((100*$G19)-((Data2009!P16-$E19)*$F19)),"na")))</f>
        <v>0</v>
      </c>
      <c r="AF19" s="38">
        <f>IF($D19="WS",SUMPRODUCT(($C20:$C$33=$B19)*($Q20:$Q$33)*(AF20:AF$33)),IF($D19="MM",100*ABS(($G19-(Data2009!Q16-$H19)/$J19)),IF($D19="XX",ABS((100*$G19)-((Data2009!Q16-$E19)*$F19)),"na")))</f>
        <v>0</v>
      </c>
      <c r="AG19" s="38">
        <f>IF($D19="WS",SUMPRODUCT(($C20:$C$33=$B19)*($Q20:$Q$33)*(AG20:AG$33)),IF($D19="MM",100*ABS(($G19-(Data2009!R16-$H19)/$J19)),IF($D19="XX",ABS((100*$G19)-((Data2009!R16-$E19)*$F19)),"na")))</f>
        <v>0</v>
      </c>
      <c r="AH19" s="38">
        <f>IF($D19="WS",SUMPRODUCT(($C20:$C$33=$B19)*($Q20:$Q$33)*(AH20:AH$33)),IF($D19="MM",100*ABS(($G19-(Data2009!S16-$H19)/$J19)),IF($D19="XX",ABS((100*$G19)-((Data2009!S16-$E19)*$F19)),"na")))</f>
        <v>75</v>
      </c>
      <c r="AI19" s="38">
        <f>IF($D19="WS",SUMPRODUCT(($C20:$C$33=$B19)*($Q20:$Q$33)*(AI20:AI$33)),IF($D19="MM",100*ABS(($G19-(Data2009!T16-$H19)/$J19)),IF($D19="XX",ABS((100*$G19)-((Data2009!T16-$E19)*$F19)),"na")))</f>
        <v>0</v>
      </c>
      <c r="AJ19" s="38">
        <f>IF($D19="WS",SUMPRODUCT(($C20:$C$33=$B19)*($Q20:$Q$33)*(AJ20:AJ$33)),IF($D19="MM",100*ABS(($G19-(Data2009!U16-$H19)/$J19)),IF($D19="XX",ABS((100*$G19)-((Data2009!U16-$E19)*$F19)),"na")))</f>
        <v>25</v>
      </c>
      <c r="AK19" s="38">
        <f>IF($D19="WS",SUMPRODUCT(($C20:$C$33=$B19)*($Q20:$Q$33)*(AK20:AK$33)),IF($D19="MM",100*ABS(($G19-(Data2009!V16-$H19)/$J19)),IF($D19="XX",ABS((100*$G19)-((Data2009!V16-$E19)*$F19)),"na")))</f>
        <v>0</v>
      </c>
    </row>
    <row r="20" spans="2:37">
      <c r="B20" t="str">
        <f>tblIndicators!A15</f>
        <v>OPER04</v>
      </c>
      <c r="C20" t="str">
        <f>tblIndicators!B15</f>
        <v>OPER</v>
      </c>
      <c r="D20" t="str">
        <f>tblIndicators!D15</f>
        <v>MM</v>
      </c>
      <c r="E20">
        <f>tblIndicators!E15</f>
        <v>0</v>
      </c>
      <c r="F20">
        <f>tblIndicators!F15</f>
        <v>1</v>
      </c>
      <c r="G20">
        <f>tblIndicators!G15</f>
        <v>0</v>
      </c>
      <c r="H20">
        <f>MIN(Data2009!D17:V17)</f>
        <v>0</v>
      </c>
      <c r="I20">
        <f>MAX(Data2009!D17:V17)</f>
        <v>104</v>
      </c>
      <c r="J20" s="22">
        <f t="shared" si="0"/>
        <v>104</v>
      </c>
      <c r="K20">
        <f>MATCH(B20,Weights!C$4:C$36,0)</f>
        <v>21</v>
      </c>
      <c r="L20">
        <f>tblIndicators!S15</f>
        <v>1</v>
      </c>
      <c r="M20" s="178">
        <f>L20*INDEX(Weights!G$4:G$36,K20)</f>
        <v>2</v>
      </c>
      <c r="N20" s="36">
        <f t="shared" si="1"/>
        <v>0.25</v>
      </c>
      <c r="P20" t="str">
        <f>tblIndicators!Q15</f>
        <v xml:space="preserve">   Experience in PPP projects (concessions)</v>
      </c>
      <c r="Q20" s="103">
        <f t="shared" si="2"/>
        <v>0.25</v>
      </c>
      <c r="S20" s="38">
        <f>IF($D20="WS",SUMPRODUCT(($C21:$C$33=$B20)*($Q21:$Q$33)*(S21:S$33)),IF($D20="MM",100*ABS(($G20-(Data2009!D17-$H20)/$J20)),IF($D20="XX",ABS((100*$G20)-((Data2009!D17-$E20)*$F20)),"na")))</f>
        <v>25.961538461538463</v>
      </c>
      <c r="T20" s="38">
        <f>IF($D20="WS",SUMPRODUCT(($C21:$C$33=$B20)*($Q21:$Q$33)*(T21:T$33)),IF($D20="MM",100*ABS(($G20-(Data2009!E17-$H20)/$J20)),IF($D20="XX",ABS((100*$G20)-((Data2009!E17-$E20)*$F20)),"na")))</f>
        <v>100</v>
      </c>
      <c r="U20" s="38">
        <f>IF($D20="WS",SUMPRODUCT(($C21:$C$33=$B20)*($Q21:$Q$33)*(U21:U$33)),IF($D20="MM",100*ABS(($G20-(Data2009!F17-$H20)/$J20)),IF($D20="XX",ABS((100*$G20)-((Data2009!F17-$E20)*$F20)),"na")))</f>
        <v>43.269230769230774</v>
      </c>
      <c r="V20" s="38">
        <f>IF($D20="WS",SUMPRODUCT(($C21:$C$33=$B20)*($Q21:$Q$33)*(V21:V$33)),IF($D20="MM",100*ABS(($G20-(Data2009!G17-$H20)/$J20)),IF($D20="XX",ABS((100*$G20)-((Data2009!G17-$E20)*$F20)),"na")))</f>
        <v>43.269230769230774</v>
      </c>
      <c r="W20" s="38">
        <f>IF($D20="WS",SUMPRODUCT(($C21:$C$33=$B20)*($Q21:$Q$33)*(W21:W$33)),IF($D20="MM",100*ABS(($G20-(Data2009!H17-$H20)/$J20)),IF($D20="XX",ABS((100*$G20)-((Data2009!H17-$E20)*$F20)),"na")))</f>
        <v>4.8076923076923084</v>
      </c>
      <c r="X20" s="38">
        <f>IF($D20="WS",SUMPRODUCT(($C21:$C$33=$B20)*($Q21:$Q$33)*(X21:X$33)),IF($D20="MM",100*ABS(($G20-(Data2009!I17-$H20)/$J20)),IF($D20="XX",ABS((100*$G20)-((Data2009!I17-$E20)*$F20)),"na")))</f>
        <v>6.7307692307692308</v>
      </c>
      <c r="Y20" s="38">
        <f>IF($D20="WS",SUMPRODUCT(($C21:$C$33=$B20)*($Q21:$Q$33)*(Y21:Y$33)),IF($D20="MM",100*ABS(($G20-(Data2009!J17-$H20)/$J20)),IF($D20="XX",ABS((100*$G20)-((Data2009!J17-$E20)*$F20)),"na")))</f>
        <v>11.538461538461538</v>
      </c>
      <c r="Z20" s="38">
        <f>IF($D20="WS",SUMPRODUCT(($C21:$C$33=$B20)*($Q21:$Q$33)*(Z21:Z$33)),IF($D20="MM",100*ABS(($G20-(Data2009!K17-$H20)/$J20)),IF($D20="XX",ABS((100*$G20)-((Data2009!K17-$E20)*$F20)),"na")))</f>
        <v>0</v>
      </c>
      <c r="AA20" s="38">
        <f>IF($D20="WS",SUMPRODUCT(($C21:$C$33=$B20)*($Q21:$Q$33)*(AA21:AA$33)),IF($D20="MM",100*ABS(($G20-(Data2009!L17-$H20)/$J20)),IF($D20="XX",ABS((100*$G20)-((Data2009!L17-$E20)*$F20)),"na")))</f>
        <v>1.9230769230769231</v>
      </c>
      <c r="AB20" s="38">
        <f>IF($D20="WS",SUMPRODUCT(($C21:$C$33=$B20)*($Q21:$Q$33)*(AB21:AB$33)),IF($D20="MM",100*ABS(($G20-(Data2009!M17-$H20)/$J20)),IF($D20="XX",ABS((100*$G20)-((Data2009!M17-$E20)*$F20)),"na")))</f>
        <v>2.8846153846153846</v>
      </c>
      <c r="AC20" s="38">
        <f>IF($D20="WS",SUMPRODUCT(($C21:$C$33=$B20)*($Q21:$Q$33)*(AC21:AC$33)),IF($D20="MM",100*ABS(($G20-(Data2009!N17-$H20)/$J20)),IF($D20="XX",ABS((100*$G20)-((Data2009!N17-$E20)*$F20)),"na")))</f>
        <v>1.9230769230769231</v>
      </c>
      <c r="AD20" s="38">
        <f>IF($D20="WS",SUMPRODUCT(($C21:$C$33=$B20)*($Q21:$Q$33)*(AD21:AD$33)),IF($D20="MM",100*ABS(($G20-(Data2009!O17-$H20)/$J20)),IF($D20="XX",ABS((100*$G20)-((Data2009!O17-$E20)*$F20)),"na")))</f>
        <v>58.653846153846153</v>
      </c>
      <c r="AE20" s="38">
        <f>IF($D20="WS",SUMPRODUCT(($C21:$C$33=$B20)*($Q21:$Q$33)*(AE21:AE$33)),IF($D20="MM",100*ABS(($G20-(Data2009!P17-$H20)/$J20)),IF($D20="XX",ABS((100*$G20)-((Data2009!P17-$E20)*$F20)),"na")))</f>
        <v>0.96153846153846156</v>
      </c>
      <c r="AF20" s="38">
        <f>IF($D20="WS",SUMPRODUCT(($C21:$C$33=$B20)*($Q21:$Q$33)*(AF21:AF$33)),IF($D20="MM",100*ABS(($G20-(Data2009!Q17-$H20)/$J20)),IF($D20="XX",ABS((100*$G20)-((Data2009!Q17-$E20)*$F20)),"na")))</f>
        <v>2.8846153846153846</v>
      </c>
      <c r="AG20" s="38">
        <f>IF($D20="WS",SUMPRODUCT(($C21:$C$33=$B20)*($Q21:$Q$33)*(AG21:AG$33)),IF($D20="MM",100*ABS(($G20-(Data2009!R17-$H20)/$J20)),IF($D20="XX",ABS((100*$G20)-((Data2009!R17-$E20)*$F20)),"na")))</f>
        <v>0.96153846153846156</v>
      </c>
      <c r="AH20" s="38">
        <f>IF($D20="WS",SUMPRODUCT(($C21:$C$33=$B20)*($Q21:$Q$33)*(AH21:AH$33)),IF($D20="MM",100*ABS(($G20-(Data2009!S17-$H20)/$J20)),IF($D20="XX",ABS((100*$G20)-((Data2009!S17-$E20)*$F20)),"na")))</f>
        <v>18.269230769230766</v>
      </c>
      <c r="AI20" s="38">
        <f>IF($D20="WS",SUMPRODUCT(($C21:$C$33=$B20)*($Q21:$Q$33)*(AI21:AI$33)),IF($D20="MM",100*ABS(($G20-(Data2009!T17-$H20)/$J20)),IF($D20="XX",ABS((100*$G20)-((Data2009!T17-$E20)*$F20)),"na")))</f>
        <v>0.96153846153846156</v>
      </c>
      <c r="AJ20" s="38">
        <f>IF($D20="WS",SUMPRODUCT(($C21:$C$33=$B20)*($Q21:$Q$33)*(AJ21:AJ$33)),IF($D20="MM",100*ABS(($G20-(Data2009!U17-$H20)/$J20)),IF($D20="XX",ABS((100*$G20)-((Data2009!U17-$E20)*$F20)),"na")))</f>
        <v>4.8076923076923084</v>
      </c>
      <c r="AK20" s="38">
        <f>IF($D20="WS",SUMPRODUCT(($C21:$C$33=$B20)*($Q21:$Q$33)*(AK21:AK$33)),IF($D20="MM",100*ABS(($G20-(Data2009!V17-$H20)/$J20)),IF($D20="XX",ABS((100*$G20)-((Data2009!V17-$E20)*$F20)),"na")))</f>
        <v>3.8461538461538463</v>
      </c>
    </row>
    <row r="21" spans="2:37">
      <c r="B21" t="str">
        <f>tblIndicators!A16</f>
        <v>OPER05</v>
      </c>
      <c r="C21" t="str">
        <f>tblIndicators!B16</f>
        <v>OPER</v>
      </c>
      <c r="D21" t="str">
        <f>tblIndicators!D16</f>
        <v>MM</v>
      </c>
      <c r="E21">
        <f>tblIndicators!E16</f>
        <v>0</v>
      </c>
      <c r="F21">
        <f>tblIndicators!F16</f>
        <v>25</v>
      </c>
      <c r="G21">
        <f>tblIndicators!G16</f>
        <v>0</v>
      </c>
      <c r="H21">
        <f>MIN(Data2009!D18:V18)</f>
        <v>0</v>
      </c>
      <c r="I21">
        <f>MAX(Data2009!D18:V18)</f>
        <v>4</v>
      </c>
      <c r="J21" s="22">
        <f t="shared" si="0"/>
        <v>4</v>
      </c>
      <c r="K21">
        <f>MATCH(B21,Weights!C$4:C$36,0)</f>
        <v>22</v>
      </c>
      <c r="L21">
        <f>tblIndicators!S16</f>
        <v>1</v>
      </c>
      <c r="M21" s="178">
        <f>L21*INDEX(Weights!G$4:G$36,K21)</f>
        <v>2</v>
      </c>
      <c r="N21" s="36">
        <f t="shared" si="1"/>
        <v>0.25</v>
      </c>
      <c r="P21" t="str">
        <f>tblIndicators!Q16</f>
        <v xml:space="preserve">   Quality of PPP projects (concessions)</v>
      </c>
      <c r="Q21" s="103">
        <f t="shared" si="2"/>
        <v>0.25</v>
      </c>
      <c r="S21" s="38">
        <f>IF($D21="WS",SUMPRODUCT(($C22:$C$33=$B21)*($Q22:$Q$33)*(S22:S$33)),IF($D21="MM",100*ABS(($G21-(Data2009!D18-$H21)/$J21)),IF($D21="XX",ABS((100*$G21)-((Data2009!D18-$E21)*$F21)),"na")))</f>
        <v>0</v>
      </c>
      <c r="T21" s="38">
        <f>IF($D21="WS",SUMPRODUCT(($C22:$C$33=$B21)*($Q22:$Q$33)*(T22:T$33)),IF($D21="MM",100*ABS(($G21-(Data2009!E18-$H21)/$J21)),IF($D21="XX",ABS((100*$G21)-((Data2009!E18-$E21)*$F21)),"na")))</f>
        <v>75</v>
      </c>
      <c r="U21" s="38">
        <f>IF($D21="WS",SUMPRODUCT(($C22:$C$33=$B21)*($Q22:$Q$33)*(U22:U$33)),IF($D21="MM",100*ABS(($G21-(Data2009!F18-$H21)/$J21)),IF($D21="XX",ABS((100*$G21)-((Data2009!F18-$E21)*$F21)),"na")))</f>
        <v>100</v>
      </c>
      <c r="V21" s="38">
        <f>IF($D21="WS",SUMPRODUCT(($C22:$C$33=$B21)*($Q22:$Q$33)*(V22:V$33)),IF($D21="MM",100*ABS(($G21-(Data2009!G18-$H21)/$J21)),IF($D21="XX",ABS((100*$G21)-((Data2009!G18-$E21)*$F21)),"na")))</f>
        <v>50</v>
      </c>
      <c r="W21" s="38">
        <f>IF($D21="WS",SUMPRODUCT(($C22:$C$33=$B21)*($Q22:$Q$33)*(W22:W$33)),IF($D21="MM",100*ABS(($G21-(Data2009!H18-$H21)/$J21)),IF($D21="XX",ABS((100*$G21)-((Data2009!H18-$E21)*$F21)),"na")))</f>
        <v>100</v>
      </c>
      <c r="X21" s="38">
        <f>IF($D21="WS",SUMPRODUCT(($C22:$C$33=$B21)*($Q22:$Q$33)*(X22:X$33)),IF($D21="MM",100*ABS(($G21-(Data2009!I18-$H21)/$J21)),IF($D21="XX",ABS((100*$G21)-((Data2009!I18-$E21)*$F21)),"na")))</f>
        <v>100</v>
      </c>
      <c r="Y21" s="38">
        <f>IF($D21="WS",SUMPRODUCT(($C22:$C$33=$B21)*($Q22:$Q$33)*(Y22:Y$33)),IF($D21="MM",100*ABS(($G21-(Data2009!J18-$H21)/$J21)),IF($D21="XX",ABS((100*$G21)-((Data2009!J18-$E21)*$F21)),"na")))</f>
        <v>100</v>
      </c>
      <c r="Z21" s="38">
        <f>IF($D21="WS",SUMPRODUCT(($C22:$C$33=$B21)*($Q22:$Q$33)*(Z22:Z$33)),IF($D21="MM",100*ABS(($G21-(Data2009!K18-$H21)/$J21)),IF($D21="XX",ABS((100*$G21)-((Data2009!K18-$E21)*$F21)),"na")))</f>
        <v>25</v>
      </c>
      <c r="AA21" s="38">
        <f>IF($D21="WS",SUMPRODUCT(($C22:$C$33=$B21)*($Q22:$Q$33)*(AA22:AA$33)),IF($D21="MM",100*ABS(($G21-(Data2009!L18-$H21)/$J21)),IF($D21="XX",ABS((100*$G21)-((Data2009!L18-$E21)*$F21)),"na")))</f>
        <v>0</v>
      </c>
      <c r="AB21" s="38">
        <f>IF($D21="WS",SUMPRODUCT(($C22:$C$33=$B21)*($Q22:$Q$33)*(AB22:AB$33)),IF($D21="MM",100*ABS(($G21-(Data2009!M18-$H21)/$J21)),IF($D21="XX",ABS((100*$G21)-((Data2009!M18-$E21)*$F21)),"na")))</f>
        <v>25</v>
      </c>
      <c r="AC21" s="38">
        <f>IF($D21="WS",SUMPRODUCT(($C22:$C$33=$B21)*($Q22:$Q$33)*(AC22:AC$33)),IF($D21="MM",100*ABS(($G21-(Data2009!N18-$H21)/$J21)),IF($D21="XX",ABS((100*$G21)-((Data2009!N18-$E21)*$F21)),"na")))</f>
        <v>25</v>
      </c>
      <c r="AD21" s="38">
        <f>IF($D21="WS",SUMPRODUCT(($C22:$C$33=$B21)*($Q22:$Q$33)*(AD22:AD$33)),IF($D21="MM",100*ABS(($G21-(Data2009!O18-$H21)/$J21)),IF($D21="XX",ABS((100*$G21)-((Data2009!O18-$E21)*$F21)),"na")))</f>
        <v>75</v>
      </c>
      <c r="AE21" s="38">
        <f>IF($D21="WS",SUMPRODUCT(($C22:$C$33=$B21)*($Q22:$Q$33)*(AE22:AE$33)),IF($D21="MM",100*ABS(($G21-(Data2009!P18-$H21)/$J21)),IF($D21="XX",ABS((100*$G21)-((Data2009!P18-$E21)*$F21)),"na")))</f>
        <v>25</v>
      </c>
      <c r="AF21" s="38">
        <f>IF($D21="WS",SUMPRODUCT(($C22:$C$33=$B21)*($Q22:$Q$33)*(AF22:AF$33)),IF($D21="MM",100*ABS(($G21-(Data2009!Q18-$H21)/$J21)),IF($D21="XX",ABS((100*$G21)-((Data2009!Q18-$E21)*$F21)),"na")))</f>
        <v>25</v>
      </c>
      <c r="AG21" s="38">
        <f>IF($D21="WS",SUMPRODUCT(($C22:$C$33=$B21)*($Q22:$Q$33)*(AG22:AG$33)),IF($D21="MM",100*ABS(($G21-(Data2009!R18-$H21)/$J21)),IF($D21="XX",ABS((100*$G21)-((Data2009!R18-$E21)*$F21)),"na")))</f>
        <v>25</v>
      </c>
      <c r="AH21" s="38">
        <f>IF($D21="WS",SUMPRODUCT(($C22:$C$33=$B21)*($Q22:$Q$33)*(AH22:AH$33)),IF($D21="MM",100*ABS(($G21-(Data2009!S18-$H21)/$J21)),IF($D21="XX",ABS((100*$G21)-((Data2009!S18-$E21)*$F21)),"na")))</f>
        <v>75</v>
      </c>
      <c r="AI21" s="38">
        <f>IF($D21="WS",SUMPRODUCT(($C22:$C$33=$B21)*($Q22:$Q$33)*(AI22:AI$33)),IF($D21="MM",100*ABS(($G21-(Data2009!T18-$H21)/$J21)),IF($D21="XX",ABS((100*$G21)-((Data2009!T18-$E21)*$F21)),"na")))</f>
        <v>0</v>
      </c>
      <c r="AJ21" s="38">
        <f>IF($D21="WS",SUMPRODUCT(($C22:$C$33=$B21)*($Q22:$Q$33)*(AJ22:AJ$33)),IF($D21="MM",100*ABS(($G21-(Data2009!U18-$H21)/$J21)),IF($D21="XX",ABS((100*$G21)-((Data2009!U18-$E21)*$F21)),"na")))</f>
        <v>0</v>
      </c>
      <c r="AK21" s="38">
        <f>IF($D21="WS",SUMPRODUCT(($C22:$C$33=$B21)*($Q22:$Q$33)*(AK22:AK$33)),IF($D21="MM",100*ABS(($G21-(Data2009!V18-$H21)/$J21)),IF($D21="XX",ABS((100*$G21)-((Data2009!V18-$E21)*$F21)),"na")))</f>
        <v>0</v>
      </c>
    </row>
    <row r="22" spans="2:37" s="95" customFormat="1">
      <c r="B22" s="95" t="str">
        <f>tblIndicators!A17</f>
        <v>INVT</v>
      </c>
      <c r="C22" s="95" t="str">
        <f>tblIndicators!B17</f>
        <v>TOTL</v>
      </c>
      <c r="D22" s="95" t="str">
        <f>tblIndicators!D17</f>
        <v>WS</v>
      </c>
      <c r="E22" s="95">
        <f>tblIndicators!E17</f>
        <v>0</v>
      </c>
      <c r="F22" s="95">
        <f>tblIndicators!F17</f>
        <v>0</v>
      </c>
      <c r="G22" s="95">
        <f>tblIndicators!G17</f>
        <v>0</v>
      </c>
      <c r="H22" s="95">
        <f>MIN(Data2009!D19:V19)</f>
        <v>0</v>
      </c>
      <c r="I22" s="95">
        <f>MAX(Data2009!D19:V19)</f>
        <v>0</v>
      </c>
      <c r="J22" s="96">
        <f t="shared" si="0"/>
        <v>0</v>
      </c>
      <c r="K22" s="95">
        <f>MATCH(B22,Weights!C$4:C$36,0)</f>
        <v>4</v>
      </c>
      <c r="L22" s="95">
        <f>tblIndicators!S17</f>
        <v>1</v>
      </c>
      <c r="M22" s="178">
        <f>L22*INDEX(Weights!G$4:G$36,K22)</f>
        <v>0.9</v>
      </c>
      <c r="N22" s="98">
        <f t="shared" si="1"/>
        <v>0.16666666666666666</v>
      </c>
      <c r="P22" s="95" t="str">
        <f>tblIndicators!Q17</f>
        <v>INVESTMENT CLIMATE</v>
      </c>
      <c r="Q22" s="102">
        <f t="shared" si="2"/>
        <v>0.16666666666666666</v>
      </c>
      <c r="S22" s="97">
        <f>IF($D22="WS",SUMPRODUCT(($C23:$C$33=$B22)*($Q23:$Q$33)*(S23:S$33)),IF($D22="MM",100*ABS(($G22-(Data2009!D19-$H22)/$J22)),IF($D22="XX",ABS((100*$G22)-((Data2009!D19-$E22)*$F22)),"na")))</f>
        <v>44.213324089601699</v>
      </c>
      <c r="T22" s="97">
        <f>IF($D22="WS",SUMPRODUCT(($C23:$C$33=$B22)*($Q23:$Q$33)*(T23:T$33)),IF($D22="MM",100*ABS(($G22-(Data2009!E19-$H22)/$J22)),IF($D22="XX",ABS((100*$G22)-((Data2009!E19-$E22)*$F22)),"na")))</f>
        <v>50.888509454200779</v>
      </c>
      <c r="U22" s="97">
        <f>IF($D22="WS",SUMPRODUCT(($C23:$C$33=$B22)*($Q23:$Q$33)*(U23:U$33)),IF($D22="MM",100*ABS(($G22-(Data2009!F19-$H22)/$J22)),IF($D22="XX",ABS((100*$G22)-((Data2009!F19-$E22)*$F22)),"na")))</f>
        <v>71.326102673388078</v>
      </c>
      <c r="V22" s="97">
        <f>IF($D22="WS",SUMPRODUCT(($C23:$C$33=$B22)*($Q23:$Q$33)*(V23:V$33)),IF($D22="MM",100*ABS(($G22-(Data2009!G19-$H22)/$J22)),IF($D22="XX",ABS((100*$G22)-((Data2009!G19-$E22)*$F22)),"na")))</f>
        <v>44.09486712969251</v>
      </c>
      <c r="W22" s="97">
        <f>IF($D22="WS",SUMPRODUCT(($C23:$C$33=$B22)*($Q23:$Q$33)*(W23:W$33)),IF($D22="MM",100*ABS(($G22-(Data2009!H19-$H22)/$J22)),IF($D22="XX",ABS((100*$G22)-((Data2009!H19-$E22)*$F22)),"na")))</f>
        <v>47.957298100636535</v>
      </c>
      <c r="X22" s="97">
        <f>IF($D22="WS",SUMPRODUCT(($C23:$C$33=$B22)*($Q23:$Q$33)*(X23:X$33)),IF($D22="MM",100*ABS(($G22-(Data2009!I19-$H22)/$J22)),IF($D22="XX",ABS((100*$G22)-((Data2009!I19-$E22)*$F22)),"na")))</f>
        <v>30.174265178182669</v>
      </c>
      <c r="Y22" s="97">
        <f>IF($D22="WS",SUMPRODUCT(($C23:$C$33=$B22)*($Q23:$Q$33)*(Y23:Y$33)),IF($D22="MM",100*ABS(($G22-(Data2009!J19-$H22)/$J22)),IF($D22="XX",ABS((100*$G22)-((Data2009!J19-$E22)*$F22)),"na")))</f>
        <v>33.664410282852749</v>
      </c>
      <c r="Z22" s="97">
        <f>IF($D22="WS",SUMPRODUCT(($C23:$C$33=$B22)*($Q23:$Q$33)*(Z23:Z$33)),IF($D22="MM",100*ABS(($G22-(Data2009!K19-$H22)/$J22)),IF($D22="XX",ABS((100*$G22)-((Data2009!K19-$E22)*$F22)),"na")))</f>
        <v>53.907126376418191</v>
      </c>
      <c r="AA22" s="97">
        <f>IF($D22="WS",SUMPRODUCT(($C23:$C$33=$B22)*($Q23:$Q$33)*(AA23:AA$33)),IF($D22="MM",100*ABS(($G22-(Data2009!L19-$H22)/$J22)),IF($D22="XX",ABS((100*$G22)-((Data2009!L19-$E22)*$F22)),"na")))</f>
        <v>34.118907287695208</v>
      </c>
      <c r="AB22" s="97">
        <f>IF($D22="WS",SUMPRODUCT(($C23:$C$33=$B22)*($Q23:$Q$33)*(AB23:AB$33)),IF($D22="MM",100*ABS(($G22-(Data2009!M19-$H22)/$J22)),IF($D22="XX",ABS((100*$G22)-((Data2009!M19-$E22)*$F22)),"na")))</f>
        <v>29.366176886852038</v>
      </c>
      <c r="AC22" s="97">
        <f>IF($D22="WS",SUMPRODUCT(($C23:$C$33=$B22)*($Q23:$Q$33)*(AC23:AC$33)),IF($D22="MM",100*ABS(($G22-(Data2009!N19-$H22)/$J22)),IF($D22="XX",ABS((100*$G22)-((Data2009!N19-$E22)*$F22)),"na")))</f>
        <v>39.147754562563854</v>
      </c>
      <c r="AD22" s="97">
        <f>IF($D22="WS",SUMPRODUCT(($C23:$C$33=$B22)*($Q23:$Q$33)*(AD23:AD$33)),IF($D22="MM",100*ABS(($G22-(Data2009!O19-$H22)/$J22)),IF($D22="XX",ABS((100*$G22)-((Data2009!O19-$E22)*$F22)),"na")))</f>
        <v>51.263706742041393</v>
      </c>
      <c r="AE22" s="97">
        <f>IF($D22="WS",SUMPRODUCT(($C23:$C$33=$B22)*($Q23:$Q$33)*(AE23:AE$33)),IF($D22="MM",100*ABS(($G22-(Data2009!P19-$H22)/$J22)),IF($D22="XX",ABS((100*$G22)-((Data2009!P19-$E22)*$F22)),"na")))</f>
        <v>31.896808058533956</v>
      </c>
      <c r="AF22" s="97">
        <f>IF($D22="WS",SUMPRODUCT(($C23:$C$33=$B22)*($Q23:$Q$33)*(AF23:AF$33)),IF($D22="MM",100*ABS(($G22-(Data2009!Q19-$H22)/$J22)),IF($D22="XX",ABS((100*$G22)-((Data2009!Q19-$E22)*$F22)),"na")))</f>
        <v>50.51723697286522</v>
      </c>
      <c r="AG22" s="97">
        <f>IF($D22="WS",SUMPRODUCT(($C23:$C$33=$B22)*($Q23:$Q$33)*(AG23:AG$33)),IF($D22="MM",100*ABS(($G22-(Data2009!R19-$H22)/$J22)),IF($D22="XX",ABS((100*$G22)-((Data2009!R19-$E22)*$F22)),"na")))</f>
        <v>33.310147640788422</v>
      </c>
      <c r="AH22" s="97">
        <f>IF($D22="WS",SUMPRODUCT(($C23:$C$33=$B22)*($Q23:$Q$33)*(AH23:AH$33)),IF($D22="MM",100*ABS(($G22-(Data2009!S19-$H22)/$J22)),IF($D22="XX",ABS((100*$G22)-((Data2009!S19-$E22)*$F22)),"na")))</f>
        <v>49.065789196147392</v>
      </c>
      <c r="AI22" s="97">
        <f>IF($D22="WS",SUMPRODUCT(($C23:$C$33=$B22)*($Q23:$Q$33)*(AI23:AI$33)),IF($D22="MM",100*ABS(($G22-(Data2009!T19-$H22)/$J22)),IF($D22="XX",ABS((100*$G22)-((Data2009!T19-$E22)*$F22)),"na")))</f>
        <v>50.43415097332506</v>
      </c>
      <c r="AJ22" s="97">
        <f>IF($D22="WS",SUMPRODUCT(($C23:$C$33=$B22)*($Q23:$Q$33)*(AJ23:AJ$33)),IF($D22="MM",100*ABS(($G22-(Data2009!U19-$H22)/$J22)),IF($D22="XX",ABS((100*$G22)-((Data2009!U19-$E22)*$F22)),"na")))</f>
        <v>52.50946359491715</v>
      </c>
      <c r="AK22" s="97">
        <f>IF($D22="WS",SUMPRODUCT(($C23:$C$33=$B22)*($Q23:$Q$33)*(AK23:AK$33)),IF($D22="MM",100*ABS(($G22-(Data2009!V19-$H22)/$J22)),IF($D22="XX",ABS((100*$G22)-((Data2009!V19-$E22)*$F22)),"na")))</f>
        <v>27.383985972438225</v>
      </c>
    </row>
    <row r="23" spans="2:37">
      <c r="B23" t="str">
        <f>tblIndicators!A18</f>
        <v>INVT01</v>
      </c>
      <c r="C23" t="str">
        <f>tblIndicators!B18</f>
        <v>INVT</v>
      </c>
      <c r="D23" t="str">
        <f>tblIndicators!D18</f>
        <v>XX</v>
      </c>
      <c r="E23">
        <f>tblIndicators!E18</f>
        <v>0</v>
      </c>
      <c r="F23">
        <f>tblIndicators!F18</f>
        <v>1</v>
      </c>
      <c r="G23">
        <f>tblIndicators!G18</f>
        <v>0</v>
      </c>
      <c r="H23">
        <f>MIN(Data2009!D20:V20)</f>
        <v>12.252525079230292</v>
      </c>
      <c r="I23">
        <f>MAX(Data2009!D20:V20)</f>
        <v>73.944616053998573</v>
      </c>
      <c r="J23" s="22">
        <f t="shared" si="0"/>
        <v>61.692090974768277</v>
      </c>
      <c r="K23">
        <f>MATCH(B23,Weights!C$4:C$36,0)</f>
        <v>24</v>
      </c>
      <c r="L23">
        <f>tblIndicators!S18</f>
        <v>1</v>
      </c>
      <c r="M23" s="178">
        <f>L23*INDEX(Weights!G$4:G$36,K23)</f>
        <v>1</v>
      </c>
      <c r="N23" s="36">
        <f t="shared" si="1"/>
        <v>0.5</v>
      </c>
      <c r="P23" t="str">
        <f>tblIndicators!Q18</f>
        <v xml:space="preserve">   Political distortion</v>
      </c>
      <c r="Q23" s="103">
        <f t="shared" si="2"/>
        <v>0.5</v>
      </c>
      <c r="S23" s="38">
        <f>IF($D23="WS",SUMPRODUCT(($C24:$C$33=$B23)*($Q24:$Q$33)*(S24:S$33)),IF($D23="MM",100*ABS(($G23-(Data2009!D20-$H23)/$J23)),IF($D23="XX",ABS((100*$G23)-((Data2009!D20-$E23)*$F23)),"na")))</f>
        <v>35.301009490404851</v>
      </c>
      <c r="T23" s="38">
        <f>IF($D23="WS",SUMPRODUCT(($C24:$C$33=$B23)*($Q24:$Q$33)*(T24:T$33)),IF($D23="MM",100*ABS(($G23-(Data2009!E20-$H23)/$J23)),IF($D23="XX",ABS((100*$G23)-((Data2009!E20-$E23)*$F23)),"na")))</f>
        <v>41.897202495915479</v>
      </c>
      <c r="U23" s="38">
        <f>IF($D23="WS",SUMPRODUCT(($C24:$C$33=$B23)*($Q24:$Q$33)*(U24:U$33)),IF($D23="MM",100*ABS(($G23-(Data2009!F20-$H23)/$J23)),IF($D23="XX",ABS((100*$G23)-((Data2009!F20-$E23)*$F23)),"na")))</f>
        <v>73.944616053998573</v>
      </c>
      <c r="V23" s="38">
        <f>IF($D23="WS",SUMPRODUCT(($C24:$C$33=$B23)*($Q24:$Q$33)*(V24:V$33)),IF($D23="MM",100*ABS(($G23-(Data2009!G20-$H23)/$J23)),IF($D23="XX",ABS((100*$G23)-((Data2009!G20-$E23)*$F23)),"na")))</f>
        <v>34.444584446000015</v>
      </c>
      <c r="W23" s="38">
        <f>IF($D23="WS",SUMPRODUCT(($C24:$C$33=$B23)*($Q24:$Q$33)*(W24:W$33)),IF($D23="MM",100*ABS(($G23-(Data2009!H20-$H23)/$J23)),IF($D23="XX",ABS((100*$G23)-((Data2009!H20-$E23)*$F23)),"na")))</f>
        <v>54.487153315921553</v>
      </c>
      <c r="X23" s="38">
        <f>IF($D23="WS",SUMPRODUCT(($C24:$C$33=$B23)*($Q24:$Q$33)*(X24:X$33)),IF($D23="MM",100*ABS(($G23-(Data2009!I20-$H23)/$J23)),IF($D23="XX",ABS((100*$G23)-((Data2009!I20-$E23)*$F23)),"na")))</f>
        <v>24.729844425408608</v>
      </c>
      <c r="Y23" s="38">
        <f>IF($D23="WS",SUMPRODUCT(($C24:$C$33=$B23)*($Q24:$Q$33)*(Y24:Y$33)),IF($D23="MM",100*ABS(($G23-(Data2009!J20-$H23)/$J23)),IF($D23="XX",ABS((100*$G23)-((Data2009!J20-$E23)*$F23)),"na")))</f>
        <v>12.252525079230292</v>
      </c>
      <c r="Z23" s="38">
        <f>IF($D23="WS",SUMPRODUCT(($C24:$C$33=$B23)*($Q24:$Q$33)*(Z24:Z$33)),IF($D23="MM",100*ABS(($G23-(Data2009!K20-$H23)/$J23)),IF($D23="XX",ABS((100*$G23)-((Data2009!K20-$E23)*$F23)),"na")))</f>
        <v>42.08253569653651</v>
      </c>
      <c r="AA23" s="38">
        <f>IF($D23="WS",SUMPRODUCT(($C24:$C$33=$B23)*($Q24:$Q$33)*(AA24:AA$33)),IF($D23="MM",100*ABS(($G23-(Data2009!L20-$H23)/$J23)),IF($D23="XX",ABS((100*$G23)-((Data2009!L20-$E23)*$F23)),"na")))</f>
        <v>21.892085012720777</v>
      </c>
      <c r="AB23" s="38">
        <f>IF($D23="WS",SUMPRODUCT(($C24:$C$33=$B23)*($Q24:$Q$33)*(AB24:AB$33)),IF($D23="MM",100*ABS(($G23-(Data2009!M20-$H23)/$J23)),IF($D23="XX",ABS((100*$G23)-((Data2009!M20-$E23)*$F23)),"na")))</f>
        <v>16.300960598541245</v>
      </c>
      <c r="AC23" s="38">
        <f>IF($D23="WS",SUMPRODUCT(($C24:$C$33=$B23)*($Q24:$Q$33)*(AC24:AC$33)),IF($D23="MM",100*ABS(($G23-(Data2009!N20-$H23)/$J23)),IF($D23="XX",ABS((100*$G23)-((Data2009!N20-$E23)*$F23)),"na")))</f>
        <v>39.834574188822558</v>
      </c>
      <c r="AD23" s="38">
        <f>IF($D23="WS",SUMPRODUCT(($C24:$C$33=$B23)*($Q24:$Q$33)*(AD24:AD$33)),IF($D23="MM",100*ABS(($G23-(Data2009!O20-$H23)/$J23)),IF($D23="XX",ABS((100*$G23)-((Data2009!O20-$E23)*$F23)),"na")))</f>
        <v>40.712987885642164</v>
      </c>
      <c r="AE23" s="38">
        <f>IF($D23="WS",SUMPRODUCT(($C24:$C$33=$B23)*($Q24:$Q$33)*(AE24:AE$33)),IF($D23="MM",100*ABS(($G23-(Data2009!P20-$H23)/$J23)),IF($D23="XX",ABS((100*$G23)-((Data2009!P20-$E23)*$F23)),"na")))</f>
        <v>21.848606283801153</v>
      </c>
      <c r="AF23" s="38">
        <f>IF($D23="WS",SUMPRODUCT(($C24:$C$33=$B23)*($Q24:$Q$33)*(AF24:AF$33)),IF($D23="MM",100*ABS(($G23-(Data2009!Q20-$H23)/$J23)),IF($D23="XX",ABS((100*$G23)-((Data2009!Q20-$E23)*$F23)),"na")))</f>
        <v>37.528681877845983</v>
      </c>
      <c r="AG23" s="38">
        <f>IF($D23="WS",SUMPRODUCT(($C24:$C$33=$B23)*($Q24:$Q$33)*(AG24:AG$33)),IF($D23="MM",100*ABS(($G23-(Data2009!R20-$H23)/$J23)),IF($D23="XX",ABS((100*$G23)-((Data2009!R20-$E23)*$F23)),"na")))</f>
        <v>25.871628037437148</v>
      </c>
      <c r="AH23" s="38">
        <f>IF($D23="WS",SUMPRODUCT(($C24:$C$33=$B23)*($Q24:$Q$33)*(AH24:AH$33)),IF($D23="MM",100*ABS(($G23-(Data2009!S20-$H23)/$J23)),IF($D23="XX",ABS((100*$G23)-((Data2009!S20-$E23)*$F23)),"na")))</f>
        <v>32.015492737199175</v>
      </c>
      <c r="AI23" s="38">
        <f>IF($D23="WS",SUMPRODUCT(($C24:$C$33=$B23)*($Q24:$Q$33)*(AI24:AI$33)),IF($D23="MM",100*ABS(($G23-(Data2009!T20-$H23)/$J23)),IF($D23="XX",ABS((100*$G23)-((Data2009!T20-$E23)*$F23)),"na")))</f>
        <v>39.288550849935135</v>
      </c>
      <c r="AJ23" s="38">
        <f>IF($D23="WS",SUMPRODUCT(($C24:$C$33=$B23)*($Q24:$Q$33)*(AJ24:AJ$33)),IF($D23="MM",100*ABS(($G23-(Data2009!U20-$H23)/$J23)),IF($D23="XX",ABS((100*$G23)-((Data2009!U20-$E23)*$F23)),"na")))</f>
        <v>54.755211307958795</v>
      </c>
      <c r="AK23" s="38">
        <f>IF($D23="WS",SUMPRODUCT(($C24:$C$33=$B23)*($Q24:$Q$33)*(AK24:AK$33)),IF($D23="MM",100*ABS(($G23-(Data2009!V20-$H23)/$J23)),IF($D23="XX",ABS((100*$G23)-((Data2009!V20-$E23)*$F23)),"na")))</f>
        <v>13.745995807127882</v>
      </c>
    </row>
    <row r="24" spans="2:37">
      <c r="B24" t="str">
        <f>tblIndicators!A19</f>
        <v>INVT02</v>
      </c>
      <c r="C24" t="str">
        <f>tblIndicators!B19</f>
        <v>INVT</v>
      </c>
      <c r="D24" t="str">
        <f>tblIndicators!D19</f>
        <v>XX</v>
      </c>
      <c r="E24">
        <f>tblIndicators!E19</f>
        <v>0</v>
      </c>
      <c r="F24">
        <f>tblIndicators!F19</f>
        <v>1</v>
      </c>
      <c r="G24">
        <f>tblIndicators!G19</f>
        <v>0</v>
      </c>
      <c r="H24">
        <f>MIN(Data2009!D21:V21)</f>
        <v>35.61868593095673</v>
      </c>
      <c r="I24">
        <f>MAX(Data2009!D21:V21)</f>
        <v>68.707589292777584</v>
      </c>
      <c r="J24" s="22">
        <f t="shared" si="0"/>
        <v>33.088903361820854</v>
      </c>
      <c r="K24">
        <f>MATCH(B24,Weights!C$4:C$36,0)</f>
        <v>25</v>
      </c>
      <c r="L24">
        <f>tblIndicators!S19</f>
        <v>1</v>
      </c>
      <c r="M24" s="178">
        <f>L24*INDEX(Weights!G$4:G$36,K24)</f>
        <v>1</v>
      </c>
      <c r="N24" s="36">
        <f t="shared" si="1"/>
        <v>0.5</v>
      </c>
      <c r="P24" t="str">
        <f>tblIndicators!Q19</f>
        <v xml:space="preserve">   Business environment</v>
      </c>
      <c r="Q24" s="103">
        <f t="shared" si="2"/>
        <v>0.5</v>
      </c>
      <c r="S24" s="38">
        <f>IF($D24="WS",SUMPRODUCT(($C25:$C$33=$B24)*($Q25:$Q$33)*(S25:S$33)),IF($D24="MM",100*ABS(($G24-(Data2009!D21-$H24)/$J24)),IF($D24="XX",ABS((100*$G24)-((Data2009!D21-$E24)*$F24)),"na")))</f>
        <v>53.125638688798539</v>
      </c>
      <c r="T24" s="38">
        <f>IF($D24="WS",SUMPRODUCT(($C25:$C$33=$B24)*($Q25:$Q$33)*(T25:T$33)),IF($D24="MM",100*ABS(($G24-(Data2009!E21-$H24)/$J24)),IF($D24="XX",ABS((100*$G24)-((Data2009!E21-$E24)*$F24)),"na")))</f>
        <v>59.879816412486079</v>
      </c>
      <c r="U24" s="38">
        <f>IF($D24="WS",SUMPRODUCT(($C25:$C$33=$B24)*($Q25:$Q$33)*(U25:U$33)),IF($D24="MM",100*ABS(($G24-(Data2009!F21-$H24)/$J24)),IF($D24="XX",ABS((100*$G24)-((Data2009!F21-$E24)*$F24)),"na")))</f>
        <v>68.707589292777584</v>
      </c>
      <c r="V24" s="38">
        <f>IF($D24="WS",SUMPRODUCT(($C25:$C$33=$B24)*($Q25:$Q$33)*(V25:V$33)),IF($D24="MM",100*ABS(($G24-(Data2009!G21-$H24)/$J24)),IF($D24="XX",ABS((100*$G24)-((Data2009!G21-$E24)*$F24)),"na")))</f>
        <v>53.745149813385005</v>
      </c>
      <c r="W24" s="38">
        <f>IF($D24="WS",SUMPRODUCT(($C25:$C$33=$B24)*($Q25:$Q$33)*(W25:W$33)),IF($D24="MM",100*ABS(($G24-(Data2009!H21-$H24)/$J24)),IF($D24="XX",ABS((100*$G24)-((Data2009!H21-$E24)*$F24)),"na")))</f>
        <v>41.42744288535151</v>
      </c>
      <c r="X24" s="38">
        <f>IF($D24="WS",SUMPRODUCT(($C25:$C$33=$B24)*($Q25:$Q$33)*(X25:X$33)),IF($D24="MM",100*ABS(($G24-(Data2009!I21-$H24)/$J24)),IF($D24="XX",ABS((100*$G24)-((Data2009!I21-$E24)*$F24)),"na")))</f>
        <v>35.61868593095673</v>
      </c>
      <c r="Y24" s="38">
        <f>IF($D24="WS",SUMPRODUCT(($C25:$C$33=$B24)*($Q25:$Q$33)*(Y25:Y$33)),IF($D24="MM",100*ABS(($G24-(Data2009!J21-$H24)/$J24)),IF($D24="XX",ABS((100*$G24)-((Data2009!J21-$E24)*$F24)),"na")))</f>
        <v>55.07629548647521</v>
      </c>
      <c r="Z24" s="38">
        <f>IF($D24="WS",SUMPRODUCT(($C25:$C$33=$B24)*($Q25:$Q$33)*(Z25:Z$33)),IF($D24="MM",100*ABS(($G24-(Data2009!K21-$H24)/$J24)),IF($D24="XX",ABS((100*$G24)-((Data2009!K21-$E24)*$F24)),"na")))</f>
        <v>65.731717056299871</v>
      </c>
      <c r="AA24" s="38">
        <f>IF($D24="WS",SUMPRODUCT(($C25:$C$33=$B24)*($Q25:$Q$33)*(AA25:AA$33)),IF($D24="MM",100*ABS(($G24-(Data2009!L21-$H24)/$J24)),IF($D24="XX",ABS((100*$G24)-((Data2009!L21-$E24)*$F24)),"na")))</f>
        <v>46.345729562669646</v>
      </c>
      <c r="AB24" s="38">
        <f>IF($D24="WS",SUMPRODUCT(($C25:$C$33=$B24)*($Q25:$Q$33)*(AB25:AB$33)),IF($D24="MM",100*ABS(($G24-(Data2009!M21-$H24)/$J24)),IF($D24="XX",ABS((100*$G24)-((Data2009!M21-$E24)*$F24)),"na")))</f>
        <v>42.431393175162832</v>
      </c>
      <c r="AC24" s="38">
        <f>IF($D24="WS",SUMPRODUCT(($C25:$C$33=$B24)*($Q25:$Q$33)*(AC25:AC$33)),IF($D24="MM",100*ABS(($G24-(Data2009!N21-$H24)/$J24)),IF($D24="XX",ABS((100*$G24)-((Data2009!N21-$E24)*$F24)),"na")))</f>
        <v>38.460934936305151</v>
      </c>
      <c r="AD24" s="38">
        <f>IF($D24="WS",SUMPRODUCT(($C25:$C$33=$B24)*($Q25:$Q$33)*(AD25:AD$33)),IF($D24="MM",100*ABS(($G24-(Data2009!O21-$H24)/$J24)),IF($D24="XX",ABS((100*$G24)-((Data2009!O21-$E24)*$F24)),"na")))</f>
        <v>61.814425598440621</v>
      </c>
      <c r="AE24" s="38">
        <f>IF($D24="WS",SUMPRODUCT(($C25:$C$33=$B24)*($Q25:$Q$33)*(AE25:AE$33)),IF($D24="MM",100*ABS(($G24-(Data2009!P21-$H24)/$J24)),IF($D24="XX",ABS((100*$G24)-((Data2009!P21-$E24)*$F24)),"na")))</f>
        <v>41.945009833266759</v>
      </c>
      <c r="AF24" s="38">
        <f>IF($D24="WS",SUMPRODUCT(($C25:$C$33=$B24)*($Q25:$Q$33)*(AF25:AF$33)),IF($D24="MM",100*ABS(($G24-(Data2009!Q21-$H24)/$J24)),IF($D24="XX",ABS((100*$G24)-((Data2009!Q21-$E24)*$F24)),"na")))</f>
        <v>63.50579206788445</v>
      </c>
      <c r="AG24" s="38">
        <f>IF($D24="WS",SUMPRODUCT(($C25:$C$33=$B24)*($Q25:$Q$33)*(AG25:AG$33)),IF($D24="MM",100*ABS(($G24-(Data2009!R21-$H24)/$J24)),IF($D24="XX",ABS((100*$G24)-((Data2009!R21-$E24)*$F24)),"na")))</f>
        <v>40.748667244139696</v>
      </c>
      <c r="AH24" s="38">
        <f>IF($D24="WS",SUMPRODUCT(($C25:$C$33=$B24)*($Q25:$Q$33)*(AH25:AH$33)),IF($D24="MM",100*ABS(($G24-(Data2009!S21-$H24)/$J24)),IF($D24="XX",ABS((100*$G24)-((Data2009!S21-$E24)*$F24)),"na")))</f>
        <v>66.116085655095603</v>
      </c>
      <c r="AI24" s="38">
        <f>IF($D24="WS",SUMPRODUCT(($C25:$C$33=$B24)*($Q25:$Q$33)*(AI25:AI$33)),IF($D24="MM",100*ABS(($G24-(Data2009!T21-$H24)/$J24)),IF($D24="XX",ABS((100*$G24)-((Data2009!T21-$E24)*$F24)),"na")))</f>
        <v>61.579751096714993</v>
      </c>
      <c r="AJ24" s="38">
        <f>IF($D24="WS",SUMPRODUCT(($C25:$C$33=$B24)*($Q25:$Q$33)*(AJ25:AJ$33)),IF($D24="MM",100*ABS(($G24-(Data2009!U21-$H24)/$J24)),IF($D24="XX",ABS((100*$G24)-((Data2009!U21-$E24)*$F24)),"na")))</f>
        <v>50.263715881875513</v>
      </c>
      <c r="AK24" s="38">
        <f>IF($D24="WS",SUMPRODUCT(($C25:$C$33=$B24)*($Q25:$Q$33)*(AK25:AK$33)),IF($D24="MM",100*ABS(($G24-(Data2009!V21-$H24)/$J24)),IF($D24="XX",ABS((100*$G24)-((Data2009!V21-$E24)*$F24)),"na")))</f>
        <v>41.021976137748567</v>
      </c>
    </row>
    <row r="25" spans="2:37">
      <c r="B25" t="str">
        <f>tblIndicators!A20</f>
        <v>INVT03</v>
      </c>
      <c r="C25" t="str">
        <f>tblIndicators!B20</f>
        <v>INVT</v>
      </c>
      <c r="D25" s="40" t="s">
        <v>791</v>
      </c>
      <c r="E25" s="40">
        <v>0</v>
      </c>
      <c r="F25" s="40">
        <v>1</v>
      </c>
      <c r="G25" s="40">
        <v>1</v>
      </c>
      <c r="H25">
        <f>MIN(Data2009!D22:V22)</f>
        <v>0.18527777777777779</v>
      </c>
      <c r="I25">
        <f>MAX(Data2009!D22:V22)</f>
        <v>0.59385903698534548</v>
      </c>
      <c r="J25" s="22">
        <f t="shared" si="0"/>
        <v>0.40858125920756772</v>
      </c>
      <c r="K25">
        <f>MATCH(B25,Weights!C$4:C$36,0)</f>
        <v>26</v>
      </c>
      <c r="L25" s="178">
        <f>tblIndicators!S20</f>
        <v>0</v>
      </c>
      <c r="M25" s="178">
        <f>L25*INDEX(Weights!G$4:G$36,K25)</f>
        <v>0</v>
      </c>
      <c r="N25" s="36">
        <f t="shared" si="1"/>
        <v>0</v>
      </c>
      <c r="P25" s="173" t="s">
        <v>1049</v>
      </c>
      <c r="Q25" s="103">
        <f t="shared" si="2"/>
        <v>0</v>
      </c>
      <c r="S25" s="38">
        <f>IF($D25="WS",SUMPRODUCT(($C26:$C$33=$B25)*($Q26:$Q$33)*(S26:S$33)),IF($D25="MM",100*ABS(($G25-(Data2009!D22-$H25)/$J25)),IF($D25="XX",ABS((100*$G25)-((Data2009!D22-$E25)*$F25)),"na")))</f>
        <v>57.984693913859509</v>
      </c>
      <c r="T25" s="38">
        <f>IF($D25="WS",SUMPRODUCT(($C26:$C$33=$B25)*($Q26:$Q$33)*(T26:T$33)),IF($D25="MM",100*ABS(($G25-(Data2009!E22-$H25)/$J25)),IF($D25="XX",ABS((100*$G25)-((Data2009!E22-$E25)*$F25)),"na")))</f>
        <v>93.713447008915551</v>
      </c>
      <c r="U25" s="38">
        <f>IF($D25="WS",SUMPRODUCT(($C26:$C$33=$B25)*($Q26:$Q$33)*(U26:U$33)),IF($D25="MM",100*ABS(($G25-(Data2009!F22-$H25)/$J25)),IF($D25="XX",ABS((100*$G25)-((Data2009!F22-$E25)*$F25)),"na")))</f>
        <v>86.062883903464723</v>
      </c>
      <c r="V25" s="38">
        <f>IF($D25="WS",SUMPRODUCT(($C26:$C$33=$B25)*($Q26:$Q$33)*(V26:V$33)),IF($D25="MM",100*ABS(($G25-(Data2009!G22-$H25)/$J25)),IF($D25="XX",ABS((100*$G25)-((Data2009!G22-$E25)*$F25)),"na")))</f>
        <v>71.758643773167051</v>
      </c>
      <c r="W25" s="38">
        <f>IF($D25="WS",SUMPRODUCT(($C26:$C$33=$B25)*($Q26:$Q$33)*(W26:W$33)),IF($D25="MM",100*ABS(($G25-(Data2009!H22-$H25)/$J25)),IF($D25="XX",ABS((100*$G25)-((Data2009!H22-$E25)*$F25)),"na")))</f>
        <v>79.672206278711968</v>
      </c>
      <c r="X25" s="38">
        <f>IF($D25="WS",SUMPRODUCT(($C26:$C$33=$B25)*($Q26:$Q$33)*(X26:X$33)),IF($D25="MM",100*ABS(($G25-(Data2009!I22-$H25)/$J25)),IF($D25="XX",ABS((100*$G25)-((Data2009!I22-$E25)*$F25)),"na")))</f>
        <v>61.397587709206192</v>
      </c>
      <c r="Y25" s="38">
        <f>IF($D25="WS",SUMPRODUCT(($C26:$C$33=$B25)*($Q26:$Q$33)*(Y26:Y$33)),IF($D25="MM",100*ABS(($G25-(Data2009!J22-$H25)/$J25)),IF($D25="XX",ABS((100*$G25)-((Data2009!J22-$E25)*$F25)),"na")))</f>
        <v>47.310902561878834</v>
      </c>
      <c r="Z25" s="38">
        <f>IF($D25="WS",SUMPRODUCT(($C26:$C$33=$B25)*($Q26:$Q$33)*(Z26:Z$33)),IF($D25="MM",100*ABS(($G25-(Data2009!K22-$H25)/$J25)),IF($D25="XX",ABS((100*$G25)-((Data2009!K22-$E25)*$F25)),"na")))</f>
        <v>47.038958833165943</v>
      </c>
      <c r="AA25" s="38">
        <f>IF($D25="WS",SUMPRODUCT(($C26:$C$33=$B25)*($Q26:$Q$33)*(AA26:AA$33)),IF($D25="MM",100*ABS(($G25-(Data2009!L22-$H25)/$J25)),IF($D25="XX",ABS((100*$G25)-((Data2009!L22-$E25)*$F25)),"na")))</f>
        <v>42.715053546631097</v>
      </c>
      <c r="AB25" s="38">
        <f>IF($D25="WS",SUMPRODUCT(($C26:$C$33=$B25)*($Q26:$Q$33)*(AB26:AB$33)),IF($D25="MM",100*ABS(($G25-(Data2009!M22-$H25)/$J25)),IF($D25="XX",ABS((100*$G25)-((Data2009!M22-$E25)*$F25)),"na")))</f>
        <v>65.966242351582636</v>
      </c>
      <c r="AC25" s="38">
        <f>IF($D25="WS",SUMPRODUCT(($C26:$C$33=$B25)*($Q26:$Q$33)*(AC26:AC$33)),IF($D25="MM",100*ABS(($G25-(Data2009!N22-$H25)/$J25)),IF($D25="XX",ABS((100*$G25)-((Data2009!N22-$E25)*$F25)),"na")))</f>
        <v>0</v>
      </c>
      <c r="AD25" s="38">
        <f>IF($D25="WS",SUMPRODUCT(($C26:$C$33=$B25)*($Q26:$Q$33)*(AD26:AD$33)),IF($D25="MM",100*ABS(($G25-(Data2009!O22-$H25)/$J25)),IF($D25="XX",ABS((100*$G25)-((Data2009!O22-$E25)*$F25)),"na")))</f>
        <v>67.63869628316688</v>
      </c>
      <c r="AE25" s="38">
        <f>IF($D25="WS",SUMPRODUCT(($C26:$C$33=$B25)*($Q26:$Q$33)*(AE26:AE$33)),IF($D25="MM",100*ABS(($G25-(Data2009!P22-$H25)/$J25)),IF($D25="XX",ABS((100*$G25)-((Data2009!P22-$E25)*$F25)),"na")))</f>
        <v>90.033262342672828</v>
      </c>
      <c r="AF25" s="38">
        <f>IF($D25="WS",SUMPRODUCT(($C26:$C$33=$B25)*($Q26:$Q$33)*(AF26:AF$33)),IF($D25="MM",100*ABS(($G25-(Data2009!Q22-$H25)/$J25)),IF($D25="XX",ABS((100*$G25)-((Data2009!Q22-$E25)*$F25)),"na")))</f>
        <v>63.035077447098772</v>
      </c>
      <c r="AG25" s="38">
        <f>IF($D25="WS",SUMPRODUCT(($C26:$C$33=$B25)*($Q26:$Q$33)*(AG26:AG$33)),IF($D25="MM",100*ABS(($G25-(Data2009!R22-$H25)/$J25)),IF($D25="XX",ABS((100*$G25)-((Data2009!R22-$E25)*$F25)),"na")))</f>
        <v>100</v>
      </c>
      <c r="AH25" s="38">
        <f>IF($D25="WS",SUMPRODUCT(($C26:$C$33=$B25)*($Q26:$Q$33)*(AH26:AH$33)),IF($D25="MM",100*ABS(($G25-(Data2009!S22-$H25)/$J25)),IF($D25="XX",ABS((100*$G25)-((Data2009!S22-$E25)*$F25)),"na")))</f>
        <v>77.972557974256446</v>
      </c>
      <c r="AI25" s="38">
        <f>IF($D25="WS",SUMPRODUCT(($C26:$C$33=$B25)*($Q26:$Q$33)*(AI26:AI$33)),IF($D25="MM",100*ABS(($G25-(Data2009!T22-$H25)/$J25)),IF($D25="XX",ABS((100*$G25)-((Data2009!T22-$E25)*$F25)),"na")))</f>
        <v>67.385353288699363</v>
      </c>
      <c r="AJ25" s="38">
        <f>IF($D25="WS",SUMPRODUCT(($C26:$C$33=$B25)*($Q26:$Q$33)*(AJ26:AJ$33)),IF($D25="MM",100*ABS(($G25-(Data2009!U22-$H25)/$J25)),IF($D25="XX",ABS((100*$G25)-((Data2009!U22-$E25)*$F25)),"na")))</f>
        <v>95.852858137128521</v>
      </c>
      <c r="AK25" s="38">
        <f>IF($D25="WS",SUMPRODUCT(($C26:$C$33=$B25)*($Q26:$Q$33)*(AK26:AK$33)),IF($D25="MM",100*ABS(($G25-(Data2009!V22-$H25)/$J25)),IF($D25="XX",ABS((100*$G25)-((Data2009!V22-$E25)*$F25)),"na")))</f>
        <v>64.783287131681604</v>
      </c>
    </row>
    <row r="26" spans="2:37" s="95" customFormat="1">
      <c r="B26" s="95" t="str">
        <f>tblIndicators!A21</f>
        <v>FINC</v>
      </c>
      <c r="C26" s="95" t="str">
        <f>tblIndicators!B21</f>
        <v>TOTL</v>
      </c>
      <c r="D26" s="95" t="str">
        <f>tblIndicators!D21</f>
        <v>WS</v>
      </c>
      <c r="E26" s="95">
        <f>tblIndicators!E21</f>
        <v>0</v>
      </c>
      <c r="F26" s="95">
        <f>tblIndicators!F21</f>
        <v>0</v>
      </c>
      <c r="G26" s="95">
        <f>tblIndicators!G21</f>
        <v>0</v>
      </c>
      <c r="H26" s="95">
        <f>MIN(Data2009!D23:V23)</f>
        <v>0</v>
      </c>
      <c r="I26" s="95">
        <f>MAX(Data2009!D23:V23)</f>
        <v>0</v>
      </c>
      <c r="J26" s="96">
        <f t="shared" si="0"/>
        <v>0</v>
      </c>
      <c r="K26" s="95">
        <f>MATCH(B26,Weights!C$4:C$36,0)</f>
        <v>5</v>
      </c>
      <c r="L26" s="95">
        <f>tblIndicators!S21</f>
        <v>1</v>
      </c>
      <c r="M26" s="178">
        <f>L26*INDEX(Weights!G$4:G$36,K26)</f>
        <v>0.9</v>
      </c>
      <c r="N26" s="98">
        <f t="shared" si="1"/>
        <v>0.16666666666666666</v>
      </c>
      <c r="P26" s="95" t="str">
        <f>tblIndicators!Q21</f>
        <v>FINANCIAL FACILITIES</v>
      </c>
      <c r="Q26" s="102">
        <f t="shared" si="2"/>
        <v>0.16666666666666666</v>
      </c>
      <c r="S26" s="97">
        <f>IF($D26="WS",SUMPRODUCT(($C27:$C$33=$B26)*($Q27:$Q$33)*(S27:S$33)),IF($D26="MM",100*ABS(($G26-(Data2009!D23-$H26)/$J26)),IF($D26="XX",ABS((100*$G26)-((Data2009!D23-$E26)*$F26)),"na")))</f>
        <v>27.777777777777775</v>
      </c>
      <c r="T26" s="97">
        <f>IF($D26="WS",SUMPRODUCT(($C27:$C$33=$B26)*($Q27:$Q$33)*(T27:T$33)),IF($D26="MM",100*ABS(($G26-(Data2009!E23-$H26)/$J26)),IF($D26="XX",ABS((100*$G26)-((Data2009!E23-$E26)*$F26)),"na")))</f>
        <v>63.888888888888879</v>
      </c>
      <c r="U26" s="97">
        <f>IF($D26="WS",SUMPRODUCT(($C27:$C$33=$B26)*($Q27:$Q$33)*(U27:U$33)),IF($D26="MM",100*ABS(($G26-(Data2009!F23-$H26)/$J26)),IF($D26="XX",ABS((100*$G26)-((Data2009!F23-$E26)*$F26)),"na")))</f>
        <v>97.222222222222214</v>
      </c>
      <c r="V26" s="97">
        <f>IF($D26="WS",SUMPRODUCT(($C27:$C$33=$B26)*($Q27:$Q$33)*(V27:V$33)),IF($D26="MM",100*ABS(($G26-(Data2009!G23-$H26)/$J26)),IF($D26="XX",ABS((100*$G26)-((Data2009!G23-$E26)*$F26)),"na")))</f>
        <v>55.55555555555555</v>
      </c>
      <c r="W26" s="97">
        <f>IF($D26="WS",SUMPRODUCT(($C27:$C$33=$B26)*($Q27:$Q$33)*(W27:W$33)),IF($D26="MM",100*ABS(($G26-(Data2009!H23-$H26)/$J26)),IF($D26="XX",ABS((100*$G26)-((Data2009!H23-$E26)*$F26)),"na")))</f>
        <v>41.666666666666664</v>
      </c>
      <c r="X26" s="97">
        <f>IF($D26="WS",SUMPRODUCT(($C27:$C$33=$B26)*($Q27:$Q$33)*(X27:X$33)),IF($D26="MM",100*ABS(($G26-(Data2009!I23-$H26)/$J26)),IF($D26="XX",ABS((100*$G26)-((Data2009!I23-$E26)*$F26)),"na")))</f>
        <v>22.222222222222221</v>
      </c>
      <c r="Y26" s="97">
        <f>IF($D26="WS",SUMPRODUCT(($C27:$C$33=$B26)*($Q27:$Q$33)*(Y27:Y$33)),IF($D26="MM",100*ABS(($G26-(Data2009!J23-$H26)/$J26)),IF($D26="XX",ABS((100*$G26)-((Data2009!J23-$E26)*$F26)),"na")))</f>
        <v>19.444444444444443</v>
      </c>
      <c r="Z26" s="97">
        <f>IF($D26="WS",SUMPRODUCT(($C27:$C$33=$B26)*($Q27:$Q$33)*(Z27:Z$33)),IF($D26="MM",100*ABS(($G26-(Data2009!K23-$H26)/$J26)),IF($D26="XX",ABS((100*$G26)-((Data2009!K23-$E26)*$F26)),"na")))</f>
        <v>47.222222222222221</v>
      </c>
      <c r="AA26" s="97">
        <f>IF($D26="WS",SUMPRODUCT(($C27:$C$33=$B26)*($Q27:$Q$33)*(AA27:AA$33)),IF($D26="MM",100*ABS(($G26-(Data2009!L23-$H26)/$J26)),IF($D26="XX",ABS((100*$G26)-((Data2009!L23-$E26)*$F26)),"na")))</f>
        <v>22.222222222222221</v>
      </c>
      <c r="AB26" s="97">
        <f>IF($D26="WS",SUMPRODUCT(($C27:$C$33=$B26)*($Q27:$Q$33)*(AB27:AB$33)),IF($D26="MM",100*ABS(($G26-(Data2009!M23-$H26)/$J26)),IF($D26="XX",ABS((100*$G26)-((Data2009!M23-$E26)*$F26)),"na")))</f>
        <v>8.3333333333333321</v>
      </c>
      <c r="AC26" s="97">
        <f>IF($D26="WS",SUMPRODUCT(($C27:$C$33=$B26)*($Q27:$Q$33)*(AC27:AC$33)),IF($D26="MM",100*ABS(($G26-(Data2009!N23-$H26)/$J26)),IF($D26="XX",ABS((100*$G26)-((Data2009!N23-$E26)*$F26)),"na")))</f>
        <v>13.888888888888889</v>
      </c>
      <c r="AD26" s="97">
        <f>IF($D26="WS",SUMPRODUCT(($C27:$C$33=$B26)*($Q27:$Q$33)*(AD27:AD$33)),IF($D26="MM",100*ABS(($G26-(Data2009!O23-$H26)/$J26)),IF($D26="XX",ABS((100*$G26)-((Data2009!O23-$E26)*$F26)),"na")))</f>
        <v>69.444444444444429</v>
      </c>
      <c r="AE26" s="97">
        <f>IF($D26="WS",SUMPRODUCT(($C27:$C$33=$B26)*($Q27:$Q$33)*(AE27:AE$33)),IF($D26="MM",100*ABS(($G26-(Data2009!P23-$H26)/$J26)),IF($D26="XX",ABS((100*$G26)-((Data2009!P23-$E26)*$F26)),"na")))</f>
        <v>5.5555555555555554</v>
      </c>
      <c r="AF26" s="97">
        <f>IF($D26="WS",SUMPRODUCT(($C27:$C$33=$B26)*($Q27:$Q$33)*(AF27:AF$33)),IF($D26="MM",100*ABS(($G26-(Data2009!Q23-$H26)/$J26)),IF($D26="XX",ABS((100*$G26)-((Data2009!Q23-$E26)*$F26)),"na")))</f>
        <v>63.888888888888886</v>
      </c>
      <c r="AG26" s="97">
        <f>IF($D26="WS",SUMPRODUCT(($C27:$C$33=$B26)*($Q27:$Q$33)*(AG27:AG$33)),IF($D26="MM",100*ABS(($G26-(Data2009!R23-$H26)/$J26)),IF($D26="XX",ABS((100*$G26)-((Data2009!R23-$E26)*$F26)),"na")))</f>
        <v>25</v>
      </c>
      <c r="AH26" s="97">
        <f>IF($D26="WS",SUMPRODUCT(($C27:$C$33=$B26)*($Q27:$Q$33)*(AH27:AH$33)),IF($D26="MM",100*ABS(($G26-(Data2009!S23-$H26)/$J26)),IF($D26="XX",ABS((100*$G26)-((Data2009!S23-$E26)*$F26)),"na")))</f>
        <v>58.333333333333329</v>
      </c>
      <c r="AI26" s="97">
        <f>IF($D26="WS",SUMPRODUCT(($C27:$C$33=$B26)*($Q27:$Q$33)*(AI27:AI$33)),IF($D26="MM",100*ABS(($G26-(Data2009!T23-$H26)/$J26)),IF($D26="XX",ABS((100*$G26)-((Data2009!T23-$E26)*$F26)),"na")))</f>
        <v>58.333333333333329</v>
      </c>
      <c r="AJ26" s="97">
        <f>IF($D26="WS",SUMPRODUCT(($C27:$C$33=$B26)*($Q27:$Q$33)*(AJ27:AJ$33)),IF($D26="MM",100*ABS(($G26-(Data2009!U23-$H26)/$J26)),IF($D26="XX",ABS((100*$G26)-((Data2009!U23-$E26)*$F26)),"na")))</f>
        <v>25</v>
      </c>
      <c r="AK26" s="97">
        <f>IF($D26="WS",SUMPRODUCT(($C27:$C$33=$B26)*($Q27:$Q$33)*(AK27:AK$33)),IF($D26="MM",100*ABS(($G26-(Data2009!V23-$H26)/$J26)),IF($D26="XX",ABS((100*$G26)-((Data2009!V23-$E26)*$F26)),"na")))</f>
        <v>22.222222222222221</v>
      </c>
    </row>
    <row r="27" spans="2:37">
      <c r="B27" t="str">
        <f>tblIndicators!A22</f>
        <v>FINC01</v>
      </c>
      <c r="C27" t="str">
        <f>tblIndicators!B22</f>
        <v>FINC</v>
      </c>
      <c r="D27" t="str">
        <f>tblIndicators!D22</f>
        <v>XX</v>
      </c>
      <c r="E27">
        <f>tblIndicators!E22</f>
        <v>0</v>
      </c>
      <c r="F27">
        <f>tblIndicators!F22</f>
        <v>25</v>
      </c>
      <c r="G27">
        <f>tblIndicators!G22</f>
        <v>0</v>
      </c>
      <c r="H27">
        <f>MIN(Data2009!D24:V24)</f>
        <v>0</v>
      </c>
      <c r="I27">
        <f>MAX(Data2009!D24:V24)</f>
        <v>4</v>
      </c>
      <c r="J27" s="22">
        <f t="shared" si="0"/>
        <v>4</v>
      </c>
      <c r="K27">
        <f>MATCH(B27,Weights!C$4:C$36,0)</f>
        <v>28</v>
      </c>
      <c r="L27">
        <f>tblIndicators!S22</f>
        <v>1</v>
      </c>
      <c r="M27" s="178">
        <f>L27*INDEX(Weights!G$4:G$36,K27)</f>
        <v>1</v>
      </c>
      <c r="N27" s="36">
        <f t="shared" si="1"/>
        <v>0.22222222222222221</v>
      </c>
      <c r="P27" t="str">
        <f>tblIndicators!Q22</f>
        <v xml:space="preserve">   Government payment risk</v>
      </c>
      <c r="Q27" s="103">
        <f t="shared" si="2"/>
        <v>0.22222222222222221</v>
      </c>
      <c r="S27" s="38">
        <f>IF($D27="WS",SUMPRODUCT(($C28:$C$33=$B27)*($Q28:$Q$33)*(S28:S$33)),IF($D27="MM",100*ABS(($G27-(Data2009!D24-$H27)/$J27)),IF($D27="XX",ABS((100*$G27)-((Data2009!D24-$E27)*$F27)),"na")))</f>
        <v>0</v>
      </c>
      <c r="T27" s="38">
        <f>IF($D27="WS",SUMPRODUCT(($C28:$C$33=$B27)*($Q28:$Q$33)*(T28:T$33)),IF($D27="MM",100*ABS(($G27-(Data2009!E24-$H27)/$J27)),IF($D27="XX",ABS((100*$G27)-((Data2009!E24-$E27)*$F27)),"na")))</f>
        <v>75</v>
      </c>
      <c r="U27" s="38">
        <f>IF($D27="WS",SUMPRODUCT(($C28:$C$33=$B27)*($Q28:$Q$33)*(U28:U$33)),IF($D27="MM",100*ABS(($G27-(Data2009!F24-$H27)/$J27)),IF($D27="XX",ABS((100*$G27)-((Data2009!F24-$E27)*$F27)),"na")))</f>
        <v>100</v>
      </c>
      <c r="V27" s="38">
        <f>IF($D27="WS",SUMPRODUCT(($C28:$C$33=$B27)*($Q28:$Q$33)*(V28:V$33)),IF($D27="MM",100*ABS(($G27-(Data2009!G24-$H27)/$J27)),IF($D27="XX",ABS((100*$G27)-((Data2009!G24-$E27)*$F27)),"na")))</f>
        <v>50</v>
      </c>
      <c r="W27" s="38">
        <f>IF($D27="WS",SUMPRODUCT(($C28:$C$33=$B27)*($Q28:$Q$33)*(W28:W$33)),IF($D27="MM",100*ABS(($G27-(Data2009!H24-$H27)/$J27)),IF($D27="XX",ABS((100*$G27)-((Data2009!H24-$E27)*$F27)),"na")))</f>
        <v>50</v>
      </c>
      <c r="X27" s="38">
        <f>IF($D27="WS",SUMPRODUCT(($C28:$C$33=$B27)*($Q28:$Q$33)*(X28:X$33)),IF($D27="MM",100*ABS(($G27-(Data2009!I24-$H27)/$J27)),IF($D27="XX",ABS((100*$G27)-((Data2009!I24-$E27)*$F27)),"na")))</f>
        <v>25</v>
      </c>
      <c r="Y27" s="38">
        <f>IF($D27="WS",SUMPRODUCT(($C28:$C$33=$B27)*($Q28:$Q$33)*(Y28:Y$33)),IF($D27="MM",100*ABS(($G27-(Data2009!J24-$H27)/$J27)),IF($D27="XX",ABS((100*$G27)-((Data2009!J24-$E27)*$F27)),"na")))</f>
        <v>0</v>
      </c>
      <c r="Z27" s="38">
        <f>IF($D27="WS",SUMPRODUCT(($C28:$C$33=$B27)*($Q28:$Q$33)*(Z28:Z$33)),IF($D27="MM",100*ABS(($G27-(Data2009!K24-$H27)/$J27)),IF($D27="XX",ABS((100*$G27)-((Data2009!K24-$E27)*$F27)),"na")))</f>
        <v>50</v>
      </c>
      <c r="AA27" s="38">
        <f>IF($D27="WS",SUMPRODUCT(($C28:$C$33=$B27)*($Q28:$Q$33)*(AA28:AA$33)),IF($D27="MM",100*ABS(($G27-(Data2009!L24-$H27)/$J27)),IF($D27="XX",ABS((100*$G27)-((Data2009!L24-$E27)*$F27)),"na")))</f>
        <v>50</v>
      </c>
      <c r="AB27" s="38">
        <f>IF($D27="WS",SUMPRODUCT(($C28:$C$33=$B27)*($Q28:$Q$33)*(AB28:AB$33)),IF($D27="MM",100*ABS(($G27-(Data2009!M24-$H27)/$J27)),IF($D27="XX",ABS((100*$G27)-((Data2009!M24-$E27)*$F27)),"na")))</f>
        <v>0</v>
      </c>
      <c r="AC27" s="38">
        <f>IF($D27="WS",SUMPRODUCT(($C28:$C$33=$B27)*($Q28:$Q$33)*(AC28:AC$33)),IF($D27="MM",100*ABS(($G27-(Data2009!N24-$H27)/$J27)),IF($D27="XX",ABS((100*$G27)-((Data2009!N24-$E27)*$F27)),"na")))</f>
        <v>0</v>
      </c>
      <c r="AD27" s="38">
        <f>IF($D27="WS",SUMPRODUCT(($C28:$C$33=$B27)*($Q28:$Q$33)*(AD28:AD$33)),IF($D27="MM",100*ABS(($G27-(Data2009!O24-$H27)/$J27)),IF($D27="XX",ABS((100*$G27)-((Data2009!O24-$E27)*$F27)),"na")))</f>
        <v>75</v>
      </c>
      <c r="AE27" s="38">
        <f>IF($D27="WS",SUMPRODUCT(($C28:$C$33=$B27)*($Q28:$Q$33)*(AE28:AE$33)),IF($D27="MM",100*ABS(($G27-(Data2009!P24-$H27)/$J27)),IF($D27="XX",ABS((100*$G27)-((Data2009!P24-$E27)*$F27)),"na")))</f>
        <v>0</v>
      </c>
      <c r="AF27" s="38">
        <f>IF($D27="WS",SUMPRODUCT(($C28:$C$33=$B27)*($Q28:$Q$33)*(AF28:AF$33)),IF($D27="MM",100*ABS(($G27-(Data2009!Q24-$H27)/$J27)),IF($D27="XX",ABS((100*$G27)-((Data2009!Q24-$E27)*$F27)),"na")))</f>
        <v>75</v>
      </c>
      <c r="AG27" s="38">
        <f>IF($D27="WS",SUMPRODUCT(($C28:$C$33=$B27)*($Q28:$Q$33)*(AG28:AG$33)),IF($D27="MM",100*ABS(($G27-(Data2009!R24-$H27)/$J27)),IF($D27="XX",ABS((100*$G27)-((Data2009!R24-$E27)*$F27)),"na")))</f>
        <v>25</v>
      </c>
      <c r="AH27" s="38">
        <f>IF($D27="WS",SUMPRODUCT(($C28:$C$33=$B27)*($Q28:$Q$33)*(AH28:AH$33)),IF($D27="MM",100*ABS(($G27-(Data2009!S24-$H27)/$J27)),IF($D27="XX",ABS((100*$G27)-((Data2009!S24-$E27)*$F27)),"na")))</f>
        <v>75</v>
      </c>
      <c r="AI27" s="38">
        <f>IF($D27="WS",SUMPRODUCT(($C28:$C$33=$B27)*($Q28:$Q$33)*(AI28:AI$33)),IF($D27="MM",100*ABS(($G27-(Data2009!T24-$H27)/$J27)),IF($D27="XX",ABS((100*$G27)-((Data2009!T24-$E27)*$F27)),"na")))</f>
        <v>75</v>
      </c>
      <c r="AJ27" s="38">
        <f>IF($D27="WS",SUMPRODUCT(($C28:$C$33=$B27)*($Q28:$Q$33)*(AJ28:AJ$33)),IF($D27="MM",100*ABS(($G27-(Data2009!U24-$H27)/$J27)),IF($D27="XX",ABS((100*$G27)-((Data2009!U24-$E27)*$F27)),"na")))</f>
        <v>25</v>
      </c>
      <c r="AK27" s="38">
        <f>IF($D27="WS",SUMPRODUCT(($C28:$C$33=$B27)*($Q28:$Q$33)*(AK28:AK$33)),IF($D27="MM",100*ABS(($G27-(Data2009!V24-$H27)/$J27)),IF($D27="XX",ABS((100*$G27)-((Data2009!V24-$E27)*$F27)),"na")))</f>
        <v>25</v>
      </c>
    </row>
    <row r="28" spans="2:37">
      <c r="B28" t="str">
        <f>tblIndicators!A23</f>
        <v>FINC02</v>
      </c>
      <c r="C28" t="str">
        <f>tblIndicators!B23</f>
        <v>FINC</v>
      </c>
      <c r="D28" t="str">
        <f>tblIndicators!D23</f>
        <v>XX</v>
      </c>
      <c r="E28">
        <f>tblIndicators!E23</f>
        <v>0</v>
      </c>
      <c r="F28">
        <f>tblIndicators!F23</f>
        <v>25</v>
      </c>
      <c r="G28">
        <f>tblIndicators!G23</f>
        <v>0</v>
      </c>
      <c r="H28">
        <f>MIN(Data2009!D25:V25)</f>
        <v>0</v>
      </c>
      <c r="I28">
        <f>MAX(Data2009!D25:V25)</f>
        <v>4</v>
      </c>
      <c r="J28" s="22">
        <f t="shared" si="0"/>
        <v>4</v>
      </c>
      <c r="K28">
        <f>MATCH(B28,Weights!C$4:C$36,0)</f>
        <v>29</v>
      </c>
      <c r="L28">
        <f>tblIndicators!S23</f>
        <v>1</v>
      </c>
      <c r="M28" s="178">
        <f>L28*INDEX(Weights!G$4:G$36,K28)</f>
        <v>2</v>
      </c>
      <c r="N28" s="36">
        <f t="shared" si="1"/>
        <v>0.44444444444444442</v>
      </c>
      <c r="P28" t="str">
        <f>tblIndicators!Q23</f>
        <v xml:space="preserve">   Capital market: private infrastructure finance</v>
      </c>
      <c r="Q28" s="103">
        <f t="shared" si="2"/>
        <v>0.44444444444444442</v>
      </c>
      <c r="S28" s="38">
        <f>IF($D28="WS",SUMPRODUCT(($C29:$C$33=$B28)*($Q29:$Q$33)*(S29:S$33)),IF($D28="MM",100*ABS(($G28-(Data2009!D25-$H28)/$J28)),IF($D28="XX",ABS((100*$G28)-((Data2009!D25-$E28)*$F28)),"na")))</f>
        <v>25</v>
      </c>
      <c r="T28" s="38">
        <f>IF($D28="WS",SUMPRODUCT(($C29:$C$33=$B28)*($Q29:$Q$33)*(T29:T$33)),IF($D28="MM",100*ABS(($G28-(Data2009!E25-$H28)/$J28)),IF($D28="XX",ABS((100*$G28)-((Data2009!E25-$E28)*$F28)),"na")))</f>
        <v>75</v>
      </c>
      <c r="U28" s="38">
        <f>IF($D28="WS",SUMPRODUCT(($C29:$C$33=$B28)*($Q29:$Q$33)*(U29:U$33)),IF($D28="MM",100*ABS(($G28-(Data2009!F25-$H28)/$J28)),IF($D28="XX",ABS((100*$G28)-((Data2009!F25-$E28)*$F28)),"na")))</f>
        <v>100</v>
      </c>
      <c r="V28" s="38">
        <f>IF($D28="WS",SUMPRODUCT(($C29:$C$33=$B28)*($Q29:$Q$33)*(V29:V$33)),IF($D28="MM",100*ABS(($G28-(Data2009!G25-$H28)/$J28)),IF($D28="XX",ABS((100*$G28)-((Data2009!G25-$E28)*$F28)),"na")))</f>
        <v>50</v>
      </c>
      <c r="W28" s="38">
        <f>IF($D28="WS",SUMPRODUCT(($C29:$C$33=$B28)*($Q29:$Q$33)*(W29:W$33)),IF($D28="MM",100*ABS(($G28-(Data2009!H25-$H28)/$J28)),IF($D28="XX",ABS((100*$G28)-((Data2009!H25-$E28)*$F28)),"na")))</f>
        <v>25</v>
      </c>
      <c r="X28" s="38">
        <f>IF($D28="WS",SUMPRODUCT(($C29:$C$33=$B28)*($Q29:$Q$33)*(X29:X$33)),IF($D28="MM",100*ABS(($G28-(Data2009!I25-$H28)/$J28)),IF($D28="XX",ABS((100*$G28)-((Data2009!I25-$E28)*$F28)),"na")))</f>
        <v>25</v>
      </c>
      <c r="Y28" s="38">
        <f>IF($D28="WS",SUMPRODUCT(($C29:$C$33=$B28)*($Q29:$Q$33)*(Y29:Y$33)),IF($D28="MM",100*ABS(($G28-(Data2009!J25-$H28)/$J28)),IF($D28="XX",ABS((100*$G28)-((Data2009!J25-$E28)*$F28)),"na")))</f>
        <v>25</v>
      </c>
      <c r="Z28" s="38">
        <f>IF($D28="WS",SUMPRODUCT(($C29:$C$33=$B28)*($Q29:$Q$33)*(Z29:Z$33)),IF($D28="MM",100*ABS(($G28-(Data2009!K25-$H28)/$J28)),IF($D28="XX",ABS((100*$G28)-((Data2009!K25-$E28)*$F28)),"na")))</f>
        <v>50</v>
      </c>
      <c r="AA28" s="38">
        <f>IF($D28="WS",SUMPRODUCT(($C29:$C$33=$B28)*($Q29:$Q$33)*(AA29:AA$33)),IF($D28="MM",100*ABS(($G28-(Data2009!L25-$H28)/$J28)),IF($D28="XX",ABS((100*$G28)-((Data2009!L25-$E28)*$F28)),"na")))</f>
        <v>0</v>
      </c>
      <c r="AB28" s="38">
        <f>IF($D28="WS",SUMPRODUCT(($C29:$C$33=$B28)*($Q29:$Q$33)*(AB29:AB$33)),IF($D28="MM",100*ABS(($G28-(Data2009!M25-$H28)/$J28)),IF($D28="XX",ABS((100*$G28)-((Data2009!M25-$E28)*$F28)),"na")))</f>
        <v>0</v>
      </c>
      <c r="AC28" s="38">
        <f>IF($D28="WS",SUMPRODUCT(($C29:$C$33=$B28)*($Q29:$Q$33)*(AC29:AC$33)),IF($D28="MM",100*ABS(($G28-(Data2009!N25-$H28)/$J28)),IF($D28="XX",ABS((100*$G28)-((Data2009!N25-$E28)*$F28)),"na")))</f>
        <v>0</v>
      </c>
      <c r="AD28" s="38">
        <f>IF($D28="WS",SUMPRODUCT(($C29:$C$33=$B28)*($Q29:$Q$33)*(AD29:AD$33)),IF($D28="MM",100*ABS(($G28-(Data2009!O25-$H28)/$J28)),IF($D28="XX",ABS((100*$G28)-((Data2009!O25-$E28)*$F28)),"na")))</f>
        <v>75</v>
      </c>
      <c r="AE28" s="38">
        <f>IF($D28="WS",SUMPRODUCT(($C29:$C$33=$B28)*($Q29:$Q$33)*(AE29:AE$33)),IF($D28="MM",100*ABS(($G28-(Data2009!P25-$H28)/$J28)),IF($D28="XX",ABS((100*$G28)-((Data2009!P25-$E28)*$F28)),"na")))</f>
        <v>0</v>
      </c>
      <c r="AF28" s="38">
        <f>IF($D28="WS",SUMPRODUCT(($C29:$C$33=$B28)*($Q29:$Q$33)*(AF29:AF$33)),IF($D28="MM",100*ABS(($G28-(Data2009!Q25-$H28)/$J28)),IF($D28="XX",ABS((100*$G28)-((Data2009!Q25-$E28)*$F28)),"na")))</f>
        <v>50</v>
      </c>
      <c r="AG28" s="38">
        <f>IF($D28="WS",SUMPRODUCT(($C29:$C$33=$B28)*($Q29:$Q$33)*(AG29:AG$33)),IF($D28="MM",100*ABS(($G28-(Data2009!R25-$H28)/$J28)),IF($D28="XX",ABS((100*$G28)-((Data2009!R25-$E28)*$F28)),"na")))</f>
        <v>25</v>
      </c>
      <c r="AH28" s="38">
        <f>IF($D28="WS",SUMPRODUCT(($C29:$C$33=$B28)*($Q29:$Q$33)*(AH29:AH$33)),IF($D28="MM",100*ABS(($G28-(Data2009!S25-$H28)/$J28)),IF($D28="XX",ABS((100*$G28)-((Data2009!S25-$E28)*$F28)),"na")))</f>
        <v>50</v>
      </c>
      <c r="AI28" s="38">
        <f>IF($D28="WS",SUMPRODUCT(($C29:$C$33=$B28)*($Q29:$Q$33)*(AI29:AI$33)),IF($D28="MM",100*ABS(($G28-(Data2009!T25-$H28)/$J28)),IF($D28="XX",ABS((100*$G28)-((Data2009!T25-$E28)*$F28)),"na")))</f>
        <v>50</v>
      </c>
      <c r="AJ28" s="38">
        <f>IF($D28="WS",SUMPRODUCT(($C29:$C$33=$B28)*($Q29:$Q$33)*(AJ29:AJ$33)),IF($D28="MM",100*ABS(($G28-(Data2009!U25-$H28)/$J28)),IF($D28="XX",ABS((100*$G28)-((Data2009!U25-$E28)*$F28)),"na")))</f>
        <v>25</v>
      </c>
      <c r="AK28" s="38">
        <f>IF($D28="WS",SUMPRODUCT(($C29:$C$33=$B28)*($Q29:$Q$33)*(AK29:AK$33)),IF($D28="MM",100*ABS(($G28-(Data2009!V25-$H28)/$J28)),IF($D28="XX",ABS((100*$G28)-((Data2009!V25-$E28)*$F28)),"na")))</f>
        <v>25</v>
      </c>
    </row>
    <row r="29" spans="2:37">
      <c r="B29" t="str">
        <f>tblIndicators!A24</f>
        <v>FINC03</v>
      </c>
      <c r="C29" t="str">
        <f>tblIndicators!B24</f>
        <v>FINC</v>
      </c>
      <c r="D29" t="str">
        <f>tblIndicators!D24</f>
        <v>XX</v>
      </c>
      <c r="E29">
        <f>tblIndicators!E24</f>
        <v>0</v>
      </c>
      <c r="F29">
        <f>tblIndicators!F24</f>
        <v>25</v>
      </c>
      <c r="G29">
        <f>tblIndicators!G24</f>
        <v>0</v>
      </c>
      <c r="H29">
        <f>MIN(Data2009!D26:V26)</f>
        <v>1</v>
      </c>
      <c r="I29">
        <f>MAX(Data2009!D26:V26)</f>
        <v>4</v>
      </c>
      <c r="J29" s="22">
        <f t="shared" si="0"/>
        <v>3</v>
      </c>
      <c r="K29">
        <f>MATCH(B29,Weights!C$4:C$36,0)</f>
        <v>30</v>
      </c>
      <c r="L29">
        <f>tblIndicators!S24</f>
        <v>1</v>
      </c>
      <c r="M29" s="178">
        <f>L29*INDEX(Weights!G$4:G$36,K29)</f>
        <v>1</v>
      </c>
      <c r="N29" s="36">
        <f t="shared" si="1"/>
        <v>0.22222222222222221</v>
      </c>
      <c r="P29" t="str">
        <f>tblIndicators!Q24</f>
        <v xml:space="preserve">   Marketable debt</v>
      </c>
      <c r="Q29" s="103">
        <f t="shared" si="2"/>
        <v>0.22222222222222221</v>
      </c>
      <c r="S29" s="38">
        <f>IF($D29="WS",SUMPRODUCT(($C30:$C$33=$B29)*($Q30:$Q$33)*(S30:S$33)),IF($D29="MM",100*ABS(($G29-(Data2009!D26-$H29)/$J29)),IF($D29="XX",ABS((100*$G29)-((Data2009!D26-$E29)*$F29)),"na")))</f>
        <v>75</v>
      </c>
      <c r="T29" s="38">
        <f>IF($D29="WS",SUMPRODUCT(($C30:$C$33=$B29)*($Q30:$Q$33)*(T30:T$33)),IF($D29="MM",100*ABS(($G29-(Data2009!E26-$H29)/$J29)),IF($D29="XX",ABS((100*$G29)-((Data2009!E26-$E29)*$F29)),"na")))</f>
        <v>50</v>
      </c>
      <c r="U29" s="38">
        <f>IF($D29="WS",SUMPRODUCT(($C30:$C$33=$B29)*($Q30:$Q$33)*(U30:U$33)),IF($D29="MM",100*ABS(($G29-(Data2009!F26-$H29)/$J29)),IF($D29="XX",ABS((100*$G29)-((Data2009!F26-$E29)*$F29)),"na")))</f>
        <v>100</v>
      </c>
      <c r="V29" s="38">
        <f>IF($D29="WS",SUMPRODUCT(($C30:$C$33=$B29)*($Q30:$Q$33)*(V30:V$33)),IF($D29="MM",100*ABS(($G29-(Data2009!G26-$H29)/$J29)),IF($D29="XX",ABS((100*$G29)-((Data2009!G26-$E29)*$F29)),"na")))</f>
        <v>75</v>
      </c>
      <c r="W29" s="38">
        <f>IF($D29="WS",SUMPRODUCT(($C30:$C$33=$B29)*($Q30:$Q$33)*(W30:W$33)),IF($D29="MM",100*ABS(($G29-(Data2009!H26-$H29)/$J29)),IF($D29="XX",ABS((100*$G29)-((Data2009!H26-$E29)*$F29)),"na")))</f>
        <v>75</v>
      </c>
      <c r="X29" s="38">
        <f>IF($D29="WS",SUMPRODUCT(($C30:$C$33=$B29)*($Q30:$Q$33)*(X30:X$33)),IF($D29="MM",100*ABS(($G29-(Data2009!I26-$H29)/$J29)),IF($D29="XX",ABS((100*$G29)-((Data2009!I26-$E29)*$F29)),"na")))</f>
        <v>25</v>
      </c>
      <c r="Y29" s="38">
        <f>IF($D29="WS",SUMPRODUCT(($C30:$C$33=$B29)*($Q30:$Q$33)*(Y30:Y$33)),IF($D29="MM",100*ABS(($G29-(Data2009!J26-$H29)/$J29)),IF($D29="XX",ABS((100*$G29)-((Data2009!J26-$E29)*$F29)),"na")))</f>
        <v>25</v>
      </c>
      <c r="Z29" s="38">
        <f>IF($D29="WS",SUMPRODUCT(($C30:$C$33=$B29)*($Q30:$Q$33)*(Z30:Z$33)),IF($D29="MM",100*ABS(($G29-(Data2009!K26-$H29)/$J29)),IF($D29="XX",ABS((100*$G29)-((Data2009!K26-$E29)*$F29)),"na")))</f>
        <v>50</v>
      </c>
      <c r="AA29" s="38">
        <f>IF($D29="WS",SUMPRODUCT(($C30:$C$33=$B29)*($Q30:$Q$33)*(AA30:AA$33)),IF($D29="MM",100*ABS(($G29-(Data2009!L26-$H29)/$J29)),IF($D29="XX",ABS((100*$G29)-((Data2009!L26-$E29)*$F29)),"na")))</f>
        <v>25</v>
      </c>
      <c r="AB29" s="38">
        <f>IF($D29="WS",SUMPRODUCT(($C30:$C$33=$B29)*($Q30:$Q$33)*(AB30:AB$33)),IF($D29="MM",100*ABS(($G29-(Data2009!M26-$H29)/$J29)),IF($D29="XX",ABS((100*$G29)-((Data2009!M26-$E29)*$F29)),"na")))</f>
        <v>25</v>
      </c>
      <c r="AC29" s="38">
        <f>IF($D29="WS",SUMPRODUCT(($C30:$C$33=$B29)*($Q30:$Q$33)*(AC30:AC$33)),IF($D29="MM",100*ABS(($G29-(Data2009!N26-$H29)/$J29)),IF($D29="XX",ABS((100*$G29)-((Data2009!N26-$E29)*$F29)),"na")))</f>
        <v>50</v>
      </c>
      <c r="AD29" s="38">
        <f>IF($D29="WS",SUMPRODUCT(($C30:$C$33=$B29)*($Q30:$Q$33)*(AD30:AD$33)),IF($D29="MM",100*ABS(($G29-(Data2009!O26-$H29)/$J29)),IF($D29="XX",ABS((100*$G29)-((Data2009!O26-$E29)*$F29)),"na")))</f>
        <v>75</v>
      </c>
      <c r="AE29" s="38">
        <f>IF($D29="WS",SUMPRODUCT(($C30:$C$33=$B29)*($Q30:$Q$33)*(AE30:AE$33)),IF($D29="MM",100*ABS(($G29-(Data2009!P26-$H29)/$J29)),IF($D29="XX",ABS((100*$G29)-((Data2009!P26-$E29)*$F29)),"na")))</f>
        <v>25</v>
      </c>
      <c r="AF29" s="38">
        <f>IF($D29="WS",SUMPRODUCT(($C30:$C$33=$B29)*($Q30:$Q$33)*(AF30:AF$33)),IF($D29="MM",100*ABS(($G29-(Data2009!Q26-$H29)/$J29)),IF($D29="XX",ABS((100*$G29)-((Data2009!Q26-$E29)*$F29)),"na")))</f>
        <v>100</v>
      </c>
      <c r="AG29" s="38">
        <f>IF($D29="WS",SUMPRODUCT(($C30:$C$33=$B29)*($Q30:$Q$33)*(AG30:AG$33)),IF($D29="MM",100*ABS(($G29-(Data2009!R26-$H29)/$J29)),IF($D29="XX",ABS((100*$G29)-((Data2009!R26-$E29)*$F29)),"na")))</f>
        <v>25</v>
      </c>
      <c r="AH29" s="38">
        <f>IF($D29="WS",SUMPRODUCT(($C30:$C$33=$B29)*($Q30:$Q$33)*(AH30:AH$33)),IF($D29="MM",100*ABS(($G29-(Data2009!S26-$H29)/$J29)),IF($D29="XX",ABS((100*$G29)-((Data2009!S26-$E29)*$F29)),"na")))</f>
        <v>75</v>
      </c>
      <c r="AI29" s="38">
        <f>IF($D29="WS",SUMPRODUCT(($C30:$C$33=$B29)*($Q30:$Q$33)*(AI30:AI$33)),IF($D29="MM",100*ABS(($G29-(Data2009!T26-$H29)/$J29)),IF($D29="XX",ABS((100*$G29)-((Data2009!T26-$E29)*$F29)),"na")))</f>
        <v>75</v>
      </c>
      <c r="AJ29" s="38">
        <f>IF($D29="WS",SUMPRODUCT(($C30:$C$33=$B29)*($Q30:$Q$33)*(AJ30:AJ$33)),IF($D29="MM",100*ABS(($G29-(Data2009!U26-$H29)/$J29)),IF($D29="XX",ABS((100*$G29)-((Data2009!U26-$E29)*$F29)),"na")))</f>
        <v>25</v>
      </c>
      <c r="AK29" s="38">
        <f>IF($D29="WS",SUMPRODUCT(($C30:$C$33=$B29)*($Q30:$Q$33)*(AK30:AK$33)),IF($D29="MM",100*ABS(($G29-(Data2009!V26-$H29)/$J29)),IF($D29="XX",ABS((100*$G29)-((Data2009!V26-$E29)*$F29)),"na")))</f>
        <v>25</v>
      </c>
    </row>
    <row r="30" spans="2:37">
      <c r="B30" t="str">
        <f>tblIndicators!A25</f>
        <v>FINC04</v>
      </c>
      <c r="C30" t="str">
        <f>tblIndicators!B25</f>
        <v>FINC</v>
      </c>
      <c r="D30" t="str">
        <f>tblIndicators!D25</f>
        <v>XX</v>
      </c>
      <c r="E30">
        <f>tblIndicators!E25</f>
        <v>0</v>
      </c>
      <c r="F30">
        <f>tblIndicators!F25</f>
        <v>25</v>
      </c>
      <c r="G30">
        <f>tblIndicators!G25</f>
        <v>0</v>
      </c>
      <c r="H30">
        <f>MIN(Data2009!D27:V27)</f>
        <v>0</v>
      </c>
      <c r="I30">
        <f>MAX(Data2009!D27:V27)</f>
        <v>3</v>
      </c>
      <c r="J30" s="22">
        <f t="shared" si="0"/>
        <v>3</v>
      </c>
      <c r="K30">
        <f>MATCH(B30,Weights!C$4:C$36,0)</f>
        <v>31</v>
      </c>
      <c r="L30">
        <f>tblIndicators!S25</f>
        <v>1</v>
      </c>
      <c r="M30" s="178">
        <f>L30*INDEX(Weights!G$4:G$36,K30)</f>
        <v>0.5</v>
      </c>
      <c r="N30" s="36">
        <f t="shared" si="1"/>
        <v>0.1111111111111111</v>
      </c>
      <c r="P30" t="str">
        <f>tblIndicators!Q25</f>
        <v xml:space="preserve">   Government support and affordability for low income users</v>
      </c>
      <c r="Q30" s="103">
        <f t="shared" si="2"/>
        <v>0.1111111111111111</v>
      </c>
      <c r="S30" s="38">
        <f>IF($D30="WS",SUMPRODUCT(($C31:$C$33=$B30)*($Q31:$Q$33)*(S31:S$33)),IF($D30="MM",100*ABS(($G30-(Data2009!D27-$H30)/$J30)),IF($D30="XX",ABS((100*$G30)-((Data2009!D27-$E30)*$F30)),"na")))</f>
        <v>0</v>
      </c>
      <c r="T30" s="38">
        <f>IF($D30="WS",SUMPRODUCT(($C31:$C$33=$B30)*($Q31:$Q$33)*(T31:T$33)),IF($D30="MM",100*ABS(($G30-(Data2009!E27-$H30)/$J30)),IF($D30="XX",ABS((100*$G30)-((Data2009!E27-$E30)*$F30)),"na")))</f>
        <v>25</v>
      </c>
      <c r="U30" s="38">
        <f>IF($D30="WS",SUMPRODUCT(($C31:$C$33=$B30)*($Q31:$Q$33)*(U31:U$33)),IF($D30="MM",100*ABS(($G30-(Data2009!F27-$H30)/$J30)),IF($D30="XX",ABS((100*$G30)-((Data2009!F27-$E30)*$F30)),"na")))</f>
        <v>75</v>
      </c>
      <c r="V30" s="38">
        <f>IF($D30="WS",SUMPRODUCT(($C31:$C$33=$B30)*($Q31:$Q$33)*(V31:V$33)),IF($D30="MM",100*ABS(($G30-(Data2009!G27-$H30)/$J30)),IF($D30="XX",ABS((100*$G30)-((Data2009!G27-$E30)*$F30)),"na")))</f>
        <v>50</v>
      </c>
      <c r="W30" s="38">
        <f>IF($D30="WS",SUMPRODUCT(($C31:$C$33=$B30)*($Q31:$Q$33)*(W31:W$33)),IF($D30="MM",100*ABS(($G30-(Data2009!H27-$H30)/$J30)),IF($D30="XX",ABS((100*$G30)-((Data2009!H27-$E30)*$F30)),"na")))</f>
        <v>25</v>
      </c>
      <c r="X30" s="38">
        <f>IF($D30="WS",SUMPRODUCT(($C31:$C$33=$B30)*($Q31:$Q$33)*(X31:X$33)),IF($D30="MM",100*ABS(($G30-(Data2009!I27-$H30)/$J30)),IF($D30="XX",ABS((100*$G30)-((Data2009!I27-$E30)*$F30)),"na")))</f>
        <v>0</v>
      </c>
      <c r="Y30" s="38">
        <f>IF($D30="WS",SUMPRODUCT(($C31:$C$33=$B30)*($Q31:$Q$33)*(Y31:Y$33)),IF($D30="MM",100*ABS(($G30-(Data2009!J27-$H30)/$J30)),IF($D30="XX",ABS((100*$G30)-((Data2009!J27-$E30)*$F30)),"na")))</f>
        <v>25</v>
      </c>
      <c r="Z30" s="38">
        <f>IF($D30="WS",SUMPRODUCT(($C31:$C$33=$B30)*($Q31:$Q$33)*(Z31:Z$33)),IF($D30="MM",100*ABS(($G30-(Data2009!K27-$H30)/$J30)),IF($D30="XX",ABS((100*$G30)-((Data2009!K27-$E30)*$F30)),"na")))</f>
        <v>25</v>
      </c>
      <c r="AA30" s="38">
        <f>IF($D30="WS",SUMPRODUCT(($C31:$C$33=$B30)*($Q31:$Q$33)*(AA31:AA$33)),IF($D30="MM",100*ABS(($G30-(Data2009!L27-$H30)/$J30)),IF($D30="XX",ABS((100*$G30)-((Data2009!L27-$E30)*$F30)),"na")))</f>
        <v>50</v>
      </c>
      <c r="AB30" s="38">
        <f>IF($D30="WS",SUMPRODUCT(($C31:$C$33=$B30)*($Q31:$Q$33)*(AB31:AB$33)),IF($D30="MM",100*ABS(($G30-(Data2009!M27-$H30)/$J30)),IF($D30="XX",ABS((100*$G30)-((Data2009!M27-$E30)*$F30)),"na")))</f>
        <v>25</v>
      </c>
      <c r="AC30" s="38">
        <f>IF($D30="WS",SUMPRODUCT(($C31:$C$33=$B30)*($Q31:$Q$33)*(AC31:AC$33)),IF($D30="MM",100*ABS(($G30-(Data2009!N27-$H30)/$J30)),IF($D30="XX",ABS((100*$G30)-((Data2009!N27-$E30)*$F30)),"na")))</f>
        <v>25</v>
      </c>
      <c r="AD30" s="38">
        <f>IF($D30="WS",SUMPRODUCT(($C31:$C$33=$B30)*($Q31:$Q$33)*(AD31:AD$33)),IF($D30="MM",100*ABS(($G30-(Data2009!O27-$H30)/$J30)),IF($D30="XX",ABS((100*$G30)-((Data2009!O27-$E30)*$F30)),"na")))</f>
        <v>25</v>
      </c>
      <c r="AE30" s="38">
        <f>IF($D30="WS",SUMPRODUCT(($C31:$C$33=$B30)*($Q31:$Q$33)*(AE31:AE$33)),IF($D30="MM",100*ABS(($G30-(Data2009!P27-$H30)/$J30)),IF($D30="XX",ABS((100*$G30)-((Data2009!P27-$E30)*$F30)),"na")))</f>
        <v>0</v>
      </c>
      <c r="AF30" s="38">
        <f>IF($D30="WS",SUMPRODUCT(($C31:$C$33=$B30)*($Q31:$Q$33)*(AF31:AF$33)),IF($D30="MM",100*ABS(($G30-(Data2009!Q27-$H30)/$J30)),IF($D30="XX",ABS((100*$G30)-((Data2009!Q27-$E30)*$F30)),"na")))</f>
        <v>25</v>
      </c>
      <c r="AG30" s="38">
        <f>IF($D30="WS",SUMPRODUCT(($C31:$C$33=$B30)*($Q31:$Q$33)*(AG31:AG$33)),IF($D30="MM",100*ABS(($G30-(Data2009!R27-$H30)/$J30)),IF($D30="XX",ABS((100*$G30)-((Data2009!R27-$E30)*$F30)),"na")))</f>
        <v>25</v>
      </c>
      <c r="AH30" s="38">
        <f>IF($D30="WS",SUMPRODUCT(($C31:$C$33=$B30)*($Q31:$Q$33)*(AH31:AH$33)),IF($D30="MM",100*ABS(($G30-(Data2009!S27-$H30)/$J30)),IF($D30="XX",ABS((100*$G30)-((Data2009!S27-$E30)*$F30)),"na")))</f>
        <v>25</v>
      </c>
      <c r="AI30" s="38">
        <f>IF($D30="WS",SUMPRODUCT(($C31:$C$33=$B30)*($Q31:$Q$33)*(AI31:AI$33)),IF($D30="MM",100*ABS(($G30-(Data2009!T27-$H30)/$J30)),IF($D30="XX",ABS((100*$G30)-((Data2009!T27-$E30)*$F30)),"na")))</f>
        <v>25</v>
      </c>
      <c r="AJ30" s="38">
        <f>IF($D30="WS",SUMPRODUCT(($C31:$C$33=$B30)*($Q31:$Q$33)*(AJ31:AJ$33)),IF($D30="MM",100*ABS(($G30-(Data2009!U27-$H30)/$J30)),IF($D30="XX",ABS((100*$G30)-((Data2009!U27-$E30)*$F30)),"na")))</f>
        <v>25</v>
      </c>
      <c r="AK30" s="38">
        <f>IF($D30="WS",SUMPRODUCT(($C31:$C$33=$B30)*($Q31:$Q$33)*(AK31:AK$33)),IF($D30="MM",100*ABS(($G30-(Data2009!V27-$H30)/$J30)),IF($D30="XX",ABS((100*$G30)-((Data2009!V27-$E30)*$F30)),"na")))</f>
        <v>0</v>
      </c>
    </row>
  </sheetData>
  <phoneticPr fontId="61"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sheetPr codeName="Sheet28"/>
  <dimension ref="A1:AL30"/>
  <sheetViews>
    <sheetView workbookViewId="0">
      <selection activeCell="T10" sqref="T10"/>
    </sheetView>
  </sheetViews>
  <sheetFormatPr defaultRowHeight="15"/>
  <cols>
    <col min="1" max="1" width="1.140625" customWidth="1"/>
    <col min="2" max="13" width="5.28515625" hidden="1" customWidth="1"/>
    <col min="14" max="14" width="5" customWidth="1"/>
    <col min="15" max="15" width="43.140625" bestFit="1" customWidth="1"/>
    <col min="17" max="17" width="1.85546875" customWidth="1"/>
    <col min="26" max="26" width="9.7109375" customWidth="1"/>
  </cols>
  <sheetData>
    <row r="1" spans="1:38" s="72" customFormat="1" ht="21.75" customHeight="1">
      <c r="A1" s="72" t="s">
        <v>882</v>
      </c>
      <c r="P1" s="72" t="s">
        <v>1052</v>
      </c>
    </row>
    <row r="5" spans="1:38" ht="24">
      <c r="O5" s="99"/>
      <c r="P5" s="99" t="s">
        <v>1038</v>
      </c>
      <c r="Q5" s="30"/>
      <c r="R5" s="31" t="str">
        <f>Data2010!D3</f>
        <v>Argentina</v>
      </c>
      <c r="S5" s="31" t="str">
        <f>Data2010!E3</f>
        <v>Brazil</v>
      </c>
      <c r="T5" s="31" t="str">
        <f>Data2010!F3</f>
        <v xml:space="preserve">Chile </v>
      </c>
      <c r="U5" s="31" t="str">
        <f>Data2010!G3</f>
        <v>Colombia</v>
      </c>
      <c r="V5" s="31" t="str">
        <f>Data2010!H3</f>
        <v>Costa Rica</v>
      </c>
      <c r="W5" s="31" t="str">
        <f>Data2010!I3</f>
        <v>Dominican Rep.</v>
      </c>
      <c r="X5" s="31" t="str">
        <f>Data2010!J3</f>
        <v>Ecuador</v>
      </c>
      <c r="Y5" s="31" t="str">
        <f>Data2010!K3</f>
        <v>El Salvador</v>
      </c>
      <c r="Z5" s="31" t="str">
        <f>Data2010!L3</f>
        <v>Guatemala</v>
      </c>
      <c r="AA5" s="31" t="str">
        <f>Data2010!M3</f>
        <v>Honduras</v>
      </c>
      <c r="AB5" s="31" t="str">
        <f>Data2010!N3</f>
        <v>Jamaica</v>
      </c>
      <c r="AC5" s="31" t="str">
        <f>Data2010!O3</f>
        <v>Mexico</v>
      </c>
      <c r="AD5" s="31" t="str">
        <f>Data2010!P3</f>
        <v>Nicaragua</v>
      </c>
      <c r="AE5" s="31" t="str">
        <f>Data2010!Q3</f>
        <v>Panama</v>
      </c>
      <c r="AF5" s="31" t="str">
        <f>Data2010!R3</f>
        <v>Paraguay</v>
      </c>
      <c r="AG5" s="31" t="str">
        <f>Data2010!S3</f>
        <v>Peru</v>
      </c>
      <c r="AH5" s="31" t="str">
        <f>Data2010!T3</f>
        <v>Trinidad &amp; Tobago</v>
      </c>
      <c r="AI5" s="31" t="str">
        <f>Data2010!U3</f>
        <v>Uruguay</v>
      </c>
      <c r="AJ5" s="31" t="str">
        <f>Data2010!V3</f>
        <v>Venezuela</v>
      </c>
    </row>
    <row r="6" spans="1:38">
      <c r="B6" s="32" t="s">
        <v>964</v>
      </c>
      <c r="C6" s="32" t="s">
        <v>965</v>
      </c>
      <c r="D6" s="32" t="s">
        <v>967</v>
      </c>
      <c r="E6" s="32" t="s">
        <v>968</v>
      </c>
      <c r="F6" s="32" t="s">
        <v>969</v>
      </c>
      <c r="G6" s="32" t="s">
        <v>970</v>
      </c>
      <c r="H6" s="32" t="s">
        <v>1032</v>
      </c>
      <c r="I6" s="32" t="s">
        <v>1033</v>
      </c>
      <c r="J6" s="32" t="s">
        <v>1034</v>
      </c>
      <c r="K6" s="33" t="s">
        <v>1035</v>
      </c>
      <c r="L6" s="32" t="s">
        <v>1036</v>
      </c>
      <c r="M6" s="32" t="s">
        <v>1037</v>
      </c>
      <c r="P6" s="100"/>
    </row>
    <row r="7" spans="1:38" s="95" customFormat="1">
      <c r="B7" s="95" t="str">
        <f>tblIndicators!A2</f>
        <v>TOTL</v>
      </c>
      <c r="C7" s="95">
        <f>tblIndicators!B2</f>
        <v>0</v>
      </c>
      <c r="D7" s="95" t="str">
        <f>tblIndicators!D2</f>
        <v>WS</v>
      </c>
      <c r="E7" s="95">
        <f>tblIndicators!E2</f>
        <v>0</v>
      </c>
      <c r="F7" s="95">
        <f>tblIndicators!F2</f>
        <v>0</v>
      </c>
      <c r="G7" s="95">
        <f>tblIndicators!G2</f>
        <v>0</v>
      </c>
      <c r="H7" s="95">
        <f>MIN(Data2010!D4:V4)</f>
        <v>0</v>
      </c>
      <c r="I7" s="95">
        <f>MAX(Data2010!D4:V4)</f>
        <v>0</v>
      </c>
      <c r="J7" s="96">
        <f>I7-H7</f>
        <v>0</v>
      </c>
      <c r="O7" s="95" t="str">
        <f>tblIndicators!Q2</f>
        <v>OVERALL SCORE</v>
      </c>
      <c r="P7" s="101"/>
      <c r="R7" s="97">
        <f>ROUND(Scores2009_YOY!S7-Scores2008_YOY!S7,1)</f>
        <v>0.9</v>
      </c>
      <c r="S7" s="97">
        <f>ROUND(Scores2009_YOY!T7-Scores2008_YOY!T7,1)</f>
        <v>13.3</v>
      </c>
      <c r="T7" s="97">
        <f>ROUND(Scores2009_YOY!U7-Scores2008_YOY!U7,1)</f>
        <v>11.9</v>
      </c>
      <c r="U7" s="97">
        <f>ROUND(Scores2009_YOY!V7-Scores2008_YOY!V7,1)</f>
        <v>9.3000000000000007</v>
      </c>
      <c r="V7" s="97">
        <f>ROUND(Scores2009_YOY!W7-Scores2008_YOY!W7,1)</f>
        <v>-4.8</v>
      </c>
      <c r="W7" s="97">
        <f>ROUND(Scores2009_YOY!X7-Scores2008_YOY!X7,1)</f>
        <v>-4.4000000000000004</v>
      </c>
      <c r="X7" s="97">
        <f>ROUND(Scores2009_YOY!Y7-Scores2008_YOY!Y7,1)</f>
        <v>-0.3</v>
      </c>
      <c r="Y7" s="97">
        <f>ROUND(Scores2009_YOY!Z7-Scores2008_YOY!Z7,1)</f>
        <v>5.8</v>
      </c>
      <c r="Z7" s="97">
        <f>ROUND(Scores2009_YOY!AA7-Scores2008_YOY!AA7,1)</f>
        <v>20.7</v>
      </c>
      <c r="AA7" s="97">
        <f>ROUND(Scores2009_YOY!AB7-Scores2008_YOY!AB7,1)</f>
        <v>2.8</v>
      </c>
      <c r="AB7" s="97">
        <f>ROUND(Scores2009_YOY!AC7-Scores2008_YOY!AC7,1)</f>
        <v>-1.8</v>
      </c>
      <c r="AC7" s="97">
        <f>ROUND(Scores2009_YOY!AD7-Scores2008_YOY!AD7,1)</f>
        <v>8.1999999999999993</v>
      </c>
      <c r="AD7" s="97">
        <f>ROUND(Scores2009_YOY!AE7-Scores2008_YOY!AE7,1)</f>
        <v>9.5</v>
      </c>
      <c r="AE7" s="97">
        <f>ROUND(Scores2009_YOY!AF7-Scores2008_YOY!AF7,1)</f>
        <v>8</v>
      </c>
      <c r="AF7" s="97">
        <f>ROUND(Scores2009_YOY!AG7-Scores2008_YOY!AG7,1)</f>
        <v>0.9</v>
      </c>
      <c r="AG7" s="97">
        <f>ROUND(Scores2009_YOY!AH7-Scores2008_YOY!AH7,1)</f>
        <v>10.199999999999999</v>
      </c>
      <c r="AH7" s="97">
        <f>ROUND(Scores2009_YOY!AI7-Scores2008_YOY!AI7,1)</f>
        <v>0.4</v>
      </c>
      <c r="AI7" s="97">
        <f>ROUND(Scores2009_YOY!AJ7-Scores2008_YOY!AJ7,1)</f>
        <v>4.7</v>
      </c>
      <c r="AJ7" s="97">
        <f>ROUND(Scores2009_YOY!AK7-Scores2008_YOY!AK7,1)</f>
        <v>-5.7</v>
      </c>
      <c r="AK7" s="97"/>
      <c r="AL7" s="97"/>
    </row>
    <row r="8" spans="1:38" s="95" customFormat="1">
      <c r="B8" s="95" t="str">
        <f>tblIndicators!A3</f>
        <v>LEGF</v>
      </c>
      <c r="C8" s="95" t="str">
        <f>tblIndicators!B3</f>
        <v>TOTL</v>
      </c>
      <c r="D8" s="95" t="str">
        <f>tblIndicators!D3</f>
        <v>WS</v>
      </c>
      <c r="E8" s="95">
        <f>tblIndicators!E3</f>
        <v>0</v>
      </c>
      <c r="F8" s="95">
        <f>tblIndicators!F3</f>
        <v>0</v>
      </c>
      <c r="G8" s="95">
        <f>tblIndicators!G3</f>
        <v>0</v>
      </c>
      <c r="H8" s="95">
        <f>MIN(Data2010!D5:V5)</f>
        <v>0</v>
      </c>
      <c r="I8" s="95">
        <f>MAX(Data2010!D5:V5)</f>
        <v>0</v>
      </c>
      <c r="J8" s="96">
        <f t="shared" ref="J8:J27" si="0">I8-H8</f>
        <v>0</v>
      </c>
      <c r="K8" s="95">
        <f>MATCH(B8,Weights!C$4:C$36,0)</f>
        <v>1</v>
      </c>
      <c r="L8" s="95">
        <f>INDEX(Weights!G$4:G$36,K8)</f>
        <v>1.5</v>
      </c>
      <c r="M8" s="98">
        <f t="shared" ref="M8:M30" si="1">L8/SUMIF(C$8:C$30,C8,L$8:L$30)</f>
        <v>0.27777777777777773</v>
      </c>
      <c r="O8" s="95" t="str">
        <f>tblIndicators!Q3</f>
        <v>REGULATORY FRAMEWORK</v>
      </c>
      <c r="P8" s="102">
        <f>M8</f>
        <v>0.27777777777777773</v>
      </c>
      <c r="R8" s="38">
        <f>ROUND(Scores2009_YOY!S8-Scores2008_YOY!S8,1)</f>
        <v>-6.3</v>
      </c>
      <c r="S8" s="38">
        <f>ROUND(Scores2009_YOY!T8-Scores2008_YOY!T8,1)</f>
        <v>25</v>
      </c>
      <c r="T8" s="38">
        <f>ROUND(Scores2009_YOY!U8-Scores2008_YOY!U8,1)</f>
        <v>21.9</v>
      </c>
      <c r="U8" s="38">
        <f>ROUND(Scores2009_YOY!V8-Scores2008_YOY!V8,1)</f>
        <v>18.8</v>
      </c>
      <c r="V8" s="38">
        <f>ROUND(Scores2009_YOY!W8-Scores2008_YOY!W8,1)</f>
        <v>-15.6</v>
      </c>
      <c r="W8" s="38">
        <f>ROUND(Scores2009_YOY!X8-Scores2008_YOY!X8,1)</f>
        <v>3.1</v>
      </c>
      <c r="X8" s="38">
        <f>ROUND(Scores2009_YOY!Y8-Scores2008_YOY!Y8,1)</f>
        <v>0</v>
      </c>
      <c r="Y8" s="38">
        <f>ROUND(Scores2009_YOY!Z8-Scores2008_YOY!Z8,1)</f>
        <v>9.4</v>
      </c>
      <c r="Z8" s="38">
        <f>ROUND(Scores2009_YOY!AA8-Scores2008_YOY!AA8,1)</f>
        <v>34.4</v>
      </c>
      <c r="AA8" s="38">
        <f>ROUND(Scores2009_YOY!AB8-Scores2008_YOY!AB8,1)</f>
        <v>0</v>
      </c>
      <c r="AB8" s="38">
        <f>ROUND(Scores2009_YOY!AC8-Scores2008_YOY!AC8,1)</f>
        <v>0</v>
      </c>
      <c r="AC8" s="38">
        <f>ROUND(Scores2009_YOY!AD8-Scores2008_YOY!AD8,1)</f>
        <v>6.3</v>
      </c>
      <c r="AD8" s="38">
        <f>ROUND(Scores2009_YOY!AE8-Scores2008_YOY!AE8,1)</f>
        <v>15.6</v>
      </c>
      <c r="AE8" s="38">
        <f>ROUND(Scores2009_YOY!AF8-Scores2008_YOY!AF8,1)</f>
        <v>12.5</v>
      </c>
      <c r="AF8" s="38">
        <f>ROUND(Scores2009_YOY!AG8-Scores2008_YOY!AG8,1)</f>
        <v>0</v>
      </c>
      <c r="AG8" s="38">
        <f>ROUND(Scores2009_YOY!AH8-Scores2008_YOY!AH8,1)</f>
        <v>9.4</v>
      </c>
      <c r="AH8" s="38">
        <f>ROUND(Scores2009_YOY!AI8-Scores2008_YOY!AI8,1)</f>
        <v>0</v>
      </c>
      <c r="AI8" s="38">
        <f>ROUND(Scores2009_YOY!AJ8-Scores2008_YOY!AJ8,1)</f>
        <v>9.4</v>
      </c>
      <c r="AJ8" s="38">
        <f>ROUND(Scores2009_YOY!AK8-Scores2008_YOY!AK8,1)</f>
        <v>-9.4</v>
      </c>
      <c r="AK8" s="38"/>
      <c r="AL8" s="38"/>
    </row>
    <row r="9" spans="1:38">
      <c r="B9" t="str">
        <f>tblIndicators!A4</f>
        <v>LEGF01</v>
      </c>
      <c r="C9" t="str">
        <f>tblIndicators!B4</f>
        <v>LEGF</v>
      </c>
      <c r="D9" t="str">
        <f>tblIndicators!D4</f>
        <v>XX</v>
      </c>
      <c r="E9">
        <f>tblIndicators!E4</f>
        <v>0</v>
      </c>
      <c r="F9">
        <f>tblIndicators!F4</f>
        <v>25</v>
      </c>
      <c r="G9">
        <f>tblIndicators!G4</f>
        <v>0</v>
      </c>
      <c r="H9">
        <f>MIN(Data2010!D6:V6)</f>
        <v>0</v>
      </c>
      <c r="I9">
        <f>MAX(Data2010!D6:V6)</f>
        <v>4</v>
      </c>
      <c r="J9" s="22">
        <f t="shared" si="0"/>
        <v>4</v>
      </c>
      <c r="K9">
        <f>MATCH(B9,Weights!C$4:C$36,0)</f>
        <v>10</v>
      </c>
      <c r="L9">
        <f>INDEX(Weights!G$4:G$36,K9)</f>
        <v>3</v>
      </c>
      <c r="M9" s="36">
        <f t="shared" si="1"/>
        <v>0.375</v>
      </c>
      <c r="O9" t="str">
        <f>tblIndicators!Q4</f>
        <v xml:space="preserve">   Consistency and quality of PPP regulations</v>
      </c>
      <c r="P9" s="103">
        <f t="shared" ref="P9:P30" si="2">M9</f>
        <v>0.375</v>
      </c>
      <c r="R9" s="38">
        <f>ROUND(Scores2009_YOY!S9-Scores2008_YOY!S9,1)</f>
        <v>0</v>
      </c>
      <c r="S9" s="38">
        <f>ROUND(Scores2009_YOY!T9-Scores2008_YOY!T9,1)</f>
        <v>25</v>
      </c>
      <c r="T9" s="38">
        <f>ROUND(Scores2009_YOY!U9-Scores2008_YOY!U9,1)</f>
        <v>25</v>
      </c>
      <c r="U9" s="38">
        <f>ROUND(Scores2009_YOY!V9-Scores2008_YOY!V9,1)</f>
        <v>25</v>
      </c>
      <c r="V9" s="38">
        <f>ROUND(Scores2009_YOY!W9-Scores2008_YOY!W9,1)</f>
        <v>-25</v>
      </c>
      <c r="W9" s="38">
        <f>ROUND(Scores2009_YOY!X9-Scores2008_YOY!X9,1)</f>
        <v>0</v>
      </c>
      <c r="X9" s="38">
        <f>ROUND(Scores2009_YOY!Y9-Scores2008_YOY!Y9,1)</f>
        <v>0</v>
      </c>
      <c r="Y9" s="38">
        <f>ROUND(Scores2009_YOY!Z9-Scores2008_YOY!Z9,1)</f>
        <v>25</v>
      </c>
      <c r="Z9" s="38">
        <f>ROUND(Scores2009_YOY!AA9-Scores2008_YOY!AA9,1)</f>
        <v>50</v>
      </c>
      <c r="AA9" s="38">
        <f>ROUND(Scores2009_YOY!AB9-Scores2008_YOY!AB9,1)</f>
        <v>25</v>
      </c>
      <c r="AB9" s="38">
        <f>ROUND(Scores2009_YOY!AC9-Scores2008_YOY!AC9,1)</f>
        <v>0</v>
      </c>
      <c r="AC9" s="38">
        <f>ROUND(Scores2009_YOY!AD9-Scores2008_YOY!AD9,1)</f>
        <v>0</v>
      </c>
      <c r="AD9" s="38">
        <f>ROUND(Scores2009_YOY!AE9-Scores2008_YOY!AE9,1)</f>
        <v>25</v>
      </c>
      <c r="AE9" s="38">
        <f>ROUND(Scores2009_YOY!AF9-Scores2008_YOY!AF9,1)</f>
        <v>25</v>
      </c>
      <c r="AF9" s="38">
        <f>ROUND(Scores2009_YOY!AG9-Scores2008_YOY!AG9,1)</f>
        <v>0</v>
      </c>
      <c r="AG9" s="38">
        <f>ROUND(Scores2009_YOY!AH9-Scores2008_YOY!AH9,1)</f>
        <v>0</v>
      </c>
      <c r="AH9" s="38">
        <f>ROUND(Scores2009_YOY!AI9-Scores2008_YOY!AI9,1)</f>
        <v>0</v>
      </c>
      <c r="AI9" s="38">
        <f>ROUND(Scores2009_YOY!AJ9-Scores2008_YOY!AJ9,1)</f>
        <v>0</v>
      </c>
      <c r="AJ9" s="38">
        <f>ROUND(Scores2009_YOY!AK9-Scores2008_YOY!AK9,1)</f>
        <v>-25</v>
      </c>
      <c r="AK9" s="38"/>
      <c r="AL9" s="38"/>
    </row>
    <row r="10" spans="1:38">
      <c r="B10" t="str">
        <f>tblIndicators!A5</f>
        <v>LEGF02</v>
      </c>
      <c r="C10" t="str">
        <f>tblIndicators!B5</f>
        <v>LEGF</v>
      </c>
      <c r="D10" t="str">
        <f>tblIndicators!D5</f>
        <v>XX</v>
      </c>
      <c r="E10">
        <f>tblIndicators!E5</f>
        <v>0</v>
      </c>
      <c r="F10">
        <f>tblIndicators!F5</f>
        <v>25</v>
      </c>
      <c r="G10">
        <f>tblIndicators!G5</f>
        <v>0</v>
      </c>
      <c r="H10">
        <f>MIN(Data2010!D7:V7)</f>
        <v>0</v>
      </c>
      <c r="I10">
        <f>MAX(Data2010!D7:V7)</f>
        <v>3</v>
      </c>
      <c r="J10" s="22">
        <f t="shared" si="0"/>
        <v>3</v>
      </c>
      <c r="K10">
        <f>MATCH(B10,Weights!C$4:C$36,0)</f>
        <v>11</v>
      </c>
      <c r="L10">
        <f>INDEX(Weights!G$4:G$36,K10)</f>
        <v>2</v>
      </c>
      <c r="M10" s="36">
        <f t="shared" si="1"/>
        <v>0.25</v>
      </c>
      <c r="O10" t="str">
        <f>tblIndicators!Q5</f>
        <v xml:space="preserve">   Effective PPP selection and decision making</v>
      </c>
      <c r="P10" s="103">
        <f t="shared" si="2"/>
        <v>0.25</v>
      </c>
      <c r="R10" s="38">
        <f>ROUND(Scores2009_YOY!S10-Scores2008_YOY!S10,1)</f>
        <v>-25</v>
      </c>
      <c r="S10" s="38">
        <f>ROUND(Scores2009_YOY!T10-Scores2008_YOY!T10,1)</f>
        <v>25</v>
      </c>
      <c r="T10" s="38">
        <f>ROUND(Scores2009_YOY!U10-Scores2008_YOY!U10,1)</f>
        <v>25</v>
      </c>
      <c r="U10" s="38">
        <f>ROUND(Scores2009_YOY!V10-Scores2008_YOY!V10,1)</f>
        <v>0</v>
      </c>
      <c r="V10" s="38">
        <f>ROUND(Scores2009_YOY!W10-Scores2008_YOY!W10,1)</f>
        <v>0</v>
      </c>
      <c r="W10" s="38">
        <f>ROUND(Scores2009_YOY!X10-Scores2008_YOY!X10,1)</f>
        <v>25</v>
      </c>
      <c r="X10" s="38">
        <f>ROUND(Scores2009_YOY!Y10-Scores2008_YOY!Y10,1)</f>
        <v>0</v>
      </c>
      <c r="Y10" s="38">
        <f>ROUND(Scores2009_YOY!Z10-Scores2008_YOY!Z10,1)</f>
        <v>0</v>
      </c>
      <c r="Z10" s="38">
        <f>ROUND(Scores2009_YOY!AA10-Scores2008_YOY!AA10,1)</f>
        <v>25</v>
      </c>
      <c r="AA10" s="38">
        <f>ROUND(Scores2009_YOY!AB10-Scores2008_YOY!AB10,1)</f>
        <v>-25</v>
      </c>
      <c r="AB10" s="38">
        <f>ROUND(Scores2009_YOY!AC10-Scores2008_YOY!AC10,1)</f>
        <v>0</v>
      </c>
      <c r="AC10" s="38">
        <f>ROUND(Scores2009_YOY!AD10-Scores2008_YOY!AD10,1)</f>
        <v>0</v>
      </c>
      <c r="AD10" s="38">
        <f>ROUND(Scores2009_YOY!AE10-Scores2008_YOY!AE10,1)</f>
        <v>25</v>
      </c>
      <c r="AE10" s="38">
        <f>ROUND(Scores2009_YOY!AF10-Scores2008_YOY!AF10,1)</f>
        <v>0</v>
      </c>
      <c r="AF10" s="38">
        <f>ROUND(Scores2009_YOY!AG10-Scores2008_YOY!AG10,1)</f>
        <v>0</v>
      </c>
      <c r="AG10" s="38">
        <f>ROUND(Scores2009_YOY!AH10-Scores2008_YOY!AH10,1)</f>
        <v>0</v>
      </c>
      <c r="AH10" s="38">
        <f>ROUND(Scores2009_YOY!AI10-Scores2008_YOY!AI10,1)</f>
        <v>0</v>
      </c>
      <c r="AI10" s="38">
        <f>ROUND(Scores2009_YOY!AJ10-Scores2008_YOY!AJ10,1)</f>
        <v>25</v>
      </c>
      <c r="AJ10" s="38">
        <f>ROUND(Scores2009_YOY!AK10-Scores2008_YOY!AK10,1)</f>
        <v>0</v>
      </c>
      <c r="AK10" s="38"/>
      <c r="AL10" s="38"/>
    </row>
    <row r="11" spans="1:38">
      <c r="B11" t="str">
        <f>tblIndicators!A6</f>
        <v>LEGF03</v>
      </c>
      <c r="C11" t="str">
        <f>tblIndicators!B6</f>
        <v>LEGF</v>
      </c>
      <c r="D11" t="str">
        <f>tblIndicators!D6</f>
        <v>XX</v>
      </c>
      <c r="E11">
        <f>tblIndicators!E6</f>
        <v>0</v>
      </c>
      <c r="F11">
        <f>tblIndicators!F6</f>
        <v>25</v>
      </c>
      <c r="G11">
        <f>tblIndicators!G6</f>
        <v>0</v>
      </c>
      <c r="H11">
        <f>MIN(Data2010!D8:V8)</f>
        <v>0</v>
      </c>
      <c r="I11">
        <f>MAX(Data2010!D8:V8)</f>
        <v>3</v>
      </c>
      <c r="J11" s="22">
        <f t="shared" si="0"/>
        <v>3</v>
      </c>
      <c r="K11">
        <f>MATCH(B11,Weights!C$4:C$36,0)</f>
        <v>12</v>
      </c>
      <c r="L11">
        <f>INDEX(Weights!G$4:G$36,K11)</f>
        <v>1</v>
      </c>
      <c r="M11" s="36">
        <f t="shared" si="1"/>
        <v>0.125</v>
      </c>
      <c r="O11" t="str">
        <f>tblIndicators!Q6</f>
        <v xml:space="preserve">   Fairness/openness of bids, contract changes</v>
      </c>
      <c r="P11" s="103">
        <f t="shared" si="2"/>
        <v>0.125</v>
      </c>
      <c r="R11" s="38">
        <f>ROUND(Scores2009_YOY!S11-Scores2008_YOY!S11,1)</f>
        <v>0</v>
      </c>
      <c r="S11" s="38">
        <f>ROUND(Scores2009_YOY!T11-Scores2008_YOY!T11,1)</f>
        <v>25</v>
      </c>
      <c r="T11" s="38">
        <f>ROUND(Scores2009_YOY!U11-Scores2008_YOY!U11,1)</f>
        <v>0</v>
      </c>
      <c r="U11" s="38">
        <f>ROUND(Scores2009_YOY!V11-Scores2008_YOY!V11,1)</f>
        <v>25</v>
      </c>
      <c r="V11" s="38">
        <f>ROUND(Scores2009_YOY!W11-Scores2008_YOY!W11,1)</f>
        <v>0</v>
      </c>
      <c r="W11" s="38">
        <f>ROUND(Scores2009_YOY!X11-Scores2008_YOY!X11,1)</f>
        <v>-25</v>
      </c>
      <c r="X11" s="38">
        <f>ROUND(Scores2009_YOY!Y11-Scores2008_YOY!Y11,1)</f>
        <v>0</v>
      </c>
      <c r="Y11" s="38">
        <f>ROUND(Scores2009_YOY!Z11-Scores2008_YOY!Z11,1)</f>
        <v>0</v>
      </c>
      <c r="Z11" s="38">
        <f>ROUND(Scores2009_YOY!AA11-Scores2008_YOY!AA11,1)</f>
        <v>25</v>
      </c>
      <c r="AA11" s="38">
        <f>ROUND(Scores2009_YOY!AB11-Scores2008_YOY!AB11,1)</f>
        <v>-25</v>
      </c>
      <c r="AB11" s="38">
        <f>ROUND(Scores2009_YOY!AC11-Scores2008_YOY!AC11,1)</f>
        <v>0</v>
      </c>
      <c r="AC11" s="38">
        <f>ROUND(Scores2009_YOY!AD11-Scores2008_YOY!AD11,1)</f>
        <v>0</v>
      </c>
      <c r="AD11" s="38">
        <f>ROUND(Scores2009_YOY!AE11-Scores2008_YOY!AE11,1)</f>
        <v>0</v>
      </c>
      <c r="AE11" s="38">
        <f>ROUND(Scores2009_YOY!AF11-Scores2008_YOY!AF11,1)</f>
        <v>25</v>
      </c>
      <c r="AF11" s="38">
        <f>ROUND(Scores2009_YOY!AG11-Scores2008_YOY!AG11,1)</f>
        <v>0</v>
      </c>
      <c r="AG11" s="38">
        <f>ROUND(Scores2009_YOY!AH11-Scores2008_YOY!AH11,1)</f>
        <v>25</v>
      </c>
      <c r="AH11" s="38">
        <f>ROUND(Scores2009_YOY!AI11-Scores2008_YOY!AI11,1)</f>
        <v>0</v>
      </c>
      <c r="AI11" s="38">
        <f>ROUND(Scores2009_YOY!AJ11-Scores2008_YOY!AJ11,1)</f>
        <v>25</v>
      </c>
      <c r="AJ11" s="38">
        <f>ROUND(Scores2009_YOY!AK11-Scores2008_YOY!AK11,1)</f>
        <v>0</v>
      </c>
      <c r="AK11" s="38"/>
      <c r="AL11" s="38"/>
    </row>
    <row r="12" spans="1:38">
      <c r="B12" t="str">
        <f>tblIndicators!A7</f>
        <v>LEGF04</v>
      </c>
      <c r="C12" t="str">
        <f>tblIndicators!B7</f>
        <v>LEGF</v>
      </c>
      <c r="D12" t="str">
        <f>tblIndicators!D7</f>
        <v>XX</v>
      </c>
      <c r="E12">
        <f>tblIndicators!E7</f>
        <v>0</v>
      </c>
      <c r="F12">
        <f>tblIndicators!F7</f>
        <v>25</v>
      </c>
      <c r="G12">
        <f>tblIndicators!G7</f>
        <v>0</v>
      </c>
      <c r="H12">
        <f>MIN(Data2010!D9:V9)</f>
        <v>0</v>
      </c>
      <c r="I12">
        <f>MAX(Data2010!D9:V9)</f>
        <v>3</v>
      </c>
      <c r="J12" s="22">
        <f t="shared" si="0"/>
        <v>3</v>
      </c>
      <c r="K12">
        <f>MATCH(B12,Weights!C$4:C$36,0)</f>
        <v>13</v>
      </c>
      <c r="L12">
        <f>INDEX(Weights!G$4:G$36,K12)</f>
        <v>2</v>
      </c>
      <c r="M12" s="36">
        <f t="shared" si="1"/>
        <v>0.25</v>
      </c>
      <c r="O12" t="str">
        <f>tblIndicators!Q7</f>
        <v xml:space="preserve">   Dispute resolution mechanisms</v>
      </c>
      <c r="P12" s="103">
        <f t="shared" si="2"/>
        <v>0.25</v>
      </c>
      <c r="R12" s="97">
        <f>ROUND(Scores2009_YOY!S12-Scores2008_YOY!S12,1)</f>
        <v>0</v>
      </c>
      <c r="S12" s="97">
        <f>ROUND(Scores2009_YOY!T12-Scores2008_YOY!T12,1)</f>
        <v>25</v>
      </c>
      <c r="T12" s="97">
        <f>ROUND(Scores2009_YOY!U12-Scores2008_YOY!U12,1)</f>
        <v>25</v>
      </c>
      <c r="U12" s="97">
        <f>ROUND(Scores2009_YOY!V12-Scores2008_YOY!V12,1)</f>
        <v>25</v>
      </c>
      <c r="V12" s="97">
        <f>ROUND(Scores2009_YOY!W12-Scores2008_YOY!W12,1)</f>
        <v>-25</v>
      </c>
      <c r="W12" s="97">
        <f>ROUND(Scores2009_YOY!X12-Scores2008_YOY!X12,1)</f>
        <v>0</v>
      </c>
      <c r="X12" s="97">
        <f>ROUND(Scores2009_YOY!Y12-Scores2008_YOY!Y12,1)</f>
        <v>0</v>
      </c>
      <c r="Y12" s="97">
        <f>ROUND(Scores2009_YOY!Z12-Scores2008_YOY!Z12,1)</f>
        <v>0</v>
      </c>
      <c r="Z12" s="97">
        <f>ROUND(Scores2009_YOY!AA12-Scores2008_YOY!AA12,1)</f>
        <v>25</v>
      </c>
      <c r="AA12" s="97">
        <f>ROUND(Scores2009_YOY!AB12-Scores2008_YOY!AB12,1)</f>
        <v>0</v>
      </c>
      <c r="AB12" s="97">
        <f>ROUND(Scores2009_YOY!AC12-Scores2008_YOY!AC12,1)</f>
        <v>0</v>
      </c>
      <c r="AC12" s="97">
        <f>ROUND(Scores2009_YOY!AD12-Scores2008_YOY!AD12,1)</f>
        <v>25</v>
      </c>
      <c r="AD12" s="97">
        <f>ROUND(Scores2009_YOY!AE12-Scores2008_YOY!AE12,1)</f>
        <v>0</v>
      </c>
      <c r="AE12" s="97">
        <f>ROUND(Scores2009_YOY!AF12-Scores2008_YOY!AF12,1)</f>
        <v>0</v>
      </c>
      <c r="AF12" s="97">
        <f>ROUND(Scores2009_YOY!AG12-Scores2008_YOY!AG12,1)</f>
        <v>0</v>
      </c>
      <c r="AG12" s="97">
        <f>ROUND(Scores2009_YOY!AH12-Scores2008_YOY!AH12,1)</f>
        <v>25</v>
      </c>
      <c r="AH12" s="97">
        <f>ROUND(Scores2009_YOY!AI12-Scores2008_YOY!AI12,1)</f>
        <v>0</v>
      </c>
      <c r="AI12" s="97">
        <f>ROUND(Scores2009_YOY!AJ12-Scores2008_YOY!AJ12,1)</f>
        <v>0</v>
      </c>
      <c r="AJ12" s="97">
        <f>ROUND(Scores2009_YOY!AK12-Scores2008_YOY!AK12,1)</f>
        <v>0</v>
      </c>
      <c r="AK12" s="97"/>
      <c r="AL12" s="97"/>
    </row>
    <row r="13" spans="1:38" s="95" customFormat="1">
      <c r="B13" s="95" t="str">
        <f>tblIndicators!A8</f>
        <v>INST</v>
      </c>
      <c r="C13" s="95" t="str">
        <f>tblIndicators!B8</f>
        <v>TOTL</v>
      </c>
      <c r="D13" s="95" t="str">
        <f>tblIndicators!D8</f>
        <v>WS</v>
      </c>
      <c r="E13" s="95">
        <f>tblIndicators!E8</f>
        <v>0</v>
      </c>
      <c r="F13" s="95">
        <f>tblIndicators!F8</f>
        <v>0</v>
      </c>
      <c r="G13" s="95">
        <f>tblIndicators!G8</f>
        <v>0</v>
      </c>
      <c r="H13" s="95">
        <f>MIN(Data2010!D10:V10)</f>
        <v>0</v>
      </c>
      <c r="I13" s="95">
        <f>MAX(Data2010!D10:V10)</f>
        <v>0</v>
      </c>
      <c r="J13" s="96">
        <f t="shared" si="0"/>
        <v>0</v>
      </c>
      <c r="K13" s="95">
        <f>MATCH(B13,Weights!C$4:C$36,0)</f>
        <v>2</v>
      </c>
      <c r="L13" s="95">
        <f>INDEX(Weights!G$4:G$36,K13)</f>
        <v>1.2</v>
      </c>
      <c r="M13" s="98">
        <f t="shared" si="1"/>
        <v>0.22222222222222221</v>
      </c>
      <c r="O13" s="95" t="str">
        <f>tblIndicators!Q8</f>
        <v>INSTITUTIONAL FRAMEWORK</v>
      </c>
      <c r="P13" s="102">
        <f t="shared" si="2"/>
        <v>0.22222222222222221</v>
      </c>
      <c r="R13" s="38">
        <f>ROUND(Scores2009_YOY!S13-Scores2008_YOY!S13,1)</f>
        <v>16.7</v>
      </c>
      <c r="S13" s="38">
        <f>ROUND(Scores2009_YOY!T13-Scores2008_YOY!T13,1)</f>
        <v>8.3000000000000007</v>
      </c>
      <c r="T13" s="38">
        <f>ROUND(Scores2009_YOY!U13-Scores2008_YOY!U13,1)</f>
        <v>25</v>
      </c>
      <c r="U13" s="38">
        <f>ROUND(Scores2009_YOY!V13-Scores2008_YOY!V13,1)</f>
        <v>16.7</v>
      </c>
      <c r="V13" s="38">
        <f>ROUND(Scores2009_YOY!W13-Scores2008_YOY!W13,1)</f>
        <v>0</v>
      </c>
      <c r="W13" s="38">
        <f>ROUND(Scores2009_YOY!X13-Scores2008_YOY!X13,1)</f>
        <v>-16.7</v>
      </c>
      <c r="X13" s="38">
        <f>ROUND(Scores2009_YOY!Y13-Scores2008_YOY!Y13,1)</f>
        <v>0</v>
      </c>
      <c r="Y13" s="38">
        <f>ROUND(Scores2009_YOY!Z13-Scores2008_YOY!Z13,1)</f>
        <v>16.7</v>
      </c>
      <c r="Z13" s="38">
        <f>ROUND(Scores2009_YOY!AA13-Scores2008_YOY!AA13,1)</f>
        <v>25</v>
      </c>
      <c r="AA13" s="38">
        <f>ROUND(Scores2009_YOY!AB13-Scores2008_YOY!AB13,1)</f>
        <v>0</v>
      </c>
      <c r="AB13" s="38">
        <f>ROUND(Scores2009_YOY!AC13-Scores2008_YOY!AC13,1)</f>
        <v>-16.7</v>
      </c>
      <c r="AC13" s="38">
        <f>ROUND(Scores2009_YOY!AD13-Scores2008_YOY!AD13,1)</f>
        <v>25</v>
      </c>
      <c r="AD13" s="38">
        <f>ROUND(Scores2009_YOY!AE13-Scores2008_YOY!AE13,1)</f>
        <v>16.7</v>
      </c>
      <c r="AE13" s="38">
        <f>ROUND(Scores2009_YOY!AF13-Scores2008_YOY!AF13,1)</f>
        <v>16.7</v>
      </c>
      <c r="AF13" s="38">
        <f>ROUND(Scores2009_YOY!AG13-Scores2008_YOY!AG13,1)</f>
        <v>0</v>
      </c>
      <c r="AG13" s="38">
        <f>ROUND(Scores2009_YOY!AH13-Scores2008_YOY!AH13,1)</f>
        <v>25</v>
      </c>
      <c r="AH13" s="38">
        <f>ROUND(Scores2009_YOY!AI13-Scores2008_YOY!AI13,1)</f>
        <v>0</v>
      </c>
      <c r="AI13" s="38">
        <f>ROUND(Scores2009_YOY!AJ13-Scores2008_YOY!AJ13,1)</f>
        <v>0</v>
      </c>
      <c r="AJ13" s="38">
        <f>ROUND(Scores2009_YOY!AK13-Scores2008_YOY!AK13,1)</f>
        <v>0</v>
      </c>
      <c r="AK13" s="38"/>
      <c r="AL13" s="38"/>
    </row>
    <row r="14" spans="1:38">
      <c r="B14" t="str">
        <f>tblIndicators!A9</f>
        <v>INST01</v>
      </c>
      <c r="C14" t="str">
        <f>tblIndicators!B9</f>
        <v>INST</v>
      </c>
      <c r="D14" t="str">
        <f>tblIndicators!D9</f>
        <v>XX</v>
      </c>
      <c r="E14">
        <f>tblIndicators!E9</f>
        <v>0</v>
      </c>
      <c r="F14">
        <f>tblIndicators!F9</f>
        <v>25</v>
      </c>
      <c r="G14">
        <f>tblIndicators!G9</f>
        <v>0</v>
      </c>
      <c r="H14">
        <f>MIN(Data2010!D11:V11)</f>
        <v>0</v>
      </c>
      <c r="I14">
        <f>MAX(Data2010!D11:V11)</f>
        <v>3</v>
      </c>
      <c r="J14" s="22">
        <f t="shared" si="0"/>
        <v>3</v>
      </c>
      <c r="K14">
        <f>MATCH(B14,Weights!C$4:C$36,0)</f>
        <v>15</v>
      </c>
      <c r="L14">
        <f>INDEX(Weights!G$4:G$36,K14)</f>
        <v>2</v>
      </c>
      <c r="M14" s="36">
        <f t="shared" si="1"/>
        <v>0.66666666666666663</v>
      </c>
      <c r="O14" t="str">
        <f>tblIndicators!Q9</f>
        <v xml:space="preserve">   Quality of institutional design</v>
      </c>
      <c r="P14" s="103">
        <f t="shared" si="2"/>
        <v>0.66666666666666663</v>
      </c>
      <c r="R14" s="38">
        <f>ROUND(Scores2009_YOY!S14-Scores2008_YOY!S14,1)</f>
        <v>25</v>
      </c>
      <c r="S14" s="38">
        <f>ROUND(Scores2009_YOY!T14-Scores2008_YOY!T14,1)</f>
        <v>0</v>
      </c>
      <c r="T14" s="38">
        <f>ROUND(Scores2009_YOY!U14-Scores2008_YOY!U14,1)</f>
        <v>25</v>
      </c>
      <c r="U14" s="38">
        <f>ROUND(Scores2009_YOY!V14-Scores2008_YOY!V14,1)</f>
        <v>25</v>
      </c>
      <c r="V14" s="38">
        <f>ROUND(Scores2009_YOY!W14-Scores2008_YOY!W14,1)</f>
        <v>0</v>
      </c>
      <c r="W14" s="38">
        <f>ROUND(Scores2009_YOY!X14-Scores2008_YOY!X14,1)</f>
        <v>-25</v>
      </c>
      <c r="X14" s="38">
        <f>ROUND(Scores2009_YOY!Y14-Scores2008_YOY!Y14,1)</f>
        <v>0</v>
      </c>
      <c r="Y14" s="38">
        <f>ROUND(Scores2009_YOY!Z14-Scores2008_YOY!Z14,1)</f>
        <v>25</v>
      </c>
      <c r="Z14" s="38">
        <f>ROUND(Scores2009_YOY!AA14-Scores2008_YOY!AA14,1)</f>
        <v>25</v>
      </c>
      <c r="AA14" s="38">
        <f>ROUND(Scores2009_YOY!AB14-Scores2008_YOY!AB14,1)</f>
        <v>0</v>
      </c>
      <c r="AB14" s="38">
        <f>ROUND(Scores2009_YOY!AC14-Scores2008_YOY!AC14,1)</f>
        <v>-25</v>
      </c>
      <c r="AC14" s="38">
        <f>ROUND(Scores2009_YOY!AD14-Scores2008_YOY!AD14,1)</f>
        <v>25</v>
      </c>
      <c r="AD14" s="38">
        <f>ROUND(Scores2009_YOY!AE14-Scores2008_YOY!AE14,1)</f>
        <v>25</v>
      </c>
      <c r="AE14" s="38">
        <f>ROUND(Scores2009_YOY!AF14-Scores2008_YOY!AF14,1)</f>
        <v>25</v>
      </c>
      <c r="AF14" s="38">
        <f>ROUND(Scores2009_YOY!AG14-Scores2008_YOY!AG14,1)</f>
        <v>0</v>
      </c>
      <c r="AG14" s="38">
        <f>ROUND(Scores2009_YOY!AH14-Scores2008_YOY!AH14,1)</f>
        <v>25</v>
      </c>
      <c r="AH14" s="38">
        <f>ROUND(Scores2009_YOY!AI14-Scores2008_YOY!AI14,1)</f>
        <v>0</v>
      </c>
      <c r="AI14" s="38">
        <f>ROUND(Scores2009_YOY!AJ14-Scores2008_YOY!AJ14,1)</f>
        <v>0</v>
      </c>
      <c r="AJ14" s="38">
        <f>ROUND(Scores2009_YOY!AK14-Scores2008_YOY!AK14,1)</f>
        <v>0</v>
      </c>
      <c r="AK14" s="38"/>
      <c r="AL14" s="38"/>
    </row>
    <row r="15" spans="1:38">
      <c r="B15" t="str">
        <f>tblIndicators!A10</f>
        <v>INST02</v>
      </c>
      <c r="C15" t="str">
        <f>tblIndicators!B10</f>
        <v>INST</v>
      </c>
      <c r="D15" t="str">
        <f>tblIndicators!D10</f>
        <v>XX</v>
      </c>
      <c r="E15">
        <f>tblIndicators!E10</f>
        <v>0</v>
      </c>
      <c r="F15">
        <f>tblIndicators!F10</f>
        <v>25</v>
      </c>
      <c r="G15">
        <f>tblIndicators!G10</f>
        <v>0</v>
      </c>
      <c r="H15">
        <f>MIN(Data2010!D12:V12)</f>
        <v>0</v>
      </c>
      <c r="I15">
        <f>MAX(Data2010!D12:V12)</f>
        <v>3</v>
      </c>
      <c r="J15" s="22">
        <f t="shared" si="0"/>
        <v>3</v>
      </c>
      <c r="K15">
        <f>MATCH(B15,Weights!C$4:C$36,0)</f>
        <v>16</v>
      </c>
      <c r="L15">
        <f>INDEX(Weights!G$4:G$36,K15)</f>
        <v>1</v>
      </c>
      <c r="M15" s="36">
        <f t="shared" si="1"/>
        <v>0.33333333333333331</v>
      </c>
      <c r="O15" t="str">
        <f>tblIndicators!Q10</f>
        <v xml:space="preserve">   PPP contract, hold-up and expropriation risk</v>
      </c>
      <c r="P15" s="103">
        <f t="shared" si="2"/>
        <v>0.33333333333333331</v>
      </c>
      <c r="R15" s="97">
        <f>ROUND(Scores2009_YOY!S15-Scores2008_YOY!S15,1)</f>
        <v>0</v>
      </c>
      <c r="S15" s="97">
        <f>ROUND(Scores2009_YOY!T15-Scores2008_YOY!T15,1)</f>
        <v>25</v>
      </c>
      <c r="T15" s="97">
        <f>ROUND(Scores2009_YOY!U15-Scores2008_YOY!U15,1)</f>
        <v>25</v>
      </c>
      <c r="U15" s="97">
        <f>ROUND(Scores2009_YOY!V15-Scores2008_YOY!V15,1)</f>
        <v>0</v>
      </c>
      <c r="V15" s="97">
        <f>ROUND(Scores2009_YOY!W15-Scores2008_YOY!W15,1)</f>
        <v>0</v>
      </c>
      <c r="W15" s="97">
        <f>ROUND(Scores2009_YOY!X15-Scores2008_YOY!X15,1)</f>
        <v>0</v>
      </c>
      <c r="X15" s="97">
        <f>ROUND(Scores2009_YOY!Y15-Scores2008_YOY!Y15,1)</f>
        <v>0</v>
      </c>
      <c r="Y15" s="97">
        <f>ROUND(Scores2009_YOY!Z15-Scores2008_YOY!Z15,1)</f>
        <v>0</v>
      </c>
      <c r="Z15" s="97">
        <f>ROUND(Scores2009_YOY!AA15-Scores2008_YOY!AA15,1)</f>
        <v>25</v>
      </c>
      <c r="AA15" s="97">
        <f>ROUND(Scores2009_YOY!AB15-Scores2008_YOY!AB15,1)</f>
        <v>0</v>
      </c>
      <c r="AB15" s="97">
        <f>ROUND(Scores2009_YOY!AC15-Scores2008_YOY!AC15,1)</f>
        <v>0</v>
      </c>
      <c r="AC15" s="97">
        <f>ROUND(Scores2009_YOY!AD15-Scores2008_YOY!AD15,1)</f>
        <v>25</v>
      </c>
      <c r="AD15" s="97">
        <f>ROUND(Scores2009_YOY!AE15-Scores2008_YOY!AE15,1)</f>
        <v>0</v>
      </c>
      <c r="AE15" s="97">
        <f>ROUND(Scores2009_YOY!AF15-Scores2008_YOY!AF15,1)</f>
        <v>0</v>
      </c>
      <c r="AF15" s="97">
        <f>ROUND(Scores2009_YOY!AG15-Scores2008_YOY!AG15,1)</f>
        <v>0</v>
      </c>
      <c r="AG15" s="97">
        <f>ROUND(Scores2009_YOY!AH15-Scores2008_YOY!AH15,1)</f>
        <v>25</v>
      </c>
      <c r="AH15" s="97">
        <f>ROUND(Scores2009_YOY!AI15-Scores2008_YOY!AI15,1)</f>
        <v>0</v>
      </c>
      <c r="AI15" s="97">
        <f>ROUND(Scores2009_YOY!AJ15-Scores2008_YOY!AJ15,1)</f>
        <v>0</v>
      </c>
      <c r="AJ15" s="97">
        <f>ROUND(Scores2009_YOY!AK15-Scores2008_YOY!AK15,1)</f>
        <v>0</v>
      </c>
      <c r="AK15" s="97"/>
      <c r="AL15" s="97"/>
    </row>
    <row r="16" spans="1:38" s="95" customFormat="1">
      <c r="B16" s="95" t="str">
        <f>tblIndicators!A11</f>
        <v>OPER</v>
      </c>
      <c r="C16" s="95" t="str">
        <f>tblIndicators!B11</f>
        <v>TOTL</v>
      </c>
      <c r="D16" s="95" t="str">
        <f>tblIndicators!D11</f>
        <v>WS</v>
      </c>
      <c r="E16" s="95">
        <f>tblIndicators!E11</f>
        <v>0</v>
      </c>
      <c r="F16" s="95">
        <f>tblIndicators!F11</f>
        <v>0</v>
      </c>
      <c r="G16" s="95">
        <f>tblIndicators!G11</f>
        <v>0</v>
      </c>
      <c r="H16" s="95">
        <f>MIN(Data2010!D13:V13)</f>
        <v>0</v>
      </c>
      <c r="I16" s="95">
        <f>MAX(Data2010!D13:V13)</f>
        <v>0</v>
      </c>
      <c r="J16" s="96">
        <f t="shared" si="0"/>
        <v>0</v>
      </c>
      <c r="K16" s="95">
        <f>MATCH(B16,Weights!C$4:C$36,0)</f>
        <v>3</v>
      </c>
      <c r="L16" s="95">
        <f>INDEX(Weights!G$4:G$36,K16)</f>
        <v>0.9</v>
      </c>
      <c r="M16" s="98">
        <f t="shared" si="1"/>
        <v>0.16666666666666666</v>
      </c>
      <c r="O16" s="95" t="str">
        <f>tblIndicators!Q11</f>
        <v>OPERATIONAL MATURITY</v>
      </c>
      <c r="P16" s="102">
        <f t="shared" si="2"/>
        <v>0.16666666666666666</v>
      </c>
      <c r="R16" s="38">
        <f>ROUND(Scores2009_YOY!S16-Scores2008_YOY!S16,1)</f>
        <v>-5.4</v>
      </c>
      <c r="S16" s="38">
        <f>ROUND(Scores2009_YOY!T16-Scores2008_YOY!T16,1)</f>
        <v>18.8</v>
      </c>
      <c r="T16" s="38">
        <f>ROUND(Scores2009_YOY!U16-Scores2008_YOY!U16,1)</f>
        <v>2</v>
      </c>
      <c r="U16" s="38">
        <f>ROUND(Scores2009_YOY!V16-Scores2008_YOY!V16,1)</f>
        <v>1.5</v>
      </c>
      <c r="V16" s="38">
        <f>ROUND(Scores2009_YOY!W16-Scores2008_YOY!W16,1)</f>
        <v>-2.8</v>
      </c>
      <c r="W16" s="38">
        <f>ROUND(Scores2009_YOY!X16-Scores2008_YOY!X16,1)</f>
        <v>-18.899999999999999</v>
      </c>
      <c r="X16" s="38">
        <f>ROUND(Scores2009_YOY!Y16-Scores2008_YOY!Y16,1)</f>
        <v>-1.1000000000000001</v>
      </c>
      <c r="Y16" s="38">
        <f>ROUND(Scores2009_YOY!Z16-Scores2008_YOY!Z16,1)</f>
        <v>3.3</v>
      </c>
      <c r="Z16" s="38">
        <f>ROUND(Scores2009_YOY!AA16-Scores2008_YOY!AA16,1)</f>
        <v>28.7</v>
      </c>
      <c r="AA16" s="38">
        <f>ROUND(Scores2009_YOY!AB16-Scores2008_YOY!AB16,1)</f>
        <v>15.6</v>
      </c>
      <c r="AB16" s="38">
        <f>ROUND(Scores2009_YOY!AC16-Scores2008_YOY!AC16,1)</f>
        <v>9.1999999999999993</v>
      </c>
      <c r="AC16" s="38">
        <f>ROUND(Scores2009_YOY!AD16-Scores2008_YOY!AD16,1)</f>
        <v>8.1</v>
      </c>
      <c r="AD16" s="38">
        <f>ROUND(Scores2009_YOY!AE16-Scores2008_YOY!AE16,1)</f>
        <v>6.6</v>
      </c>
      <c r="AE16" s="38">
        <f>ROUND(Scores2009_YOY!AF16-Scores2008_YOY!AF16,1)</f>
        <v>6.1</v>
      </c>
      <c r="AF16" s="38">
        <f>ROUND(Scores2009_YOY!AG16-Scores2008_YOY!AG16,1)</f>
        <v>9.1</v>
      </c>
      <c r="AG16" s="38">
        <f>ROUND(Scores2009_YOY!AH16-Scores2008_YOY!AH16,1)</f>
        <v>8.4</v>
      </c>
      <c r="AH16" s="38">
        <f>ROUND(Scores2009_YOY!AI16-Scores2008_YOY!AI16,1)</f>
        <v>6.2</v>
      </c>
      <c r="AI16" s="38">
        <f>ROUND(Scores2009_YOY!AJ16-Scores2008_YOY!AJ16,1)</f>
        <v>5.6</v>
      </c>
      <c r="AJ16" s="38">
        <f>ROUND(Scores2009_YOY!AK16-Scores2008_YOY!AK16,1)</f>
        <v>-6.6</v>
      </c>
      <c r="AK16" s="38"/>
      <c r="AL16" s="38"/>
    </row>
    <row r="17" spans="1:38">
      <c r="B17" t="str">
        <f>tblIndicators!A12</f>
        <v>OPER01</v>
      </c>
      <c r="C17" t="str">
        <f>tblIndicators!B12</f>
        <v>OPER</v>
      </c>
      <c r="D17" t="str">
        <f>tblIndicators!D12</f>
        <v>XX</v>
      </c>
      <c r="E17">
        <f>tblIndicators!E12</f>
        <v>0</v>
      </c>
      <c r="F17">
        <f>tblIndicators!F12</f>
        <v>25</v>
      </c>
      <c r="G17">
        <f>tblIndicators!G12</f>
        <v>0</v>
      </c>
      <c r="H17">
        <f>MIN(Data2010!D14:V14)</f>
        <v>0</v>
      </c>
      <c r="I17">
        <f>MAX(Data2010!D14:V14)</f>
        <v>3</v>
      </c>
      <c r="J17" s="22">
        <f t="shared" si="0"/>
        <v>3</v>
      </c>
      <c r="K17">
        <f>MATCH(B17,Weights!C$4:C$36,0)</f>
        <v>18</v>
      </c>
      <c r="L17">
        <f>INDEX(Weights!G$4:G$36,K17)</f>
        <v>2</v>
      </c>
      <c r="M17" s="36">
        <f t="shared" si="1"/>
        <v>0.25</v>
      </c>
      <c r="O17" t="str">
        <f>tblIndicators!Q12</f>
        <v xml:space="preserve">   Public capacity to plan and oversee PPPs</v>
      </c>
      <c r="P17" s="103">
        <f t="shared" si="2"/>
        <v>0.25</v>
      </c>
      <c r="R17" s="38">
        <f>ROUND(Scores2009_YOY!S17-Scores2008_YOY!S17,1)</f>
        <v>-25</v>
      </c>
      <c r="S17" s="38">
        <f>ROUND(Scores2009_YOY!T17-Scores2008_YOY!T17,1)</f>
        <v>25</v>
      </c>
      <c r="T17" s="38">
        <f>ROUND(Scores2009_YOY!U17-Scores2008_YOY!U17,1)</f>
        <v>0</v>
      </c>
      <c r="U17" s="38">
        <f>ROUND(Scores2009_YOY!V17-Scores2008_YOY!V17,1)</f>
        <v>0</v>
      </c>
      <c r="V17" s="38">
        <f>ROUND(Scores2009_YOY!W17-Scores2008_YOY!W17,1)</f>
        <v>0</v>
      </c>
      <c r="W17" s="38">
        <f>ROUND(Scores2009_YOY!X17-Scores2008_YOY!X17,1)</f>
        <v>-25</v>
      </c>
      <c r="X17" s="38">
        <f>ROUND(Scores2009_YOY!Y17-Scores2008_YOY!Y17,1)</f>
        <v>0</v>
      </c>
      <c r="Y17" s="38">
        <f>ROUND(Scores2009_YOY!Z17-Scores2008_YOY!Z17,1)</f>
        <v>0</v>
      </c>
      <c r="Z17" s="38">
        <f>ROUND(Scores2009_YOY!AA17-Scores2008_YOY!AA17,1)</f>
        <v>0</v>
      </c>
      <c r="AA17" s="38">
        <f>ROUND(Scores2009_YOY!AB17-Scores2008_YOY!AB17,1)</f>
        <v>0</v>
      </c>
      <c r="AB17" s="38">
        <f>ROUND(Scores2009_YOY!AC17-Scores2008_YOY!AC17,1)</f>
        <v>25</v>
      </c>
      <c r="AC17" s="38">
        <f>ROUND(Scores2009_YOY!AD17-Scores2008_YOY!AD17,1)</f>
        <v>25</v>
      </c>
      <c r="AD17" s="38">
        <f>ROUND(Scores2009_YOY!AE17-Scores2008_YOY!AE17,1)</f>
        <v>25</v>
      </c>
      <c r="AE17" s="38">
        <f>ROUND(Scores2009_YOY!AF17-Scores2008_YOY!AF17,1)</f>
        <v>0</v>
      </c>
      <c r="AF17" s="38">
        <f>ROUND(Scores2009_YOY!AG17-Scores2008_YOY!AG17,1)</f>
        <v>25</v>
      </c>
      <c r="AG17" s="38">
        <f>ROUND(Scores2009_YOY!AH17-Scores2008_YOY!AH17,1)</f>
        <v>25</v>
      </c>
      <c r="AH17" s="38">
        <f>ROUND(Scores2009_YOY!AI17-Scores2008_YOY!AI17,1)</f>
        <v>25</v>
      </c>
      <c r="AI17" s="38">
        <f>ROUND(Scores2009_YOY!AJ17-Scores2008_YOY!AJ17,1)</f>
        <v>25</v>
      </c>
      <c r="AJ17" s="38">
        <f>ROUND(Scores2009_YOY!AK17-Scores2008_YOY!AK17,1)</f>
        <v>-25</v>
      </c>
      <c r="AK17" s="38"/>
      <c r="AL17" s="38"/>
    </row>
    <row r="18" spans="1:38">
      <c r="B18" t="str">
        <f>tblIndicators!A13</f>
        <v>OPER02</v>
      </c>
      <c r="C18" t="str">
        <f>tblIndicators!B13</f>
        <v>OPER</v>
      </c>
      <c r="D18" t="str">
        <f>tblIndicators!D13</f>
        <v>XX</v>
      </c>
      <c r="E18">
        <f>tblIndicators!E13</f>
        <v>0</v>
      </c>
      <c r="F18">
        <f>tblIndicators!F13</f>
        <v>25</v>
      </c>
      <c r="G18">
        <f>tblIndicators!G13</f>
        <v>0</v>
      </c>
      <c r="H18">
        <f>MIN(Data2010!D15:V15)</f>
        <v>0</v>
      </c>
      <c r="I18">
        <f>MAX(Data2010!D15:V15)</f>
        <v>4</v>
      </c>
      <c r="J18" s="22">
        <f t="shared" si="0"/>
        <v>4</v>
      </c>
      <c r="K18">
        <f>MATCH(B18,Weights!C$4:C$36,0)</f>
        <v>19</v>
      </c>
      <c r="L18">
        <f>INDEX(Weights!G$4:G$36,K18)</f>
        <v>1</v>
      </c>
      <c r="M18" s="36">
        <f t="shared" si="1"/>
        <v>0.125</v>
      </c>
      <c r="O18" t="str">
        <f>tblIndicators!Q13</f>
        <v xml:space="preserve">   Methods and criteria for awarding projects </v>
      </c>
      <c r="P18" s="103">
        <f t="shared" si="2"/>
        <v>0.125</v>
      </c>
      <c r="R18" s="38">
        <f>ROUND(Scores2009_YOY!S18-Scores2008_YOY!S18,1)</f>
        <v>-25</v>
      </c>
      <c r="S18" s="38">
        <f>ROUND(Scores2009_YOY!T18-Scores2008_YOY!T18,1)</f>
        <v>25</v>
      </c>
      <c r="T18" s="38">
        <f>ROUND(Scores2009_YOY!U18-Scores2008_YOY!U18,1)</f>
        <v>25</v>
      </c>
      <c r="U18" s="38">
        <f>ROUND(Scores2009_YOY!V18-Scores2008_YOY!V18,1)</f>
        <v>0</v>
      </c>
      <c r="V18" s="38">
        <f>ROUND(Scores2009_YOY!W18-Scores2008_YOY!W18,1)</f>
        <v>0</v>
      </c>
      <c r="W18" s="38">
        <f>ROUND(Scores2009_YOY!X18-Scores2008_YOY!X18,1)</f>
        <v>0</v>
      </c>
      <c r="X18" s="38">
        <f>ROUND(Scores2009_YOY!Y18-Scores2008_YOY!Y18,1)</f>
        <v>0</v>
      </c>
      <c r="Y18" s="38">
        <f>ROUND(Scores2009_YOY!Z18-Scores2008_YOY!Z18,1)</f>
        <v>0</v>
      </c>
      <c r="Z18" s="38">
        <f>ROUND(Scores2009_YOY!AA18-Scores2008_YOY!AA18,1)</f>
        <v>0</v>
      </c>
      <c r="AA18" s="38">
        <f>ROUND(Scores2009_YOY!AB18-Scores2008_YOY!AB18,1)</f>
        <v>-25</v>
      </c>
      <c r="AB18" s="38">
        <f>ROUND(Scores2009_YOY!AC18-Scores2008_YOY!AC18,1)</f>
        <v>25</v>
      </c>
      <c r="AC18" s="38">
        <f>ROUND(Scores2009_YOY!AD18-Scores2008_YOY!AD18,1)</f>
        <v>25</v>
      </c>
      <c r="AD18" s="38">
        <f>ROUND(Scores2009_YOY!AE18-Scores2008_YOY!AE18,1)</f>
        <v>0</v>
      </c>
      <c r="AE18" s="38">
        <f>ROUND(Scores2009_YOY!AF18-Scores2008_YOY!AF18,1)</f>
        <v>25</v>
      </c>
      <c r="AF18" s="38">
        <f>ROUND(Scores2009_YOY!AG18-Scores2008_YOY!AG18,1)</f>
        <v>25</v>
      </c>
      <c r="AG18" s="38">
        <f>ROUND(Scores2009_YOY!AH18-Scores2008_YOY!AH18,1)</f>
        <v>25</v>
      </c>
      <c r="AH18" s="38">
        <f>ROUND(Scores2009_YOY!AI18-Scores2008_YOY!AI18,1)</f>
        <v>0</v>
      </c>
      <c r="AI18" s="38">
        <f>ROUND(Scores2009_YOY!AJ18-Scores2008_YOY!AJ18,1)</f>
        <v>0</v>
      </c>
      <c r="AJ18" s="38">
        <f>ROUND(Scores2009_YOY!AK18-Scores2008_YOY!AK18,1)</f>
        <v>0</v>
      </c>
      <c r="AK18" s="38"/>
      <c r="AL18" s="38"/>
    </row>
    <row r="19" spans="1:38">
      <c r="B19" t="str">
        <f>tblIndicators!A14</f>
        <v>OPER03</v>
      </c>
      <c r="C19" t="str">
        <f>tblIndicators!B14</f>
        <v>OPER</v>
      </c>
      <c r="D19" t="str">
        <f>tblIndicators!D14</f>
        <v>XX</v>
      </c>
      <c r="E19">
        <f>tblIndicators!E14</f>
        <v>0</v>
      </c>
      <c r="F19">
        <f>tblIndicators!F14</f>
        <v>25</v>
      </c>
      <c r="G19">
        <f>tblIndicators!G14</f>
        <v>0</v>
      </c>
      <c r="H19">
        <f>MIN(Data2010!D16:V16)</f>
        <v>0</v>
      </c>
      <c r="I19">
        <f>MAX(Data2010!D16:V16)</f>
        <v>3</v>
      </c>
      <c r="J19" s="22">
        <f t="shared" si="0"/>
        <v>3</v>
      </c>
      <c r="K19">
        <f>MATCH(B19,Weights!C$4:C$36,0)</f>
        <v>20</v>
      </c>
      <c r="L19">
        <f>INDEX(Weights!G$4:G$36,K19)</f>
        <v>1</v>
      </c>
      <c r="M19" s="36">
        <f t="shared" si="1"/>
        <v>0.125</v>
      </c>
      <c r="O19" t="str">
        <f>tblIndicators!Q14</f>
        <v xml:space="preserve">   Regulators' risk allocation record</v>
      </c>
      <c r="P19" s="103">
        <f t="shared" si="2"/>
        <v>0.125</v>
      </c>
      <c r="R19" s="38">
        <f>ROUND(Scores2009_YOY!S19-Scores2008_YOY!S19,1)</f>
        <v>0</v>
      </c>
      <c r="S19" s="38">
        <f>ROUND(Scores2009_YOY!T19-Scores2008_YOY!T19,1)</f>
        <v>25</v>
      </c>
      <c r="T19" s="38">
        <f>ROUND(Scores2009_YOY!U19-Scores2008_YOY!U19,1)</f>
        <v>25</v>
      </c>
      <c r="U19" s="38">
        <f>ROUND(Scores2009_YOY!V19-Scores2008_YOY!V19,1)</f>
        <v>0</v>
      </c>
      <c r="V19" s="38">
        <f>ROUND(Scores2009_YOY!W19-Scores2008_YOY!W19,1)</f>
        <v>-25</v>
      </c>
      <c r="W19" s="38">
        <f>ROUND(Scores2009_YOY!X19-Scores2008_YOY!X19,1)</f>
        <v>0</v>
      </c>
      <c r="X19" s="38">
        <f>ROUND(Scores2009_YOY!Y19-Scores2008_YOY!Y19,1)</f>
        <v>0</v>
      </c>
      <c r="Y19" s="38">
        <f>ROUND(Scores2009_YOY!Z19-Scores2008_YOY!Z19,1)</f>
        <v>25</v>
      </c>
      <c r="Z19" s="38">
        <f>ROUND(Scores2009_YOY!AA19-Scores2008_YOY!AA19,1)</f>
        <v>25</v>
      </c>
      <c r="AA19" s="38">
        <f>ROUND(Scores2009_YOY!AB19-Scores2008_YOY!AB19,1)</f>
        <v>0</v>
      </c>
      <c r="AB19" s="38">
        <f>ROUND(Scores2009_YOY!AC19-Scores2008_YOY!AC19,1)</f>
        <v>0</v>
      </c>
      <c r="AC19" s="38">
        <f>ROUND(Scores2009_YOY!AD19-Scores2008_YOY!AD19,1)</f>
        <v>25</v>
      </c>
      <c r="AD19" s="38">
        <f>ROUND(Scores2009_YOY!AE19-Scores2008_YOY!AE19,1)</f>
        <v>0</v>
      </c>
      <c r="AE19" s="38">
        <f>ROUND(Scores2009_YOY!AF19-Scores2008_YOY!AF19,1)</f>
        <v>25</v>
      </c>
      <c r="AF19" s="38">
        <f>ROUND(Scores2009_YOY!AG19-Scores2008_YOY!AG19,1)</f>
        <v>0</v>
      </c>
      <c r="AG19" s="38">
        <f>ROUND(Scores2009_YOY!AH19-Scores2008_YOY!AH19,1)</f>
        <v>0</v>
      </c>
      <c r="AH19" s="38">
        <f>ROUND(Scores2009_YOY!AI19-Scores2008_YOY!AI19,1)</f>
        <v>0</v>
      </c>
      <c r="AI19" s="38">
        <f>ROUND(Scores2009_YOY!AJ19-Scores2008_YOY!AJ19,1)</f>
        <v>0</v>
      </c>
      <c r="AJ19" s="38">
        <f>ROUND(Scores2009_YOY!AK19-Scores2008_YOY!AK19,1)</f>
        <v>0</v>
      </c>
      <c r="AK19" s="38"/>
      <c r="AL19" s="38"/>
    </row>
    <row r="20" spans="1:38">
      <c r="B20" t="str">
        <f>tblIndicators!A15</f>
        <v>OPER04</v>
      </c>
      <c r="C20" t="str">
        <f>tblIndicators!B15</f>
        <v>OPER</v>
      </c>
      <c r="D20" t="str">
        <f>tblIndicators!D15</f>
        <v>MM</v>
      </c>
      <c r="E20">
        <f>tblIndicators!E15</f>
        <v>0</v>
      </c>
      <c r="F20">
        <f>tblIndicators!F15</f>
        <v>1</v>
      </c>
      <c r="G20">
        <f>tblIndicators!G15</f>
        <v>0</v>
      </c>
      <c r="H20">
        <f>MIN(Data2010!D17:V17)</f>
        <v>0</v>
      </c>
      <c r="I20">
        <f>MAX(Data2010!D17:V17)</f>
        <v>168</v>
      </c>
      <c r="J20" s="22">
        <f t="shared" si="0"/>
        <v>168</v>
      </c>
      <c r="K20">
        <f>MATCH(B20,Weights!C$4:C$36,0)</f>
        <v>21</v>
      </c>
      <c r="L20">
        <f>INDEX(Weights!G$4:G$36,K20)</f>
        <v>2</v>
      </c>
      <c r="M20" s="36">
        <f t="shared" si="1"/>
        <v>0.25</v>
      </c>
      <c r="O20" t="str">
        <f>tblIndicators!Q15</f>
        <v xml:space="preserve">   Experience in PPP projects (concessions)</v>
      </c>
      <c r="P20" s="103">
        <f t="shared" si="2"/>
        <v>0.25</v>
      </c>
      <c r="R20" s="38">
        <f>ROUND(Scores2009_YOY!S20-Scores2008_YOY!S20,1)</f>
        <v>-9.3000000000000007</v>
      </c>
      <c r="S20" s="38">
        <f>ROUND(Scores2009_YOY!T20-Scores2008_YOY!T20,1)</f>
        <v>0</v>
      </c>
      <c r="T20" s="38">
        <f>ROUND(Scores2009_YOY!U20-Scores2008_YOY!U20,1)</f>
        <v>-17.100000000000001</v>
      </c>
      <c r="U20" s="38">
        <f>ROUND(Scores2009_YOY!V20-Scores2008_YOY!V20,1)</f>
        <v>-18.899999999999999</v>
      </c>
      <c r="V20" s="38">
        <f>ROUND(Scores2009_YOY!W20-Scores2008_YOY!W20,1)</f>
        <v>1.1000000000000001</v>
      </c>
      <c r="W20" s="38">
        <f>ROUND(Scores2009_YOY!X20-Scores2008_YOY!X20,1)</f>
        <v>-0.8</v>
      </c>
      <c r="X20" s="38">
        <f>ROUND(Scores2009_YOY!Y20-Scores2008_YOY!Y20,1)</f>
        <v>-4.4000000000000004</v>
      </c>
      <c r="Y20" s="38">
        <f>ROUND(Scores2009_YOY!Z20-Scores2008_YOY!Z20,1)</f>
        <v>0.6</v>
      </c>
      <c r="Z20" s="38">
        <f>ROUND(Scores2009_YOY!AA20-Scores2008_YOY!AA20,1)</f>
        <v>2.2000000000000002</v>
      </c>
      <c r="AA20" s="38">
        <f>ROUND(Scores2009_YOY!AB20-Scores2008_YOY!AB20,1)</f>
        <v>0.1</v>
      </c>
      <c r="AB20" s="38">
        <f>ROUND(Scores2009_YOY!AC20-Scores2008_YOY!AC20,1)</f>
        <v>-0.7</v>
      </c>
      <c r="AC20" s="38">
        <f>ROUND(Scores2009_YOY!AD20-Scores2008_YOY!AD20,1)</f>
        <v>-17.600000000000001</v>
      </c>
      <c r="AD20" s="38">
        <f>ROUND(Scores2009_YOY!AE20-Scores2008_YOY!AE20,1)</f>
        <v>1.4</v>
      </c>
      <c r="AE20" s="38">
        <f>ROUND(Scores2009_YOY!AF20-Scores2008_YOY!AF20,1)</f>
        <v>-0.5</v>
      </c>
      <c r="AF20" s="38">
        <f>ROUND(Scores2009_YOY!AG20-Scores2008_YOY!AG20,1)</f>
        <v>-1</v>
      </c>
      <c r="AG20" s="38">
        <f>ROUND(Scores2009_YOY!AH20-Scores2008_YOY!AH20,1)</f>
        <v>-4</v>
      </c>
      <c r="AH20" s="38">
        <f>ROUND(Scores2009_YOY!AI20-Scores2008_YOY!AI20,1)</f>
        <v>-0.4</v>
      </c>
      <c r="AI20" s="38">
        <f>ROUND(Scores2009_YOY!AJ20-Scores2008_YOY!AJ20,1)</f>
        <v>-2.4</v>
      </c>
      <c r="AJ20" s="38">
        <f>ROUND(Scores2009_YOY!AK20-Scores2008_YOY!AK20,1)</f>
        <v>-1.5</v>
      </c>
      <c r="AK20" s="38"/>
      <c r="AL20" s="38"/>
    </row>
    <row r="21" spans="1:38" s="175" customFormat="1">
      <c r="B21" s="175" t="str">
        <f>tblIndicators!A16</f>
        <v>OPER05</v>
      </c>
      <c r="C21" s="175" t="str">
        <f>tblIndicators!B16</f>
        <v>OPER</v>
      </c>
      <c r="D21" s="175" t="str">
        <f>tblIndicators!D16</f>
        <v>MM</v>
      </c>
      <c r="E21" s="175">
        <f>tblIndicators!E16</f>
        <v>0</v>
      </c>
      <c r="F21" s="175">
        <f>tblIndicators!F16</f>
        <v>25</v>
      </c>
      <c r="G21" s="175">
        <f>tblIndicators!G16</f>
        <v>0</v>
      </c>
      <c r="H21" s="175">
        <f>MIN(Data2010!D18:V18)</f>
        <v>0</v>
      </c>
      <c r="I21" s="175">
        <f>MAX(Data2010!D18:V18)</f>
        <v>4</v>
      </c>
      <c r="J21" s="22">
        <f t="shared" si="0"/>
        <v>4</v>
      </c>
      <c r="K21" s="175">
        <f>MATCH(B21,Weights!C$4:C$36,0)</f>
        <v>22</v>
      </c>
      <c r="L21" s="175">
        <f>INDEX(Weights!G$4:G$36,K21)</f>
        <v>2</v>
      </c>
      <c r="M21" s="36">
        <f t="shared" si="1"/>
        <v>0.25</v>
      </c>
      <c r="O21" s="175" t="str">
        <f>tblIndicators!Q16</f>
        <v xml:space="preserve">   Quality of PPP projects (concessions)</v>
      </c>
      <c r="P21" s="176">
        <f t="shared" si="2"/>
        <v>0.25</v>
      </c>
      <c r="R21" s="177">
        <f>ROUND(Scores2009_YOY!S21-Scores2008_YOY!S21,1)</f>
        <v>25</v>
      </c>
      <c r="S21" s="177">
        <f>ROUND(Scores2009_YOY!T21-Scores2008_YOY!T21,1)</f>
        <v>25</v>
      </c>
      <c r="T21" s="177">
        <f>ROUND(Scores2009_YOY!U21-Scores2008_YOY!U21,1)</f>
        <v>0</v>
      </c>
      <c r="U21" s="177">
        <f>ROUND(Scores2009_YOY!V21-Scores2008_YOY!V21,1)</f>
        <v>25</v>
      </c>
      <c r="V21" s="177">
        <f>ROUND(Scores2009_YOY!W21-Scores2008_YOY!W21,1)</f>
        <v>0</v>
      </c>
      <c r="W21" s="177">
        <f>ROUND(Scores2009_YOY!X21-Scores2008_YOY!X21,1)</f>
        <v>-50</v>
      </c>
      <c r="X21" s="177">
        <f>ROUND(Scores2009_YOY!Y21-Scores2008_YOY!Y21,1)</f>
        <v>0</v>
      </c>
      <c r="Y21" s="177">
        <f>ROUND(Scores2009_YOY!Z21-Scores2008_YOY!Z21,1)</f>
        <v>0</v>
      </c>
      <c r="Z21" s="177">
        <f>ROUND(Scores2009_YOY!AA21-Scores2008_YOY!AA21,1)</f>
        <v>100</v>
      </c>
      <c r="AA21" s="177">
        <f>ROUND(Scores2009_YOY!AB21-Scores2008_YOY!AB21,1)</f>
        <v>75</v>
      </c>
      <c r="AB21" s="177">
        <f>ROUND(Scores2009_YOY!AC21-Scores2008_YOY!AC21,1)</f>
        <v>0</v>
      </c>
      <c r="AC21" s="177">
        <f>ROUND(Scores2009_YOY!AD21-Scores2008_YOY!AD21,1)</f>
        <v>0</v>
      </c>
      <c r="AD21" s="177">
        <f>ROUND(Scores2009_YOY!AE21-Scores2008_YOY!AE21,1)</f>
        <v>0</v>
      </c>
      <c r="AE21" s="177">
        <f>ROUND(Scores2009_YOY!AF21-Scores2008_YOY!AF21,1)</f>
        <v>0</v>
      </c>
      <c r="AF21" s="177">
        <f>ROUND(Scores2009_YOY!AG21-Scores2008_YOY!AG21,1)</f>
        <v>0</v>
      </c>
      <c r="AG21" s="177">
        <f>ROUND(Scores2009_YOY!AH21-Scores2008_YOY!AH21,1)</f>
        <v>0</v>
      </c>
      <c r="AH21" s="177">
        <f>ROUND(Scores2009_YOY!AI21-Scores2008_YOY!AI21,1)</f>
        <v>0</v>
      </c>
      <c r="AI21" s="177">
        <f>ROUND(Scores2009_YOY!AJ21-Scores2008_YOY!AJ21,1)</f>
        <v>0</v>
      </c>
      <c r="AJ21" s="177">
        <f>ROUND(Scores2009_YOY!AK21-Scores2008_YOY!AK21,1)</f>
        <v>0</v>
      </c>
      <c r="AK21" s="177"/>
      <c r="AL21" s="177"/>
    </row>
    <row r="22" spans="1:38" s="39" customFormat="1">
      <c r="B22" s="39" t="str">
        <f>tblIndicators!A17</f>
        <v>INVT</v>
      </c>
      <c r="C22" s="39" t="str">
        <f>tblIndicators!B17</f>
        <v>TOTL</v>
      </c>
      <c r="D22" s="39" t="str">
        <f>tblIndicators!D17</f>
        <v>WS</v>
      </c>
      <c r="E22" s="39">
        <f>tblIndicators!E17</f>
        <v>0</v>
      </c>
      <c r="F22" s="39">
        <f>tblIndicators!F17</f>
        <v>0</v>
      </c>
      <c r="G22" s="39">
        <f>tblIndicators!G17</f>
        <v>0</v>
      </c>
      <c r="H22" s="39">
        <f>MIN(Data2010!D19:V19)</f>
        <v>0</v>
      </c>
      <c r="I22" s="39">
        <f>MAX(Data2010!D19:V19)</f>
        <v>0</v>
      </c>
      <c r="J22" s="96">
        <f t="shared" si="0"/>
        <v>0</v>
      </c>
      <c r="K22" s="39">
        <f>MATCH(B22,Weights!C$4:C$36,0)</f>
        <v>4</v>
      </c>
      <c r="L22" s="39">
        <f>INDEX(Weights!G$4:G$36,K22)</f>
        <v>0.9</v>
      </c>
      <c r="M22" s="98">
        <f t="shared" si="1"/>
        <v>0.16666666666666666</v>
      </c>
      <c r="O22" s="39" t="str">
        <f>tblIndicators!Q17</f>
        <v>INVESTMENT CLIMATE</v>
      </c>
      <c r="P22" s="102">
        <f t="shared" si="2"/>
        <v>0.16666666666666666</v>
      </c>
      <c r="R22" s="174">
        <f>ROUND(Scores2009_YOY!S22-Scores2008_YOY!S22,1)</f>
        <v>-6.3</v>
      </c>
      <c r="S22" s="174">
        <f>ROUND(Scores2009_YOY!T22-Scores2008_YOY!T22,1)</f>
        <v>0</v>
      </c>
      <c r="T22" s="174">
        <f>ROUND(Scores2009_YOY!U22-Scores2008_YOY!U22,1)</f>
        <v>-0.5</v>
      </c>
      <c r="U22" s="174">
        <f>ROUND(Scores2009_YOY!V22-Scores2008_YOY!V22,1)</f>
        <v>0.8</v>
      </c>
      <c r="V22" s="174">
        <f>ROUND(Scores2009_YOY!W22-Scores2008_YOY!W22,1)</f>
        <v>0</v>
      </c>
      <c r="W22" s="174">
        <f>ROUND(Scores2009_YOY!X22-Scores2008_YOY!X22,1)</f>
        <v>1.4</v>
      </c>
      <c r="X22" s="174">
        <f>ROUND(Scores2009_YOY!Y22-Scores2008_YOY!Y22,1)</f>
        <v>2.1</v>
      </c>
      <c r="Y22" s="174">
        <f>ROUND(Scores2009_YOY!Z22-Scores2008_YOY!Z22,1)</f>
        <v>-6.6</v>
      </c>
      <c r="Z22" s="174">
        <f>ROUND(Scores2009_YOY!AA22-Scores2008_YOY!AA22,1)</f>
        <v>5</v>
      </c>
      <c r="AA22" s="174">
        <f>ROUND(Scores2009_YOY!AB22-Scores2008_YOY!AB22,1)</f>
        <v>-1.8</v>
      </c>
      <c r="AB22" s="174">
        <f>ROUND(Scores2009_YOY!AC22-Scores2008_YOY!AC22,1)</f>
        <v>-0.7</v>
      </c>
      <c r="AC22" s="174">
        <f>ROUND(Scores2009_YOY!AD22-Scores2008_YOY!AD22,1)</f>
        <v>-5.7</v>
      </c>
      <c r="AD22" s="174">
        <f>ROUND(Scores2009_YOY!AE22-Scores2008_YOY!AE22,1)</f>
        <v>-0.8</v>
      </c>
      <c r="AE22" s="174">
        <f>ROUND(Scores2009_YOY!AF22-Scores2008_YOY!AF22,1)</f>
        <v>-1</v>
      </c>
      <c r="AF22" s="174">
        <f>ROUND(Scores2009_YOY!AG22-Scores2008_YOY!AG22,1)</f>
        <v>-3.9</v>
      </c>
      <c r="AG22" s="174">
        <f>ROUND(Scores2009_YOY!AH22-Scores2008_YOY!AH22,1)</f>
        <v>1.2</v>
      </c>
      <c r="AH22" s="174">
        <f>ROUND(Scores2009_YOY!AI22-Scores2008_YOY!AI22,1)</f>
        <v>-3.9</v>
      </c>
      <c r="AI22" s="174">
        <f>ROUND(Scores2009_YOY!AJ22-Scores2008_YOY!AJ22,1)</f>
        <v>1.5</v>
      </c>
      <c r="AJ22" s="174">
        <f>ROUND(Scores2009_YOY!AK22-Scores2008_YOY!AK22,1)</f>
        <v>-6.3</v>
      </c>
      <c r="AK22" s="174"/>
      <c r="AL22" s="174"/>
    </row>
    <row r="23" spans="1:38">
      <c r="B23" t="str">
        <f>tblIndicators!A18</f>
        <v>INVT01</v>
      </c>
      <c r="C23" t="str">
        <f>tblIndicators!B18</f>
        <v>INVT</v>
      </c>
      <c r="D23" t="str">
        <f>tblIndicators!D18</f>
        <v>XX</v>
      </c>
      <c r="E23">
        <f>tblIndicators!E18</f>
        <v>0</v>
      </c>
      <c r="F23">
        <f>tblIndicators!F18</f>
        <v>1</v>
      </c>
      <c r="G23">
        <f>tblIndicators!G18</f>
        <v>0</v>
      </c>
      <c r="H23">
        <f>MIN(Data2010!D20:V20)</f>
        <v>13.745995807127882</v>
      </c>
      <c r="I23">
        <f>MAX(Data2010!D20:V20)</f>
        <v>73.744616053998584</v>
      </c>
      <c r="J23" s="22">
        <f t="shared" si="0"/>
        <v>59.998620246870701</v>
      </c>
      <c r="K23">
        <f>MATCH(B23,Weights!C$4:C$36,0)</f>
        <v>24</v>
      </c>
      <c r="L23">
        <f>INDEX(Weights!G$4:G$36,K23)</f>
        <v>1</v>
      </c>
      <c r="M23" s="36">
        <f t="shared" si="1"/>
        <v>0.25</v>
      </c>
      <c r="O23" t="str">
        <f>tblIndicators!Q18</f>
        <v xml:space="preserve">   Political distortion</v>
      </c>
      <c r="P23" s="103">
        <f t="shared" si="2"/>
        <v>0.25</v>
      </c>
      <c r="R23" s="38">
        <f>ROUND(Scores2009_YOY!S23-Scores2008_YOY!S23,1)</f>
        <v>-1</v>
      </c>
      <c r="S23" s="38">
        <f>ROUND(Scores2009_YOY!T23-Scores2008_YOY!T23,1)</f>
        <v>0</v>
      </c>
      <c r="T23" s="38">
        <f>ROUND(Scores2009_YOY!U23-Scores2008_YOY!U23,1)</f>
        <v>-0.2</v>
      </c>
      <c r="U23" s="38">
        <f>ROUND(Scores2009_YOY!V23-Scores2008_YOY!V23,1)</f>
        <v>1.2</v>
      </c>
      <c r="V23" s="38">
        <f>ROUND(Scores2009_YOY!W23-Scores2008_YOY!W23,1)</f>
        <v>0.6</v>
      </c>
      <c r="W23" s="38">
        <f>ROUND(Scores2009_YOY!X23-Scores2008_YOY!X23,1)</f>
        <v>-1</v>
      </c>
      <c r="X23" s="38">
        <f>ROUND(Scores2009_YOY!Y23-Scores2008_YOY!Y23,1)</f>
        <v>3.2</v>
      </c>
      <c r="Y23" s="38">
        <f>ROUND(Scores2009_YOY!Z23-Scores2008_YOY!Z23,1)</f>
        <v>-2.2000000000000002</v>
      </c>
      <c r="Z23" s="38">
        <f>ROUND(Scores2009_YOY!AA23-Scores2008_YOY!AA23,1)</f>
        <v>1.4</v>
      </c>
      <c r="AA23" s="38">
        <f>ROUND(Scores2009_YOY!AB23-Scores2008_YOY!AB23,1)</f>
        <v>0</v>
      </c>
      <c r="AB23" s="38">
        <f>ROUND(Scores2009_YOY!AC23-Scores2008_YOY!AC23,1)</f>
        <v>0</v>
      </c>
      <c r="AC23" s="38">
        <f>ROUND(Scores2009_YOY!AD23-Scores2008_YOY!AD23,1)</f>
        <v>-1</v>
      </c>
      <c r="AD23" s="38">
        <f>ROUND(Scores2009_YOY!AE23-Scores2008_YOY!AE23,1)</f>
        <v>-3</v>
      </c>
      <c r="AE23" s="38">
        <f>ROUND(Scores2009_YOY!AF23-Scores2008_YOY!AF23,1)</f>
        <v>0</v>
      </c>
      <c r="AF23" s="38">
        <f>ROUND(Scores2009_YOY!AG23-Scores2008_YOY!AG23,1)</f>
        <v>0</v>
      </c>
      <c r="AG23" s="38">
        <f>ROUND(Scores2009_YOY!AH23-Scores2008_YOY!AH23,1)</f>
        <v>1.2</v>
      </c>
      <c r="AH23" s="38">
        <f>ROUND(Scores2009_YOY!AI23-Scores2008_YOY!AI23,1)</f>
        <v>-1</v>
      </c>
      <c r="AI23" s="38">
        <f>ROUND(Scores2009_YOY!AJ23-Scores2008_YOY!AJ23,1)</f>
        <v>1</v>
      </c>
      <c r="AJ23" s="38">
        <f>ROUND(Scores2009_YOY!AK23-Scores2008_YOY!AK23,1)</f>
        <v>0</v>
      </c>
      <c r="AK23" s="38"/>
      <c r="AL23" s="38"/>
    </row>
    <row r="24" spans="1:38">
      <c r="B24" t="str">
        <f>tblIndicators!A19</f>
        <v>INVT02</v>
      </c>
      <c r="C24" t="str">
        <f>tblIndicators!B19</f>
        <v>INVT</v>
      </c>
      <c r="D24" t="str">
        <f>tblIndicators!D19</f>
        <v>XX</v>
      </c>
      <c r="E24">
        <f>tblIndicators!E19</f>
        <v>0</v>
      </c>
      <c r="F24">
        <f>tblIndicators!F19</f>
        <v>1</v>
      </c>
      <c r="G24">
        <f>tblIndicators!G19</f>
        <v>0</v>
      </c>
      <c r="H24">
        <f>MIN(Data2010!D21:V21)</f>
        <v>28.421976137748572</v>
      </c>
      <c r="I24">
        <f>MAX(Data2010!D21:V21)</f>
        <v>67.807589292777578</v>
      </c>
      <c r="J24" s="22">
        <f t="shared" si="0"/>
        <v>39.385613155029006</v>
      </c>
      <c r="K24">
        <f>MATCH(B24,Weights!C$4:C$36,0)</f>
        <v>25</v>
      </c>
      <c r="L24">
        <f>INDEX(Weights!G$4:G$36,K24)</f>
        <v>1</v>
      </c>
      <c r="M24" s="36">
        <f t="shared" si="1"/>
        <v>0.25</v>
      </c>
      <c r="O24" t="str">
        <f>tblIndicators!Q19</f>
        <v xml:space="preserve">   Business environment</v>
      </c>
      <c r="P24" s="103">
        <f t="shared" si="2"/>
        <v>0.25</v>
      </c>
      <c r="R24" s="38">
        <f>ROUND(Scores2009_YOY!S24-Scores2008_YOY!S24,1)</f>
        <v>-11.5</v>
      </c>
      <c r="S24" s="38">
        <f>ROUND(Scores2009_YOY!T24-Scores2008_YOY!T24,1)</f>
        <v>0</v>
      </c>
      <c r="T24" s="38">
        <f>ROUND(Scores2009_YOY!U24-Scores2008_YOY!U24,1)</f>
        <v>-0.9</v>
      </c>
      <c r="U24" s="38">
        <f>ROUND(Scores2009_YOY!V24-Scores2008_YOY!V24,1)</f>
        <v>0.4</v>
      </c>
      <c r="V24" s="38">
        <f>ROUND(Scores2009_YOY!W24-Scores2008_YOY!W24,1)</f>
        <v>-0.5</v>
      </c>
      <c r="W24" s="38">
        <f>ROUND(Scores2009_YOY!X24-Scores2008_YOY!X24,1)</f>
        <v>3.8</v>
      </c>
      <c r="X24" s="38">
        <f>ROUND(Scores2009_YOY!Y24-Scores2008_YOY!Y24,1)</f>
        <v>1</v>
      </c>
      <c r="Y24" s="38">
        <f>ROUND(Scores2009_YOY!Z24-Scores2008_YOY!Z24,1)</f>
        <v>-10.9</v>
      </c>
      <c r="Z24" s="38">
        <f>ROUND(Scores2009_YOY!AA24-Scores2008_YOY!AA24,1)</f>
        <v>8.6</v>
      </c>
      <c r="AA24" s="38">
        <f>ROUND(Scores2009_YOY!AB24-Scores2008_YOY!AB24,1)</f>
        <v>-3.6</v>
      </c>
      <c r="AB24" s="38">
        <f>ROUND(Scores2009_YOY!AC24-Scores2008_YOY!AC24,1)</f>
        <v>-1.4</v>
      </c>
      <c r="AC24" s="38">
        <f>ROUND(Scores2009_YOY!AD24-Scores2008_YOY!AD24,1)</f>
        <v>-10.3</v>
      </c>
      <c r="AD24" s="38">
        <f>ROUND(Scores2009_YOY!AE24-Scores2008_YOY!AE24,1)</f>
        <v>1.4</v>
      </c>
      <c r="AE24" s="38">
        <f>ROUND(Scores2009_YOY!AF24-Scores2008_YOY!AF24,1)</f>
        <v>-2</v>
      </c>
      <c r="AF24" s="38">
        <f>ROUND(Scores2009_YOY!AG24-Scores2008_YOY!AG24,1)</f>
        <v>-7.8</v>
      </c>
      <c r="AG24" s="38">
        <f>ROUND(Scores2009_YOY!AH24-Scores2008_YOY!AH24,1)</f>
        <v>1.3</v>
      </c>
      <c r="AH24" s="38">
        <f>ROUND(Scores2009_YOY!AI24-Scores2008_YOY!AI24,1)</f>
        <v>-6.9</v>
      </c>
      <c r="AI24" s="38">
        <f>ROUND(Scores2009_YOY!AJ24-Scores2008_YOY!AJ24,1)</f>
        <v>2</v>
      </c>
      <c r="AJ24" s="38">
        <f>ROUND(Scores2009_YOY!AK24-Scores2008_YOY!AK24,1)</f>
        <v>-12.6</v>
      </c>
      <c r="AK24" s="38"/>
      <c r="AL24" s="38"/>
    </row>
    <row r="25" spans="1:38">
      <c r="A25" s="175"/>
      <c r="B25" s="175" t="str">
        <f>tblIndicators!A20</f>
        <v>INVT03</v>
      </c>
      <c r="C25" s="175" t="str">
        <f>tblIndicators!B20</f>
        <v>INVT</v>
      </c>
      <c r="D25" s="175" t="str">
        <f>tblIndicators!D20</f>
        <v>MM</v>
      </c>
      <c r="E25" s="175">
        <f>tblIndicators!E20</f>
        <v>0</v>
      </c>
      <c r="F25" s="175">
        <f>tblIndicators!F20</f>
        <v>33.333333333333336</v>
      </c>
      <c r="G25" s="175">
        <f>tblIndicators!G20</f>
        <v>0</v>
      </c>
      <c r="H25" s="175">
        <f>MIN(Data2010!D22:V22)</f>
        <v>0</v>
      </c>
      <c r="I25" s="175">
        <f>MAX(Data2010!D22:V22)</f>
        <v>3</v>
      </c>
      <c r="J25" s="22">
        <f t="shared" si="0"/>
        <v>3</v>
      </c>
      <c r="K25" s="175">
        <f>MATCH(B25,Weights!C$4:C$36,0)</f>
        <v>26</v>
      </c>
      <c r="L25" s="175">
        <f>INDEX(Weights!G$4:G$36,K25)</f>
        <v>2</v>
      </c>
      <c r="M25" s="36">
        <f t="shared" si="1"/>
        <v>0.5</v>
      </c>
      <c r="N25" s="175"/>
      <c r="O25" s="175" t="str">
        <f>tblIndicators!Q20</f>
        <v xml:space="preserve">   Political will</v>
      </c>
      <c r="P25" s="176">
        <f t="shared" si="2"/>
        <v>0.5</v>
      </c>
      <c r="Q25" s="175"/>
      <c r="R25" s="177">
        <f>ROUND(Scores2009_YOY!S25-Scores2008_YOY!S25,1)</f>
        <v>-58</v>
      </c>
      <c r="S25" s="177">
        <f>ROUND(Scores2009_YOY!T25-Scores2008_YOY!T25,1)</f>
        <v>-27</v>
      </c>
      <c r="T25" s="177">
        <f>ROUND(Scores2009_YOY!U25-Scores2008_YOY!U25,1)</f>
        <v>13.9</v>
      </c>
      <c r="U25" s="177">
        <f>ROUND(Scores2009_YOY!V25-Scores2008_YOY!V25,1)</f>
        <v>28.2</v>
      </c>
      <c r="V25" s="177">
        <f>ROUND(Scores2009_YOY!W25-Scores2008_YOY!W25,1)</f>
        <v>-46.3</v>
      </c>
      <c r="W25" s="177">
        <f>ROUND(Scores2009_YOY!X25-Scores2008_YOY!X25,1)</f>
        <v>5.3</v>
      </c>
      <c r="X25" s="177">
        <f>ROUND(Scores2009_YOY!Y25-Scores2008_YOY!Y25,1)</f>
        <v>-47.3</v>
      </c>
      <c r="Y25" s="177">
        <f>ROUND(Scores2009_YOY!Z25-Scores2008_YOY!Z25,1)</f>
        <v>-13.7</v>
      </c>
      <c r="Z25" s="177">
        <f>ROUND(Scores2009_YOY!AA25-Scores2008_YOY!AA25,1)</f>
        <v>24</v>
      </c>
      <c r="AA25" s="177">
        <f>ROUND(Scores2009_YOY!AB25-Scores2008_YOY!AB25,1)</f>
        <v>0.7</v>
      </c>
      <c r="AB25" s="177">
        <f>ROUND(Scores2009_YOY!AC25-Scores2008_YOY!AC25,1)</f>
        <v>33.299999999999997</v>
      </c>
      <c r="AC25" s="177">
        <f>ROUND(Scores2009_YOY!AD25-Scores2008_YOY!AD25,1)</f>
        <v>-1</v>
      </c>
      <c r="AD25" s="177">
        <f>ROUND(Scores2009_YOY!AE25-Scores2008_YOY!AE25,1)</f>
        <v>-90</v>
      </c>
      <c r="AE25" s="177">
        <f>ROUND(Scores2009_YOY!AF25-Scores2008_YOY!AF25,1)</f>
        <v>3.6</v>
      </c>
      <c r="AF25" s="177">
        <f>ROUND(Scores2009_YOY!AG25-Scores2008_YOY!AG25,1)</f>
        <v>-66.7</v>
      </c>
      <c r="AG25" s="177">
        <f>ROUND(Scores2009_YOY!AH25-Scores2008_YOY!AH25,1)</f>
        <v>22</v>
      </c>
      <c r="AH25" s="177">
        <f>ROUND(Scores2009_YOY!AI25-Scores2008_YOY!AI25,1)</f>
        <v>-34.1</v>
      </c>
      <c r="AI25" s="177">
        <f>ROUND(Scores2009_YOY!AJ25-Scores2008_YOY!AJ25,1)</f>
        <v>-62.5</v>
      </c>
      <c r="AJ25" s="177">
        <f>ROUND(Scores2009_YOY!AK25-Scores2008_YOY!AK25,1)</f>
        <v>-64.8</v>
      </c>
      <c r="AK25" s="177"/>
      <c r="AL25" s="177"/>
    </row>
    <row r="26" spans="1:38" s="39" customFormat="1">
      <c r="B26" s="39" t="str">
        <f>tblIndicators!A21</f>
        <v>FINC</v>
      </c>
      <c r="C26" s="39" t="str">
        <f>tblIndicators!B21</f>
        <v>TOTL</v>
      </c>
      <c r="D26" s="39" t="str">
        <f>tblIndicators!D21</f>
        <v>WS</v>
      </c>
      <c r="E26" s="39">
        <f>tblIndicators!E21</f>
        <v>0</v>
      </c>
      <c r="F26" s="39">
        <f>tblIndicators!F21</f>
        <v>0</v>
      </c>
      <c r="G26" s="39">
        <f>tblIndicators!G21</f>
        <v>0</v>
      </c>
      <c r="H26" s="39">
        <f>MIN(Data2010!D23:V23)</f>
        <v>0</v>
      </c>
      <c r="I26" s="39">
        <f>MAX(Data2010!D23:V23)</f>
        <v>0</v>
      </c>
      <c r="J26" s="96">
        <f t="shared" si="0"/>
        <v>0</v>
      </c>
      <c r="K26" s="39">
        <f>MATCH(B26,Weights!C$4:C$36,0)</f>
        <v>5</v>
      </c>
      <c r="L26" s="39">
        <f>INDEX(Weights!G$4:G$36,K26)</f>
        <v>0.9</v>
      </c>
      <c r="M26" s="98">
        <f t="shared" si="1"/>
        <v>0.16666666666666666</v>
      </c>
      <c r="O26" s="39" t="str">
        <f>tblIndicators!Q21</f>
        <v>FINANCIAL FACILITIES</v>
      </c>
      <c r="P26" s="102">
        <f t="shared" si="2"/>
        <v>0.16666666666666666</v>
      </c>
      <c r="R26" s="187">
        <f>ROUND(Scores2009_YOY!S26-Scores2008_YOY!S26,1)</f>
        <v>5.6</v>
      </c>
      <c r="S26" s="187">
        <f>ROUND(Scores2009_YOY!T26-Scores2008_YOY!T26,1)</f>
        <v>8.3000000000000007</v>
      </c>
      <c r="T26" s="187">
        <f>ROUND(Scores2009_YOY!U26-Scores2008_YOY!U26,1)</f>
        <v>0</v>
      </c>
      <c r="U26" s="187">
        <f>ROUND(Scores2009_YOY!V26-Scores2008_YOY!V26,1)</f>
        <v>0</v>
      </c>
      <c r="V26" s="187">
        <f>ROUND(Scores2009_YOY!W26-Scores2008_YOY!W26,1)</f>
        <v>0</v>
      </c>
      <c r="W26" s="187">
        <f>ROUND(Scores2009_YOY!X26-Scores2008_YOY!X26,1)</f>
        <v>8.3000000000000007</v>
      </c>
      <c r="X26" s="187">
        <f>ROUND(Scores2009_YOY!Y26-Scores2008_YOY!Y26,1)</f>
        <v>-2.8</v>
      </c>
      <c r="Y26" s="187">
        <f>ROUND(Scores2009_YOY!Z26-Scores2008_YOY!Z26,1)</f>
        <v>0</v>
      </c>
      <c r="Z26" s="187">
        <f>ROUND(Scores2009_YOY!AA26-Scores2008_YOY!AA26,1)</f>
        <v>0</v>
      </c>
      <c r="AA26" s="187">
        <f>ROUND(Scores2009_YOY!AB26-Scores2008_YOY!AB26,1)</f>
        <v>2.8</v>
      </c>
      <c r="AB26" s="187">
        <f>ROUND(Scores2009_YOY!AC26-Scores2008_YOY!AC26,1)</f>
        <v>2.8</v>
      </c>
      <c r="AC26" s="187">
        <f>ROUND(Scores2009_YOY!AD26-Scores2008_YOY!AD26,1)</f>
        <v>2.8</v>
      </c>
      <c r="AD26" s="187">
        <f>ROUND(Scores2009_YOY!AE26-Scores2008_YOY!AE26,1)</f>
        <v>2.8</v>
      </c>
      <c r="AE26" s="187">
        <f>ROUND(Scores2009_YOY!AF26-Scores2008_YOY!AF26,1)</f>
        <v>0</v>
      </c>
      <c r="AF26" s="187">
        <f>ROUND(Scores2009_YOY!AG26-Scores2008_YOY!AG26,1)</f>
        <v>0</v>
      </c>
      <c r="AG26" s="187">
        <f>ROUND(Scores2009_YOY!AH26-Scores2008_YOY!AH26,1)</f>
        <v>2.8</v>
      </c>
      <c r="AH26" s="187">
        <f>ROUND(Scores2009_YOY!AI26-Scores2008_YOY!AI26,1)</f>
        <v>0</v>
      </c>
      <c r="AI26" s="187">
        <f>ROUND(Scores2009_YOY!AJ26-Scores2008_YOY!AJ26,1)</f>
        <v>5.6</v>
      </c>
      <c r="AJ26" s="187">
        <f>ROUND(Scores2009_YOY!AK26-Scores2008_YOY!AK26,1)</f>
        <v>-5.6</v>
      </c>
      <c r="AK26" s="187"/>
      <c r="AL26" s="187"/>
    </row>
    <row r="27" spans="1:38">
      <c r="B27" t="str">
        <f>tblIndicators!A22</f>
        <v>FINC01</v>
      </c>
      <c r="C27" t="str">
        <f>tblIndicators!B22</f>
        <v>FINC</v>
      </c>
      <c r="D27" t="str">
        <f>tblIndicators!D22</f>
        <v>XX</v>
      </c>
      <c r="E27">
        <f>tblIndicators!E22</f>
        <v>0</v>
      </c>
      <c r="F27">
        <f>tblIndicators!F22</f>
        <v>25</v>
      </c>
      <c r="G27">
        <f>tblIndicators!G22</f>
        <v>0</v>
      </c>
      <c r="H27">
        <f>MIN(Data2010!D24:V24)</f>
        <v>0</v>
      </c>
      <c r="I27">
        <f>MAX(Data2010!D24:V24)</f>
        <v>4</v>
      </c>
      <c r="J27" s="22">
        <f t="shared" si="0"/>
        <v>4</v>
      </c>
      <c r="K27">
        <f>MATCH(B27,Weights!C$4:C$36,0)</f>
        <v>28</v>
      </c>
      <c r="L27">
        <f>INDEX(Weights!G$4:G$36,K27)</f>
        <v>1</v>
      </c>
      <c r="M27" s="36">
        <f t="shared" si="1"/>
        <v>0.22222222222222221</v>
      </c>
      <c r="O27" t="str">
        <f>tblIndicators!Q22</f>
        <v xml:space="preserve">   Government payment risk</v>
      </c>
      <c r="P27" s="103">
        <f t="shared" si="2"/>
        <v>0.22222222222222221</v>
      </c>
      <c r="R27" s="38">
        <f>ROUND(Scores2009_YOY!S27-Scores2008_YOY!S27,1)</f>
        <v>25</v>
      </c>
      <c r="S27" s="38">
        <f>ROUND(Scores2009_YOY!T27-Scores2008_YOY!T27,1)</f>
        <v>0</v>
      </c>
      <c r="T27" s="38">
        <f>ROUND(Scores2009_YOY!U27-Scores2008_YOY!U27,1)</f>
        <v>0</v>
      </c>
      <c r="U27" s="38">
        <f>ROUND(Scores2009_YOY!V27-Scores2008_YOY!V27,1)</f>
        <v>0</v>
      </c>
      <c r="V27" s="38">
        <f>ROUND(Scores2009_YOY!W27-Scores2008_YOY!W27,1)</f>
        <v>0</v>
      </c>
      <c r="W27" s="38">
        <f>ROUND(Scores2009_YOY!X27-Scores2008_YOY!X27,1)</f>
        <v>25</v>
      </c>
      <c r="X27" s="38">
        <f>ROUND(Scores2009_YOY!Y27-Scores2008_YOY!Y27,1)</f>
        <v>0</v>
      </c>
      <c r="Y27" s="38">
        <f>ROUND(Scores2009_YOY!Z27-Scores2008_YOY!Z27,1)</f>
        <v>0</v>
      </c>
      <c r="Z27" s="38">
        <f>ROUND(Scores2009_YOY!AA27-Scores2008_YOY!AA27,1)</f>
        <v>0</v>
      </c>
      <c r="AA27" s="38">
        <f>ROUND(Scores2009_YOY!AB27-Scores2008_YOY!AB27,1)</f>
        <v>0</v>
      </c>
      <c r="AB27" s="38">
        <f>ROUND(Scores2009_YOY!AC27-Scores2008_YOY!AC27,1)</f>
        <v>0</v>
      </c>
      <c r="AC27" s="38">
        <f>ROUND(Scores2009_YOY!AD27-Scores2008_YOY!AD27,1)</f>
        <v>0</v>
      </c>
      <c r="AD27" s="38">
        <f>ROUND(Scores2009_YOY!AE27-Scores2008_YOY!AE27,1)</f>
        <v>0</v>
      </c>
      <c r="AE27" s="38">
        <f>ROUND(Scores2009_YOY!AF27-Scores2008_YOY!AF27,1)</f>
        <v>0</v>
      </c>
      <c r="AF27" s="38">
        <f>ROUND(Scores2009_YOY!AG27-Scores2008_YOY!AG27,1)</f>
        <v>0</v>
      </c>
      <c r="AG27" s="38">
        <f>ROUND(Scores2009_YOY!AH27-Scores2008_YOY!AH27,1)</f>
        <v>0</v>
      </c>
      <c r="AH27" s="38">
        <f>ROUND(Scores2009_YOY!AI27-Scores2008_YOY!AI27,1)</f>
        <v>0</v>
      </c>
      <c r="AI27" s="38">
        <f>ROUND(Scores2009_YOY!AJ27-Scores2008_YOY!AJ27,1)</f>
        <v>25</v>
      </c>
      <c r="AJ27" s="38">
        <f>ROUND(Scores2009_YOY!AK27-Scores2008_YOY!AK27,1)</f>
        <v>-25</v>
      </c>
      <c r="AK27" s="38"/>
      <c r="AL27" s="38"/>
    </row>
    <row r="28" spans="1:38">
      <c r="B28" t="str">
        <f>tblIndicators!A23</f>
        <v>FINC02</v>
      </c>
      <c r="C28" t="str">
        <f>tblIndicators!B23</f>
        <v>FINC</v>
      </c>
      <c r="D28" t="str">
        <f>tblIndicators!D23</f>
        <v>XX</v>
      </c>
      <c r="E28">
        <f>tblIndicators!E23</f>
        <v>0</v>
      </c>
      <c r="F28">
        <f>tblIndicators!F23</f>
        <v>25</v>
      </c>
      <c r="G28">
        <f>tblIndicators!G23</f>
        <v>0</v>
      </c>
      <c r="H28">
        <f>MIN(Data2010!D25:V25)</f>
        <v>0</v>
      </c>
      <c r="I28">
        <f>MAX(Data2010!D25:V25)</f>
        <v>4</v>
      </c>
      <c r="J28" s="22">
        <f>I28-H28</f>
        <v>4</v>
      </c>
      <c r="K28">
        <f>MATCH(B28,Weights!C$4:C$36,0)</f>
        <v>29</v>
      </c>
      <c r="L28">
        <f>INDEX(Weights!G$4:G$36,K28)</f>
        <v>2</v>
      </c>
      <c r="M28" s="36">
        <f t="shared" si="1"/>
        <v>0.44444444444444442</v>
      </c>
      <c r="O28" t="str">
        <f>tblIndicators!Q23</f>
        <v xml:space="preserve">   Capital market: private infrastructure finance</v>
      </c>
      <c r="P28" s="103">
        <f t="shared" si="2"/>
        <v>0.44444444444444442</v>
      </c>
      <c r="R28" s="38">
        <f>ROUND(Scores2009_YOY!S28-Scores2008_YOY!S28,1)</f>
        <v>0</v>
      </c>
      <c r="S28" s="38">
        <f>ROUND(Scores2009_YOY!T28-Scores2008_YOY!T28,1)</f>
        <v>0</v>
      </c>
      <c r="T28" s="38">
        <f>ROUND(Scores2009_YOY!U28-Scores2008_YOY!U28,1)</f>
        <v>0</v>
      </c>
      <c r="U28" s="38">
        <f>ROUND(Scores2009_YOY!V28-Scores2008_YOY!V28,1)</f>
        <v>0</v>
      </c>
      <c r="V28" s="38">
        <f>ROUND(Scores2009_YOY!W28-Scores2008_YOY!W28,1)</f>
        <v>0</v>
      </c>
      <c r="W28" s="38">
        <f>ROUND(Scores2009_YOY!X28-Scores2008_YOY!X28,1)</f>
        <v>0</v>
      </c>
      <c r="X28" s="38">
        <f>ROUND(Scores2009_YOY!Y28-Scores2008_YOY!Y28,1)</f>
        <v>0</v>
      </c>
      <c r="Y28" s="38">
        <f>ROUND(Scores2009_YOY!Z28-Scores2008_YOY!Z28,1)</f>
        <v>0</v>
      </c>
      <c r="Z28" s="38">
        <f>ROUND(Scores2009_YOY!AA28-Scores2008_YOY!AA28,1)</f>
        <v>0</v>
      </c>
      <c r="AA28" s="38">
        <f>ROUND(Scores2009_YOY!AB28-Scores2008_YOY!AB28,1)</f>
        <v>0</v>
      </c>
      <c r="AB28" s="38">
        <f>ROUND(Scores2009_YOY!AC28-Scores2008_YOY!AC28,1)</f>
        <v>0</v>
      </c>
      <c r="AC28" s="38">
        <f>ROUND(Scores2009_YOY!AD28-Scores2008_YOY!AD28,1)</f>
        <v>0</v>
      </c>
      <c r="AD28" s="38">
        <f>ROUND(Scores2009_YOY!AE28-Scores2008_YOY!AE28,1)</f>
        <v>0</v>
      </c>
      <c r="AE28" s="38">
        <f>ROUND(Scores2009_YOY!AF28-Scores2008_YOY!AF28,1)</f>
        <v>0</v>
      </c>
      <c r="AF28" s="38">
        <f>ROUND(Scores2009_YOY!AG28-Scores2008_YOY!AG28,1)</f>
        <v>0</v>
      </c>
      <c r="AG28" s="38">
        <f>ROUND(Scores2009_YOY!AH28-Scores2008_YOY!AH28,1)</f>
        <v>0</v>
      </c>
      <c r="AH28" s="38">
        <f>ROUND(Scores2009_YOY!AI28-Scores2008_YOY!AI28,1)</f>
        <v>0</v>
      </c>
      <c r="AI28" s="38">
        <f>ROUND(Scores2009_YOY!AJ28-Scores2008_YOY!AJ28,1)</f>
        <v>0</v>
      </c>
      <c r="AJ28" s="38">
        <f>ROUND(Scores2009_YOY!AK28-Scores2008_YOY!AK28,1)</f>
        <v>0</v>
      </c>
      <c r="AK28" s="38"/>
      <c r="AL28" s="38"/>
    </row>
    <row r="29" spans="1:38">
      <c r="B29" t="str">
        <f>tblIndicators!A24</f>
        <v>FINC03</v>
      </c>
      <c r="C29" t="str">
        <f>tblIndicators!B24</f>
        <v>FINC</v>
      </c>
      <c r="D29" t="str">
        <f>tblIndicators!D24</f>
        <v>XX</v>
      </c>
      <c r="E29">
        <f>tblIndicators!E24</f>
        <v>0</v>
      </c>
      <c r="F29">
        <f>tblIndicators!F24</f>
        <v>25</v>
      </c>
      <c r="G29">
        <f>tblIndicators!G24</f>
        <v>0</v>
      </c>
      <c r="H29">
        <f>MIN(Data2010!D26:V26)</f>
        <v>1</v>
      </c>
      <c r="I29">
        <f>MAX(Data2010!D26:V26)</f>
        <v>4</v>
      </c>
      <c r="J29" s="22">
        <f>I29-H29</f>
        <v>3</v>
      </c>
      <c r="K29">
        <f>MATCH(B29,Weights!C$4:C$36,0)</f>
        <v>30</v>
      </c>
      <c r="L29">
        <f>INDEX(Weights!G$4:G$36,K29)</f>
        <v>1</v>
      </c>
      <c r="M29" s="36">
        <f t="shared" si="1"/>
        <v>0.22222222222222221</v>
      </c>
      <c r="O29" t="str">
        <f>tblIndicators!Q24</f>
        <v xml:space="preserve">   Marketable debt</v>
      </c>
      <c r="P29" s="103">
        <f t="shared" si="2"/>
        <v>0.22222222222222221</v>
      </c>
      <c r="R29" s="38">
        <f>ROUND(Scores2009_YOY!S29-Scores2008_YOY!S29,1)</f>
        <v>0</v>
      </c>
      <c r="S29" s="38">
        <f>ROUND(Scores2009_YOY!T29-Scores2008_YOY!T29,1)</f>
        <v>25</v>
      </c>
      <c r="T29" s="38">
        <f>ROUND(Scores2009_YOY!U29-Scores2008_YOY!U29,1)</f>
        <v>0</v>
      </c>
      <c r="U29" s="38">
        <f>ROUND(Scores2009_YOY!V29-Scores2008_YOY!V29,1)</f>
        <v>0</v>
      </c>
      <c r="V29" s="38">
        <f>ROUND(Scores2009_YOY!W29-Scores2008_YOY!W29,1)</f>
        <v>0</v>
      </c>
      <c r="W29" s="38">
        <f>ROUND(Scores2009_YOY!X29-Scores2008_YOY!X29,1)</f>
        <v>0</v>
      </c>
      <c r="X29" s="38">
        <f>ROUND(Scores2009_YOY!Y29-Scores2008_YOY!Y29,1)</f>
        <v>0</v>
      </c>
      <c r="Y29" s="38">
        <f>ROUND(Scores2009_YOY!Z29-Scores2008_YOY!Z29,1)</f>
        <v>0</v>
      </c>
      <c r="Z29" s="38">
        <f>ROUND(Scores2009_YOY!AA29-Scores2008_YOY!AA29,1)</f>
        <v>0</v>
      </c>
      <c r="AA29" s="38">
        <f>ROUND(Scores2009_YOY!AB29-Scores2008_YOY!AB29,1)</f>
        <v>0</v>
      </c>
      <c r="AB29" s="38">
        <f>ROUND(Scores2009_YOY!AC29-Scores2008_YOY!AC29,1)</f>
        <v>0</v>
      </c>
      <c r="AC29" s="38">
        <f>ROUND(Scores2009_YOY!AD29-Scores2008_YOY!AD29,1)</f>
        <v>0</v>
      </c>
      <c r="AD29" s="38">
        <f>ROUND(Scores2009_YOY!AE29-Scores2008_YOY!AE29,1)</f>
        <v>0</v>
      </c>
      <c r="AE29" s="38">
        <f>ROUND(Scores2009_YOY!AF29-Scores2008_YOY!AF29,1)</f>
        <v>0</v>
      </c>
      <c r="AF29" s="38">
        <f>ROUND(Scores2009_YOY!AG29-Scores2008_YOY!AG29,1)</f>
        <v>0</v>
      </c>
      <c r="AG29" s="38">
        <f>ROUND(Scores2009_YOY!AH29-Scores2008_YOY!AH29,1)</f>
        <v>0</v>
      </c>
      <c r="AH29" s="38">
        <f>ROUND(Scores2009_YOY!AI29-Scores2008_YOY!AI29,1)</f>
        <v>0</v>
      </c>
      <c r="AI29" s="38">
        <f>ROUND(Scores2009_YOY!AJ29-Scores2008_YOY!AJ29,1)</f>
        <v>0</v>
      </c>
      <c r="AJ29" s="38">
        <f>ROUND(Scores2009_YOY!AK29-Scores2008_YOY!AK29,1)</f>
        <v>0</v>
      </c>
      <c r="AK29" s="38"/>
      <c r="AL29" s="38"/>
    </row>
    <row r="30" spans="1:38">
      <c r="B30" t="str">
        <f>tblIndicators!A25</f>
        <v>FINC04</v>
      </c>
      <c r="C30" t="str">
        <f>tblIndicators!B25</f>
        <v>FINC</v>
      </c>
      <c r="D30" t="str">
        <f>tblIndicators!D25</f>
        <v>XX</v>
      </c>
      <c r="E30">
        <f>tblIndicators!E25</f>
        <v>0</v>
      </c>
      <c r="F30">
        <f>tblIndicators!F25</f>
        <v>25</v>
      </c>
      <c r="G30">
        <f>tblIndicators!G25</f>
        <v>0</v>
      </c>
      <c r="H30">
        <f>MIN(Data2010!D27:V27)</f>
        <v>0</v>
      </c>
      <c r="I30">
        <f>MAX(Data2010!D27:V27)</f>
        <v>3</v>
      </c>
      <c r="J30" s="22">
        <f>I30-H30</f>
        <v>3</v>
      </c>
      <c r="K30">
        <f>MATCH(B30,Weights!C$4:C$36,0)</f>
        <v>31</v>
      </c>
      <c r="L30">
        <f>INDEX(Weights!G$4:G$36,K30)</f>
        <v>0.5</v>
      </c>
      <c r="M30" s="36">
        <f t="shared" si="1"/>
        <v>0.1111111111111111</v>
      </c>
      <c r="O30" t="str">
        <f>tblIndicators!Q25</f>
        <v xml:space="preserve">   Government support and affordability for low income users</v>
      </c>
      <c r="P30" s="103">
        <f t="shared" si="2"/>
        <v>0.1111111111111111</v>
      </c>
      <c r="R30" s="38">
        <f>ROUND(Scores2009_YOY!S30-Scores2008_YOY!S30,1)</f>
        <v>0</v>
      </c>
      <c r="S30" s="38">
        <f>ROUND(Scores2009_YOY!T30-Scores2008_YOY!T30,1)</f>
        <v>25</v>
      </c>
      <c r="T30" s="38">
        <f>ROUND(Scores2009_YOY!U30-Scores2008_YOY!U30,1)</f>
        <v>0</v>
      </c>
      <c r="U30" s="38">
        <f>ROUND(Scores2009_YOY!V30-Scores2008_YOY!V30,1)</f>
        <v>0</v>
      </c>
      <c r="V30" s="38">
        <f>ROUND(Scores2009_YOY!W30-Scores2008_YOY!W30,1)</f>
        <v>0</v>
      </c>
      <c r="W30" s="38">
        <f>ROUND(Scores2009_YOY!X30-Scores2008_YOY!X30,1)</f>
        <v>25</v>
      </c>
      <c r="X30" s="38">
        <f>ROUND(Scores2009_YOY!Y30-Scores2008_YOY!Y30,1)</f>
        <v>-25</v>
      </c>
      <c r="Y30" s="38">
        <f>ROUND(Scores2009_YOY!Z30-Scores2008_YOY!Z30,1)</f>
        <v>0</v>
      </c>
      <c r="Z30" s="38">
        <f>ROUND(Scores2009_YOY!AA30-Scores2008_YOY!AA30,1)</f>
        <v>0</v>
      </c>
      <c r="AA30" s="38">
        <f>ROUND(Scores2009_YOY!AB30-Scores2008_YOY!AB30,1)</f>
        <v>25</v>
      </c>
      <c r="AB30" s="38">
        <f>ROUND(Scores2009_YOY!AC30-Scores2008_YOY!AC30,1)</f>
        <v>25</v>
      </c>
      <c r="AC30" s="38">
        <f>ROUND(Scores2009_YOY!AD30-Scores2008_YOY!AD30,1)</f>
        <v>25</v>
      </c>
      <c r="AD30" s="38">
        <f>ROUND(Scores2009_YOY!AE30-Scores2008_YOY!AE30,1)</f>
        <v>25</v>
      </c>
      <c r="AE30" s="38">
        <f>ROUND(Scores2009_YOY!AF30-Scores2008_YOY!AF30,1)</f>
        <v>0</v>
      </c>
      <c r="AF30" s="38">
        <f>ROUND(Scores2009_YOY!AG30-Scores2008_YOY!AG30,1)</f>
        <v>0</v>
      </c>
      <c r="AG30" s="38">
        <f>ROUND(Scores2009_YOY!AH30-Scores2008_YOY!AH30,1)</f>
        <v>25</v>
      </c>
      <c r="AH30" s="38">
        <f>ROUND(Scores2009_YOY!AI30-Scores2008_YOY!AI30,1)</f>
        <v>0</v>
      </c>
      <c r="AI30" s="38">
        <f>ROUND(Scores2009_YOY!AJ30-Scores2008_YOY!AJ30,1)</f>
        <v>0</v>
      </c>
      <c r="AJ30" s="38">
        <f>ROUND(Scores2009_YOY!AK30-Scores2008_YOY!AK30,1)</f>
        <v>0</v>
      </c>
      <c r="AK30" s="38"/>
      <c r="AL30" s="38"/>
    </row>
  </sheetData>
  <phoneticPr fontId="61" type="noConversion"/>
  <pageMargins left="0.7" right="0.7" top="0.75" bottom="0.75" header="0.3" footer="0.3"/>
  <pageSetup paperSize="0" orientation="portrait" horizontalDpi="0" verticalDpi="0" copies="0" r:id="rId1"/>
</worksheet>
</file>

<file path=xl/worksheets/sheet28.xml><?xml version="1.0" encoding="utf-8"?>
<worksheet xmlns="http://schemas.openxmlformats.org/spreadsheetml/2006/main" xmlns:r="http://schemas.openxmlformats.org/officeDocument/2006/relationships">
  <sheetPr codeName="Sheet21"/>
  <dimension ref="A1:AL30"/>
  <sheetViews>
    <sheetView topLeftCell="P1" workbookViewId="0">
      <selection activeCell="W11" sqref="W11"/>
    </sheetView>
  </sheetViews>
  <sheetFormatPr defaultRowHeight="15"/>
  <cols>
    <col min="1" max="1" width="1.140625" customWidth="1"/>
    <col min="2" max="13" width="5.28515625" hidden="1" customWidth="1"/>
    <col min="14" max="14" width="5" customWidth="1"/>
    <col min="15" max="15" width="43.140625" bestFit="1" customWidth="1"/>
    <col min="17" max="17" width="1.85546875" customWidth="1"/>
    <col min="26" max="26" width="9.7109375" customWidth="1"/>
  </cols>
  <sheetData>
    <row r="1" spans="1:38" s="72" customFormat="1" ht="21.75" customHeight="1">
      <c r="A1" s="72" t="s">
        <v>882</v>
      </c>
      <c r="P1" s="72" t="s">
        <v>1051</v>
      </c>
    </row>
    <row r="5" spans="1:38" ht="24">
      <c r="O5" s="99"/>
      <c r="P5" s="99" t="s">
        <v>1038</v>
      </c>
      <c r="Q5" s="30"/>
      <c r="R5" s="31" t="str">
        <f>Data2010!D3</f>
        <v>Argentina</v>
      </c>
      <c r="S5" s="31" t="str">
        <f>Data2010!E3</f>
        <v>Brazil</v>
      </c>
      <c r="T5" s="31" t="str">
        <f>Data2010!F3</f>
        <v xml:space="preserve">Chile </v>
      </c>
      <c r="U5" s="31" t="str">
        <f>Data2010!G3</f>
        <v>Colombia</v>
      </c>
      <c r="V5" s="31" t="str">
        <f>Data2010!H3</f>
        <v>Costa Rica</v>
      </c>
      <c r="W5" s="31" t="str">
        <f>Data2010!I3</f>
        <v>Dominican Rep.</v>
      </c>
      <c r="X5" s="31" t="str">
        <f>Data2010!J3</f>
        <v>Ecuador</v>
      </c>
      <c r="Y5" s="31" t="str">
        <f>Data2010!K3</f>
        <v>El Salvador</v>
      </c>
      <c r="Z5" s="31" t="str">
        <f>Data2010!L3</f>
        <v>Guatemala</v>
      </c>
      <c r="AA5" s="31" t="str">
        <f>Data2010!M3</f>
        <v>Honduras</v>
      </c>
      <c r="AB5" s="31" t="str">
        <f>Data2010!N3</f>
        <v>Jamaica</v>
      </c>
      <c r="AC5" s="31" t="str">
        <f>Data2010!O3</f>
        <v>Mexico</v>
      </c>
      <c r="AD5" s="31" t="str">
        <f>Data2010!P3</f>
        <v>Nicaragua</v>
      </c>
      <c r="AE5" s="31" t="str">
        <f>Data2010!Q3</f>
        <v>Panama</v>
      </c>
      <c r="AF5" s="31" t="str">
        <f>Data2010!R3</f>
        <v>Paraguay</v>
      </c>
      <c r="AG5" s="31" t="str">
        <f>Data2010!S3</f>
        <v>Peru</v>
      </c>
      <c r="AH5" s="31" t="str">
        <f>Data2010!T3</f>
        <v>Trinidad &amp; Tobago</v>
      </c>
      <c r="AI5" s="31" t="str">
        <f>Data2010!U3</f>
        <v>Uruguay</v>
      </c>
      <c r="AJ5" s="31" t="str">
        <f>Data2010!V3</f>
        <v>Venezuela</v>
      </c>
    </row>
    <row r="6" spans="1:38">
      <c r="B6" s="32" t="s">
        <v>964</v>
      </c>
      <c r="C6" s="32" t="s">
        <v>965</v>
      </c>
      <c r="D6" s="32" t="s">
        <v>967</v>
      </c>
      <c r="E6" s="32" t="s">
        <v>968</v>
      </c>
      <c r="F6" s="32" t="s">
        <v>969</v>
      </c>
      <c r="G6" s="32" t="s">
        <v>970</v>
      </c>
      <c r="H6" s="32" t="s">
        <v>1032</v>
      </c>
      <c r="I6" s="32" t="s">
        <v>1033</v>
      </c>
      <c r="J6" s="32" t="s">
        <v>1034</v>
      </c>
      <c r="K6" s="33" t="s">
        <v>1035</v>
      </c>
      <c r="L6" s="32" t="s">
        <v>1036</v>
      </c>
      <c r="M6" s="32" t="s">
        <v>1037</v>
      </c>
      <c r="P6" s="100"/>
    </row>
    <row r="7" spans="1:38" s="95" customFormat="1">
      <c r="B7" s="95" t="str">
        <f>tblIndicators!A2</f>
        <v>TOTL</v>
      </c>
      <c r="C7" s="95">
        <f>tblIndicators!B2</f>
        <v>0</v>
      </c>
      <c r="D7" s="95" t="str">
        <f>tblIndicators!D2</f>
        <v>WS</v>
      </c>
      <c r="E7" s="95">
        <f>tblIndicators!E2</f>
        <v>0</v>
      </c>
      <c r="F7" s="95">
        <f>tblIndicators!F2</f>
        <v>0</v>
      </c>
      <c r="G7" s="95">
        <f>tblIndicators!G2</f>
        <v>0</v>
      </c>
      <c r="H7" s="95">
        <f>MIN(Data2010!D4:V4)</f>
        <v>0</v>
      </c>
      <c r="I7" s="95">
        <f>MAX(Data2010!D4:V4)</f>
        <v>0</v>
      </c>
      <c r="J7" s="96">
        <f>I7-H7</f>
        <v>0</v>
      </c>
      <c r="O7" s="95" t="str">
        <f>tblIndicators!Q2</f>
        <v>OVERALL SCORE</v>
      </c>
      <c r="P7" s="101"/>
      <c r="R7" s="97">
        <f>ROUND(Scores2009_YOY!S7-Scores2008_YOY!S7,1)</f>
        <v>0.9</v>
      </c>
      <c r="S7" s="97">
        <f>ROUND(Scores2009!T7-Scores2008!T7,1)</f>
        <v>15.5</v>
      </c>
      <c r="T7" s="97">
        <f>ROUND(Scores2009!U7-Scores2008!U7,1)</f>
        <v>15</v>
      </c>
      <c r="U7" s="97">
        <f>ROUND(Scores2009!V7-Scores2008!V7,1)</f>
        <v>14.6</v>
      </c>
      <c r="V7" s="97">
        <f>ROUND(Scores2009!W7-Scores2008!W7,1)</f>
        <v>-12.9</v>
      </c>
      <c r="W7" s="97">
        <f>ROUND(Scores2009!X7-Scores2008!X7,1)</f>
        <v>-1.5</v>
      </c>
      <c r="X7" s="97">
        <f>ROUND(Scores2009!Y7-Scores2008!Y7,1)</f>
        <v>-0.3</v>
      </c>
      <c r="Y7" s="97">
        <f>ROUND(Scores2009!Z7-Scores2008!Z7,1)</f>
        <v>6.7</v>
      </c>
      <c r="Z7" s="97">
        <f>ROUND(Scores2009!AA7-Scores2008!AA7,1)</f>
        <v>24.4</v>
      </c>
      <c r="AA7" s="97">
        <f>ROUND(Scores2009!AB7-Scores2008!AB7,1)</f>
        <v>0.9</v>
      </c>
      <c r="AB7" s="97">
        <f>ROUND(Scores2009!AC7-Scores2008!AC7,1)</f>
        <v>0.3</v>
      </c>
      <c r="AC7" s="97">
        <f>ROUND(Scores2009!AD7-Scores2008!AD7,1)</f>
        <v>10.6</v>
      </c>
      <c r="AD7" s="97">
        <f>ROUND(Scores2009!AE7-Scores2008!AE7,1)</f>
        <v>6</v>
      </c>
      <c r="AE7" s="97">
        <f>ROUND(Scores2009!AF7-Scores2008!AF7,1)</f>
        <v>13.7</v>
      </c>
      <c r="AF7" s="97">
        <f>ROUND(Scores2009!AG7-Scores2008!AG7,1)</f>
        <v>2.2000000000000002</v>
      </c>
      <c r="AG7" s="97">
        <f>ROUND(Scores2009!AH7-Scores2008!AH7,1)</f>
        <v>8.3000000000000007</v>
      </c>
      <c r="AH7" s="97">
        <f>ROUND(Scores2009!AI7-Scores2008!AI7,1)</f>
        <v>7.1</v>
      </c>
      <c r="AI7" s="97">
        <f>ROUND(Scores2009!AJ7-Scores2008!AJ7,1)</f>
        <v>4.5</v>
      </c>
      <c r="AJ7" s="97">
        <f>ROUND(Scores2009!AK7-Scores2008!AK7,1)</f>
        <v>-2.9</v>
      </c>
      <c r="AK7" s="97"/>
      <c r="AL7" s="97"/>
    </row>
    <row r="8" spans="1:38" s="95" customFormat="1">
      <c r="B8" s="95" t="str">
        <f>tblIndicators!A3</f>
        <v>LEGF</v>
      </c>
      <c r="C8" s="95" t="str">
        <f>tblIndicators!B3</f>
        <v>TOTL</v>
      </c>
      <c r="D8" s="95" t="str">
        <f>tblIndicators!D3</f>
        <v>WS</v>
      </c>
      <c r="E8" s="95">
        <f>tblIndicators!E3</f>
        <v>0</v>
      </c>
      <c r="F8" s="95">
        <f>tblIndicators!F3</f>
        <v>0</v>
      </c>
      <c r="G8" s="95">
        <f>tblIndicators!G3</f>
        <v>0</v>
      </c>
      <c r="H8" s="95">
        <f>MIN(Data2010!D5:V5)</f>
        <v>0</v>
      </c>
      <c r="I8" s="95">
        <f>MAX(Data2010!D5:V5)</f>
        <v>0</v>
      </c>
      <c r="J8" s="96">
        <f t="shared" ref="J8:J27" si="0">I8-H8</f>
        <v>0</v>
      </c>
      <c r="K8" s="95">
        <f>MATCH(B8,Weights!C$4:C$36,0)</f>
        <v>1</v>
      </c>
      <c r="L8" s="95">
        <f>INDEX(Weights!G$4:G$36,K8)</f>
        <v>1.5</v>
      </c>
      <c r="M8" s="98">
        <f t="shared" ref="M8:M30" si="1">L8/SUMIF(C$8:C$30,C8,L$8:L$30)</f>
        <v>0.27777777777777773</v>
      </c>
      <c r="O8" s="95" t="str">
        <f>tblIndicators!Q3</f>
        <v>REGULATORY FRAMEWORK</v>
      </c>
      <c r="P8" s="102">
        <f>M8</f>
        <v>0.27777777777777773</v>
      </c>
      <c r="R8" s="38">
        <f>ROUND(Scores2009_YOY!S8-Scores2008_YOY!S8,1)</f>
        <v>-6.3</v>
      </c>
      <c r="S8" s="38">
        <f>ROUND(Scores2009!T8-Scores2008!T8,1)</f>
        <v>24.7</v>
      </c>
      <c r="T8" s="38">
        <f>ROUND(Scores2009!U8-Scores2008!U8,1)</f>
        <v>23.3</v>
      </c>
      <c r="U8" s="38">
        <f>ROUND(Scores2009!V8-Scores2008!V8,1)</f>
        <v>16.7</v>
      </c>
      <c r="V8" s="38">
        <f>ROUND(Scores2009!W8-Scores2008!W8,1)</f>
        <v>-15.6</v>
      </c>
      <c r="W8" s="38">
        <f>ROUND(Scores2009!X8-Scores2008!X8,1)</f>
        <v>5.2</v>
      </c>
      <c r="X8" s="38">
        <f>ROUND(Scores2009!Y8-Scores2008!Y8,1)</f>
        <v>0.7</v>
      </c>
      <c r="Y8" s="38">
        <f>ROUND(Scores2009!Z8-Scores2008!Z8,1)</f>
        <v>8.6999999999999993</v>
      </c>
      <c r="Z8" s="38">
        <f>ROUND(Scores2009!AA8-Scores2008!AA8,1)</f>
        <v>36.5</v>
      </c>
      <c r="AA8" s="38">
        <f>ROUND(Scores2009!AB8-Scores2008!AB8,1)</f>
        <v>-1</v>
      </c>
      <c r="AB8" s="38">
        <f>ROUND(Scores2009!AC8-Scores2008!AC8,1)</f>
        <v>0</v>
      </c>
      <c r="AC8" s="38">
        <f>ROUND(Scores2009!AD8-Scores2008!AD8,1)</f>
        <v>6.3</v>
      </c>
      <c r="AD8" s="38">
        <f>ROUND(Scores2009!AE8-Scores2008!AE8,1)</f>
        <v>16.3</v>
      </c>
      <c r="AE8" s="38">
        <f>ROUND(Scores2009!AF8-Scores2008!AF8,1)</f>
        <v>12.5</v>
      </c>
      <c r="AF8" s="38">
        <f>ROUND(Scores2009!AG8-Scores2008!AG8,1)</f>
        <v>0</v>
      </c>
      <c r="AG8" s="38">
        <f>ROUND(Scores2009!AH8-Scores2008!AH8,1)</f>
        <v>8.3000000000000007</v>
      </c>
      <c r="AH8" s="38">
        <f>ROUND(Scores2009!AI8-Scores2008!AI8,1)</f>
        <v>0</v>
      </c>
      <c r="AI8" s="38">
        <f>ROUND(Scores2009!AJ8-Scores2008!AJ8,1)</f>
        <v>9.4</v>
      </c>
      <c r="AJ8" s="38">
        <f>ROUND(Scores2009!AK8-Scores2008!AK8,1)</f>
        <v>-8.3000000000000007</v>
      </c>
      <c r="AK8" s="38"/>
      <c r="AL8" s="38"/>
    </row>
    <row r="9" spans="1:38">
      <c r="B9" t="str">
        <f>tblIndicators!A4</f>
        <v>LEGF01</v>
      </c>
      <c r="C9" t="str">
        <f>tblIndicators!B4</f>
        <v>LEGF</v>
      </c>
      <c r="D9" t="str">
        <f>tblIndicators!D4</f>
        <v>XX</v>
      </c>
      <c r="E9">
        <f>tblIndicators!E4</f>
        <v>0</v>
      </c>
      <c r="F9">
        <f>tblIndicators!F4</f>
        <v>25</v>
      </c>
      <c r="G9">
        <f>tblIndicators!G4</f>
        <v>0</v>
      </c>
      <c r="H9">
        <f>MIN(Data2010!D6:V6)</f>
        <v>0</v>
      </c>
      <c r="I9">
        <f>MAX(Data2010!D6:V6)</f>
        <v>4</v>
      </c>
      <c r="J9" s="22">
        <f t="shared" si="0"/>
        <v>4</v>
      </c>
      <c r="K9">
        <f>MATCH(B9,Weights!C$4:C$36,0)</f>
        <v>10</v>
      </c>
      <c r="L9">
        <f>INDEX(Weights!G$4:G$36,K9)</f>
        <v>3</v>
      </c>
      <c r="M9" s="36">
        <f t="shared" si="1"/>
        <v>0.375</v>
      </c>
      <c r="O9" t="str">
        <f>tblIndicators!Q4</f>
        <v xml:space="preserve">   Consistency and quality of PPP regulations</v>
      </c>
      <c r="P9" s="103">
        <f t="shared" ref="P9:P30" si="2">M9</f>
        <v>0.375</v>
      </c>
      <c r="R9" s="38">
        <f>ROUND(Scores2009_YOY!S9-Scores2008_YOY!S9,1)</f>
        <v>0</v>
      </c>
      <c r="S9" s="38">
        <f>ROUND(Scores2009!T9-Scores2008!T9,1)</f>
        <v>25</v>
      </c>
      <c r="T9" s="38">
        <f>ROUND(Scores2009!U9-Scores2008!U9,1)</f>
        <v>25</v>
      </c>
      <c r="U9" s="38">
        <f>ROUND(Scores2009!V9-Scores2008!V9,1)</f>
        <v>25</v>
      </c>
      <c r="V9" s="38">
        <f>ROUND(Scores2009!W9-Scores2008!W9,1)</f>
        <v>-25</v>
      </c>
      <c r="W9" s="38">
        <f>ROUND(Scores2009!X9-Scores2008!X9,1)</f>
        <v>0</v>
      </c>
      <c r="X9" s="38">
        <f>ROUND(Scores2009!Y9-Scores2008!Y9,1)</f>
        <v>0</v>
      </c>
      <c r="Y9" s="38">
        <f>ROUND(Scores2009!Z9-Scores2008!Z9,1)</f>
        <v>25</v>
      </c>
      <c r="Z9" s="38">
        <f>ROUND(Scores2009!AA9-Scores2008!AA9,1)</f>
        <v>50</v>
      </c>
      <c r="AA9" s="38">
        <f>ROUND(Scores2009!AB9-Scores2008!AB9,1)</f>
        <v>25</v>
      </c>
      <c r="AB9" s="38">
        <f>ROUND(Scores2009!AC9-Scores2008!AC9,1)</f>
        <v>0</v>
      </c>
      <c r="AC9" s="38">
        <f>ROUND(Scores2009!AD9-Scores2008!AD9,1)</f>
        <v>0</v>
      </c>
      <c r="AD9" s="38">
        <f>ROUND(Scores2009!AE9-Scores2008!AE9,1)</f>
        <v>25</v>
      </c>
      <c r="AE9" s="38">
        <f>ROUND(Scores2009!AF9-Scores2008!AF9,1)</f>
        <v>25</v>
      </c>
      <c r="AF9" s="38">
        <f>ROUND(Scores2009!AG9-Scores2008!AG9,1)</f>
        <v>0</v>
      </c>
      <c r="AG9" s="38">
        <f>ROUND(Scores2009!AH9-Scores2008!AH9,1)</f>
        <v>0</v>
      </c>
      <c r="AH9" s="38">
        <f>ROUND(Scores2009!AI9-Scores2008!AI9,1)</f>
        <v>0</v>
      </c>
      <c r="AI9" s="38">
        <f>ROUND(Scores2009!AJ9-Scores2008!AJ9,1)</f>
        <v>0</v>
      </c>
      <c r="AJ9" s="38">
        <f>ROUND(Scores2009!AK9-Scores2008!AK9,1)</f>
        <v>-25</v>
      </c>
      <c r="AK9" s="38"/>
      <c r="AL9" s="38"/>
    </row>
    <row r="10" spans="1:38">
      <c r="B10" t="str">
        <f>tblIndicators!A5</f>
        <v>LEGF02</v>
      </c>
      <c r="C10" t="str">
        <f>tblIndicators!B5</f>
        <v>LEGF</v>
      </c>
      <c r="D10" t="str">
        <f>tblIndicators!D5</f>
        <v>XX</v>
      </c>
      <c r="E10">
        <f>tblIndicators!E5</f>
        <v>0</v>
      </c>
      <c r="F10">
        <f>tblIndicators!F5</f>
        <v>25</v>
      </c>
      <c r="G10">
        <f>tblIndicators!G5</f>
        <v>0</v>
      </c>
      <c r="H10">
        <f>MIN(Data2010!D7:V7)</f>
        <v>0</v>
      </c>
      <c r="I10">
        <f>MAX(Data2010!D7:V7)</f>
        <v>3</v>
      </c>
      <c r="J10" s="22">
        <f t="shared" si="0"/>
        <v>3</v>
      </c>
      <c r="K10">
        <f>MATCH(B10,Weights!C$4:C$36,0)</f>
        <v>11</v>
      </c>
      <c r="L10">
        <f>INDEX(Weights!G$4:G$36,K10)</f>
        <v>2</v>
      </c>
      <c r="M10" s="36">
        <f t="shared" si="1"/>
        <v>0.25</v>
      </c>
      <c r="O10" t="str">
        <f>tblIndicators!Q5</f>
        <v xml:space="preserve">   Effective PPP selection and decision making</v>
      </c>
      <c r="P10" s="103">
        <f t="shared" si="2"/>
        <v>0.25</v>
      </c>
      <c r="R10" s="38">
        <f>ROUND(Scores2009_YOY!S10-Scores2008_YOY!S10,1)</f>
        <v>-25</v>
      </c>
      <c r="S10" s="38">
        <f>ROUND(Scores2009!T10-Scores2008!T10,1)</f>
        <v>25</v>
      </c>
      <c r="T10" s="38">
        <f>ROUND(Scores2009!U10-Scores2008!U10,1)</f>
        <v>25</v>
      </c>
      <c r="U10" s="38">
        <f>ROUND(Scores2009!V10-Scores2008!V10,1)</f>
        <v>0</v>
      </c>
      <c r="V10" s="38">
        <f>ROUND(Scores2009!W10-Scores2008!W10,1)</f>
        <v>0</v>
      </c>
      <c r="W10" s="38">
        <f>ROUND(Scores2009!X10-Scores2008!X10,1)</f>
        <v>25</v>
      </c>
      <c r="X10" s="38">
        <f>ROUND(Scores2009!Y10-Scores2008!Y10,1)</f>
        <v>0</v>
      </c>
      <c r="Y10" s="38">
        <f>ROUND(Scores2009!Z10-Scores2008!Z10,1)</f>
        <v>0</v>
      </c>
      <c r="Z10" s="38">
        <f>ROUND(Scores2009!AA10-Scores2008!AA10,1)</f>
        <v>25</v>
      </c>
      <c r="AA10" s="38">
        <f>ROUND(Scores2009!AB10-Scores2008!AB10,1)</f>
        <v>-25</v>
      </c>
      <c r="AB10" s="38">
        <f>ROUND(Scores2009!AC10-Scores2008!AC10,1)</f>
        <v>0</v>
      </c>
      <c r="AC10" s="38">
        <f>ROUND(Scores2009!AD10-Scores2008!AD10,1)</f>
        <v>0</v>
      </c>
      <c r="AD10" s="38">
        <f>ROUND(Scores2009!AE10-Scores2008!AE10,1)</f>
        <v>25</v>
      </c>
      <c r="AE10" s="38">
        <f>ROUND(Scores2009!AF10-Scores2008!AF10,1)</f>
        <v>0</v>
      </c>
      <c r="AF10" s="38">
        <f>ROUND(Scores2009!AG10-Scores2008!AG10,1)</f>
        <v>0</v>
      </c>
      <c r="AG10" s="38">
        <f>ROUND(Scores2009!AH10-Scores2008!AH10,1)</f>
        <v>0</v>
      </c>
      <c r="AH10" s="38">
        <f>ROUND(Scores2009!AI10-Scores2008!AI10,1)</f>
        <v>0</v>
      </c>
      <c r="AI10" s="38">
        <f>ROUND(Scores2009!AJ10-Scores2008!AJ10,1)</f>
        <v>25</v>
      </c>
      <c r="AJ10" s="38">
        <f>ROUND(Scores2009!AK10-Scores2008!AK10,1)</f>
        <v>0</v>
      </c>
      <c r="AK10" s="38"/>
      <c r="AL10" s="38"/>
    </row>
    <row r="11" spans="1:38">
      <c r="B11" t="str">
        <f>tblIndicators!A6</f>
        <v>LEGF03</v>
      </c>
      <c r="C11" t="str">
        <f>tblIndicators!B6</f>
        <v>LEGF</v>
      </c>
      <c r="D11" t="str">
        <f>tblIndicators!D6</f>
        <v>XX</v>
      </c>
      <c r="E11">
        <f>tblIndicators!E6</f>
        <v>0</v>
      </c>
      <c r="F11">
        <f>tblIndicators!F6</f>
        <v>25</v>
      </c>
      <c r="G11">
        <f>tblIndicators!G6</f>
        <v>0</v>
      </c>
      <c r="H11">
        <f>MIN(Data2010!D8:V8)</f>
        <v>0</v>
      </c>
      <c r="I11">
        <f>MAX(Data2010!D8:V8)</f>
        <v>3</v>
      </c>
      <c r="J11" s="22">
        <f t="shared" si="0"/>
        <v>3</v>
      </c>
      <c r="K11">
        <f>MATCH(B11,Weights!C$4:C$36,0)</f>
        <v>12</v>
      </c>
      <c r="L11">
        <f>INDEX(Weights!G$4:G$36,K11)</f>
        <v>1</v>
      </c>
      <c r="M11" s="36">
        <f t="shared" si="1"/>
        <v>0.125</v>
      </c>
      <c r="O11" t="str">
        <f>tblIndicators!Q6</f>
        <v xml:space="preserve">   Fairness/openness of bids, contract changes</v>
      </c>
      <c r="P11" s="103">
        <f t="shared" si="2"/>
        <v>0.125</v>
      </c>
      <c r="R11" s="38">
        <f>ROUND(Scores2009_YOY!S11-Scores2008_YOY!S11,1)</f>
        <v>0</v>
      </c>
      <c r="S11" s="38">
        <f>ROUND(Scores2009!T11-Scores2008!T11,1)</f>
        <v>25</v>
      </c>
      <c r="T11" s="38">
        <f>ROUND(Scores2009!U11-Scores2008!U11,1)</f>
        <v>0</v>
      </c>
      <c r="U11" s="38">
        <f>ROUND(Scores2009!V11-Scores2008!V11,1)</f>
        <v>25</v>
      </c>
      <c r="V11" s="38">
        <f>ROUND(Scores2009!W11-Scores2008!W11,1)</f>
        <v>0</v>
      </c>
      <c r="W11" s="38">
        <f>ROUND(Scores2009!X11-Scores2008!X11,1)</f>
        <v>-25</v>
      </c>
      <c r="X11" s="38">
        <f>ROUND(Scores2009!Y11-Scores2008!Y11,1)</f>
        <v>0</v>
      </c>
      <c r="Y11" s="38">
        <f>ROUND(Scores2009!Z11-Scores2008!Z11,1)</f>
        <v>0</v>
      </c>
      <c r="Z11" s="38">
        <f>ROUND(Scores2009!AA11-Scores2008!AA11,1)</f>
        <v>25</v>
      </c>
      <c r="AA11" s="38">
        <f>ROUND(Scores2009!AB11-Scores2008!AB11,1)</f>
        <v>-25</v>
      </c>
      <c r="AB11" s="38">
        <f>ROUND(Scores2009!AC11-Scores2008!AC11,1)</f>
        <v>0</v>
      </c>
      <c r="AC11" s="38">
        <f>ROUND(Scores2009!AD11-Scores2008!AD11,1)</f>
        <v>0</v>
      </c>
      <c r="AD11" s="38">
        <f>ROUND(Scores2009!AE11-Scores2008!AE11,1)</f>
        <v>0</v>
      </c>
      <c r="AE11" s="38">
        <f>ROUND(Scores2009!AF11-Scores2008!AF11,1)</f>
        <v>25</v>
      </c>
      <c r="AF11" s="38">
        <f>ROUND(Scores2009!AG11-Scores2008!AG11,1)</f>
        <v>0</v>
      </c>
      <c r="AG11" s="38">
        <f>ROUND(Scores2009!AH11-Scores2008!AH11,1)</f>
        <v>25</v>
      </c>
      <c r="AH11" s="38">
        <f>ROUND(Scores2009!AI11-Scores2008!AI11,1)</f>
        <v>0</v>
      </c>
      <c r="AI11" s="38">
        <f>ROUND(Scores2009!AJ11-Scores2008!AJ11,1)</f>
        <v>25</v>
      </c>
      <c r="AJ11" s="38">
        <f>ROUND(Scores2009!AK11-Scores2008!AK11,1)</f>
        <v>0</v>
      </c>
      <c r="AK11" s="38"/>
      <c r="AL11" s="38"/>
    </row>
    <row r="12" spans="1:38">
      <c r="B12" t="str">
        <f>tblIndicators!A7</f>
        <v>LEGF04</v>
      </c>
      <c r="C12" t="str">
        <f>tblIndicators!B7</f>
        <v>LEGF</v>
      </c>
      <c r="D12" t="str">
        <f>tblIndicators!D7</f>
        <v>XX</v>
      </c>
      <c r="E12">
        <f>tblIndicators!E7</f>
        <v>0</v>
      </c>
      <c r="F12">
        <f>tblIndicators!F7</f>
        <v>25</v>
      </c>
      <c r="G12">
        <f>tblIndicators!G7</f>
        <v>0</v>
      </c>
      <c r="H12">
        <f>MIN(Data2010!D9:V9)</f>
        <v>0</v>
      </c>
      <c r="I12">
        <f>MAX(Data2010!D9:V9)</f>
        <v>3</v>
      </c>
      <c r="J12" s="22">
        <f t="shared" si="0"/>
        <v>3</v>
      </c>
      <c r="K12">
        <f>MATCH(B12,Weights!C$4:C$36,0)</f>
        <v>13</v>
      </c>
      <c r="L12">
        <f>INDEX(Weights!G$4:G$36,K12)</f>
        <v>2</v>
      </c>
      <c r="M12" s="36">
        <f t="shared" si="1"/>
        <v>0.25</v>
      </c>
      <c r="O12" t="str">
        <f>tblIndicators!Q7</f>
        <v xml:space="preserve">   Dispute resolution mechanisms</v>
      </c>
      <c r="P12" s="103">
        <f t="shared" si="2"/>
        <v>0.25</v>
      </c>
      <c r="R12" s="97">
        <f>ROUND(Scores2009_YOY!S12-Scores2008_YOY!S12,1)</f>
        <v>0</v>
      </c>
      <c r="S12" s="97">
        <f>ROUND(Scores2009!T12-Scores2008!T12,1)</f>
        <v>25</v>
      </c>
      <c r="T12" s="97">
        <f>ROUND(Scores2009!U12-Scores2008!U12,1)</f>
        <v>25</v>
      </c>
      <c r="U12" s="97">
        <f>ROUND(Scores2009!V12-Scores2008!V12,1)</f>
        <v>25</v>
      </c>
      <c r="V12" s="97">
        <f>ROUND(Scores2009!W12-Scores2008!W12,1)</f>
        <v>-25</v>
      </c>
      <c r="W12" s="97">
        <f>ROUND(Scores2009!X12-Scores2008!X12,1)</f>
        <v>0</v>
      </c>
      <c r="X12" s="97">
        <f>ROUND(Scores2009!Y12-Scores2008!Y12,1)</f>
        <v>0</v>
      </c>
      <c r="Y12" s="97">
        <f>ROUND(Scores2009!Z12-Scores2008!Z12,1)</f>
        <v>0</v>
      </c>
      <c r="Z12" s="97">
        <f>ROUND(Scores2009!AA12-Scores2008!AA12,1)</f>
        <v>25</v>
      </c>
      <c r="AA12" s="97">
        <f>ROUND(Scores2009!AB12-Scores2008!AB12,1)</f>
        <v>0</v>
      </c>
      <c r="AB12" s="97">
        <f>ROUND(Scores2009!AC12-Scores2008!AC12,1)</f>
        <v>0</v>
      </c>
      <c r="AC12" s="97">
        <f>ROUND(Scores2009!AD12-Scores2008!AD12,1)</f>
        <v>25</v>
      </c>
      <c r="AD12" s="97">
        <f>ROUND(Scores2009!AE12-Scores2008!AE12,1)</f>
        <v>0</v>
      </c>
      <c r="AE12" s="97">
        <f>ROUND(Scores2009!AF12-Scores2008!AF12,1)</f>
        <v>0</v>
      </c>
      <c r="AF12" s="97">
        <f>ROUND(Scores2009!AG12-Scores2008!AG12,1)</f>
        <v>0</v>
      </c>
      <c r="AG12" s="97">
        <f>ROUND(Scores2009!AH12-Scores2008!AH12,1)</f>
        <v>25</v>
      </c>
      <c r="AH12" s="97">
        <f>ROUND(Scores2009!AI12-Scores2008!AI12,1)</f>
        <v>0</v>
      </c>
      <c r="AI12" s="97">
        <f>ROUND(Scores2009!AJ12-Scores2008!AJ12,1)</f>
        <v>0</v>
      </c>
      <c r="AJ12" s="97">
        <f>ROUND(Scores2009!AK12-Scores2008!AK12,1)</f>
        <v>0</v>
      </c>
      <c r="AK12" s="97"/>
      <c r="AL12" s="97"/>
    </row>
    <row r="13" spans="1:38" s="95" customFormat="1">
      <c r="B13" s="95" t="str">
        <f>tblIndicators!A8</f>
        <v>INST</v>
      </c>
      <c r="C13" s="95" t="str">
        <f>tblIndicators!B8</f>
        <v>TOTL</v>
      </c>
      <c r="D13" s="95" t="str">
        <f>tblIndicators!D8</f>
        <v>WS</v>
      </c>
      <c r="E13" s="95">
        <f>tblIndicators!E8</f>
        <v>0</v>
      </c>
      <c r="F13" s="95">
        <f>tblIndicators!F8</f>
        <v>0</v>
      </c>
      <c r="G13" s="95">
        <f>tblIndicators!G8</f>
        <v>0</v>
      </c>
      <c r="H13" s="95">
        <f>MIN(Data2010!D10:V10)</f>
        <v>0</v>
      </c>
      <c r="I13" s="95">
        <f>MAX(Data2010!D10:V10)</f>
        <v>0</v>
      </c>
      <c r="J13" s="96">
        <f t="shared" si="0"/>
        <v>0</v>
      </c>
      <c r="K13" s="95">
        <f>MATCH(B13,Weights!C$4:C$36,0)</f>
        <v>2</v>
      </c>
      <c r="L13" s="95">
        <f>INDEX(Weights!G$4:G$36,K13)</f>
        <v>1.2</v>
      </c>
      <c r="M13" s="98">
        <f t="shared" si="1"/>
        <v>0.22222222222222221</v>
      </c>
      <c r="O13" s="95" t="str">
        <f>tblIndicators!Q8</f>
        <v>INSTITUTIONAL FRAMEWORK</v>
      </c>
      <c r="P13" s="102">
        <f t="shared" si="2"/>
        <v>0.22222222222222221</v>
      </c>
      <c r="R13" s="38">
        <f>ROUND(Scores2009_YOY!S13-Scores2008_YOY!S13,1)</f>
        <v>16.7</v>
      </c>
      <c r="S13" s="38">
        <f>ROUND(Scores2009!T13-Scores2008!T13,1)</f>
        <v>12.5</v>
      </c>
      <c r="T13" s="38">
        <f>ROUND(Scores2009!U13-Scores2008!U13,1)</f>
        <v>25</v>
      </c>
      <c r="U13" s="38">
        <f>ROUND(Scores2009!V13-Scores2008!V13,1)</f>
        <v>12.5</v>
      </c>
      <c r="V13" s="38">
        <f>ROUND(Scores2009!W13-Scores2008!W13,1)</f>
        <v>0</v>
      </c>
      <c r="W13" s="38">
        <f>ROUND(Scores2009!X13-Scores2008!X13,1)</f>
        <v>-16.7</v>
      </c>
      <c r="X13" s="38">
        <f>ROUND(Scores2009!Y13-Scores2008!Y13,1)</f>
        <v>0</v>
      </c>
      <c r="Y13" s="38">
        <f>ROUND(Scores2009!Z13-Scores2008!Z13,1)</f>
        <v>8.3000000000000007</v>
      </c>
      <c r="Z13" s="38">
        <f>ROUND(Scores2009!AA13-Scores2008!AA13,1)</f>
        <v>25</v>
      </c>
      <c r="AA13" s="38">
        <f>ROUND(Scores2009!AB13-Scores2008!AB13,1)</f>
        <v>-4.2</v>
      </c>
      <c r="AB13" s="38">
        <f>ROUND(Scores2009!AC13-Scores2008!AC13,1)</f>
        <v>-12.5</v>
      </c>
      <c r="AC13" s="38">
        <f>ROUND(Scores2009!AD13-Scores2008!AD13,1)</f>
        <v>20.8</v>
      </c>
      <c r="AD13" s="38">
        <f>ROUND(Scores2009!AE13-Scores2008!AE13,1)</f>
        <v>12.5</v>
      </c>
      <c r="AE13" s="38">
        <f>ROUND(Scores2009!AF13-Scores2008!AF13,1)</f>
        <v>12.5</v>
      </c>
      <c r="AF13" s="38">
        <f>ROUND(Scores2009!AG13-Scores2008!AG13,1)</f>
        <v>0</v>
      </c>
      <c r="AG13" s="38">
        <f>ROUND(Scores2009!AH13-Scores2008!AH13,1)</f>
        <v>25</v>
      </c>
      <c r="AH13" s="38">
        <f>ROUND(Scores2009!AI13-Scores2008!AI13,1)</f>
        <v>0</v>
      </c>
      <c r="AI13" s="38">
        <f>ROUND(Scores2009!AJ13-Scores2008!AJ13,1)</f>
        <v>-4.2</v>
      </c>
      <c r="AJ13" s="38">
        <f>ROUND(Scores2009!AK13-Scores2008!AK13,1)</f>
        <v>0</v>
      </c>
      <c r="AK13" s="38"/>
      <c r="AL13" s="38"/>
    </row>
    <row r="14" spans="1:38">
      <c r="B14" t="str">
        <f>tblIndicators!A9</f>
        <v>INST01</v>
      </c>
      <c r="C14" t="str">
        <f>tblIndicators!B9</f>
        <v>INST</v>
      </c>
      <c r="D14" t="str">
        <f>tblIndicators!D9</f>
        <v>XX</v>
      </c>
      <c r="E14">
        <f>tblIndicators!E9</f>
        <v>0</v>
      </c>
      <c r="F14">
        <f>tblIndicators!F9</f>
        <v>25</v>
      </c>
      <c r="G14">
        <f>tblIndicators!G9</f>
        <v>0</v>
      </c>
      <c r="H14">
        <f>MIN(Data2010!D11:V11)</f>
        <v>0</v>
      </c>
      <c r="I14">
        <f>MAX(Data2010!D11:V11)</f>
        <v>3</v>
      </c>
      <c r="J14" s="22">
        <f t="shared" si="0"/>
        <v>3</v>
      </c>
      <c r="K14">
        <f>MATCH(B14,Weights!C$4:C$36,0)</f>
        <v>15</v>
      </c>
      <c r="L14">
        <f>INDEX(Weights!G$4:G$36,K14)</f>
        <v>2</v>
      </c>
      <c r="M14" s="36">
        <f t="shared" si="1"/>
        <v>0.66666666666666663</v>
      </c>
      <c r="O14" t="str">
        <f>tblIndicators!Q9</f>
        <v xml:space="preserve">   Quality of institutional design</v>
      </c>
      <c r="P14" s="103">
        <f t="shared" si="2"/>
        <v>0.66666666666666663</v>
      </c>
      <c r="R14" s="38">
        <f>ROUND(Scores2009_YOY!S14-Scores2008_YOY!S14,1)</f>
        <v>25</v>
      </c>
      <c r="S14" s="38">
        <f>ROUND(Scores2009!T14-Scores2008!T14,1)</f>
        <v>0</v>
      </c>
      <c r="T14" s="38">
        <f>ROUND(Scores2009!U14-Scores2008!U14,1)</f>
        <v>25</v>
      </c>
      <c r="U14" s="38">
        <f>ROUND(Scores2009!V14-Scores2008!V14,1)</f>
        <v>25</v>
      </c>
      <c r="V14" s="38">
        <f>ROUND(Scores2009!W14-Scores2008!W14,1)</f>
        <v>0</v>
      </c>
      <c r="W14" s="38">
        <f>ROUND(Scores2009!X14-Scores2008!X14,1)</f>
        <v>-25</v>
      </c>
      <c r="X14" s="38">
        <f>ROUND(Scores2009!Y14-Scores2008!Y14,1)</f>
        <v>0</v>
      </c>
      <c r="Y14" s="38">
        <f>ROUND(Scores2009!Z14-Scores2008!Z14,1)</f>
        <v>25</v>
      </c>
      <c r="Z14" s="38">
        <f>ROUND(Scores2009!AA14-Scores2008!AA14,1)</f>
        <v>25</v>
      </c>
      <c r="AA14" s="38">
        <f>ROUND(Scores2009!AB14-Scores2008!AB14,1)</f>
        <v>0</v>
      </c>
      <c r="AB14" s="38">
        <f>ROUND(Scores2009!AC14-Scores2008!AC14,1)</f>
        <v>-25</v>
      </c>
      <c r="AC14" s="38">
        <f>ROUND(Scores2009!AD14-Scores2008!AD14,1)</f>
        <v>25</v>
      </c>
      <c r="AD14" s="38">
        <f>ROUND(Scores2009!AE14-Scores2008!AE14,1)</f>
        <v>25</v>
      </c>
      <c r="AE14" s="38">
        <f>ROUND(Scores2009!AF14-Scores2008!AF14,1)</f>
        <v>25</v>
      </c>
      <c r="AF14" s="38">
        <f>ROUND(Scores2009!AG14-Scores2008!AG14,1)</f>
        <v>0</v>
      </c>
      <c r="AG14" s="38">
        <f>ROUND(Scores2009!AH14-Scores2008!AH14,1)</f>
        <v>25</v>
      </c>
      <c r="AH14" s="38">
        <f>ROUND(Scores2009!AI14-Scores2008!AI14,1)</f>
        <v>0</v>
      </c>
      <c r="AI14" s="38">
        <f>ROUND(Scores2009!AJ14-Scores2008!AJ14,1)</f>
        <v>0</v>
      </c>
      <c r="AJ14" s="38">
        <f>ROUND(Scores2009!AK14-Scores2008!AK14,1)</f>
        <v>0</v>
      </c>
      <c r="AK14" s="38"/>
      <c r="AL14" s="38"/>
    </row>
    <row r="15" spans="1:38">
      <c r="B15" t="str">
        <f>tblIndicators!A10</f>
        <v>INST02</v>
      </c>
      <c r="C15" t="str">
        <f>tblIndicators!B10</f>
        <v>INST</v>
      </c>
      <c r="D15" t="str">
        <f>tblIndicators!D10</f>
        <v>XX</v>
      </c>
      <c r="E15">
        <f>tblIndicators!E10</f>
        <v>0</v>
      </c>
      <c r="F15">
        <f>tblIndicators!F10</f>
        <v>25</v>
      </c>
      <c r="G15">
        <f>tblIndicators!G10</f>
        <v>0</v>
      </c>
      <c r="H15">
        <f>MIN(Data2010!D12:V12)</f>
        <v>0</v>
      </c>
      <c r="I15">
        <f>MAX(Data2010!D12:V12)</f>
        <v>3</v>
      </c>
      <c r="J15" s="22">
        <f t="shared" si="0"/>
        <v>3</v>
      </c>
      <c r="K15">
        <f>MATCH(B15,Weights!C$4:C$36,0)</f>
        <v>16</v>
      </c>
      <c r="L15">
        <f>INDEX(Weights!G$4:G$36,K15)</f>
        <v>1</v>
      </c>
      <c r="M15" s="36">
        <f t="shared" si="1"/>
        <v>0.33333333333333331</v>
      </c>
      <c r="O15" t="str">
        <f>tblIndicators!Q10</f>
        <v xml:space="preserve">   PPP contract, hold-up and expropriation risk</v>
      </c>
      <c r="P15" s="103">
        <f t="shared" si="2"/>
        <v>0.33333333333333331</v>
      </c>
      <c r="R15" s="97">
        <f>ROUND(Scores2009_YOY!S15-Scores2008_YOY!S15,1)</f>
        <v>0</v>
      </c>
      <c r="S15" s="97">
        <f>ROUND(Scores2009!T15-Scores2008!T15,1)</f>
        <v>25</v>
      </c>
      <c r="T15" s="97">
        <f>ROUND(Scores2009!U15-Scores2008!U15,1)</f>
        <v>25</v>
      </c>
      <c r="U15" s="97">
        <f>ROUND(Scores2009!V15-Scores2008!V15,1)</f>
        <v>0</v>
      </c>
      <c r="V15" s="97">
        <f>ROUND(Scores2009!W15-Scores2008!W15,1)</f>
        <v>0</v>
      </c>
      <c r="W15" s="97">
        <f>ROUND(Scores2009!X15-Scores2008!X15,1)</f>
        <v>0</v>
      </c>
      <c r="X15" s="97">
        <f>ROUND(Scores2009!Y15-Scores2008!Y15,1)</f>
        <v>0</v>
      </c>
      <c r="Y15" s="97">
        <f>ROUND(Scores2009!Z15-Scores2008!Z15,1)</f>
        <v>0</v>
      </c>
      <c r="Z15" s="97">
        <f>ROUND(Scores2009!AA15-Scores2008!AA15,1)</f>
        <v>25</v>
      </c>
      <c r="AA15" s="97">
        <f>ROUND(Scores2009!AB15-Scores2008!AB15,1)</f>
        <v>0</v>
      </c>
      <c r="AB15" s="97">
        <f>ROUND(Scores2009!AC15-Scores2008!AC15,1)</f>
        <v>0</v>
      </c>
      <c r="AC15" s="97">
        <f>ROUND(Scores2009!AD15-Scores2008!AD15,1)</f>
        <v>25</v>
      </c>
      <c r="AD15" s="97">
        <f>ROUND(Scores2009!AE15-Scores2008!AE15,1)</f>
        <v>0</v>
      </c>
      <c r="AE15" s="97">
        <f>ROUND(Scores2009!AF15-Scores2008!AF15,1)</f>
        <v>0</v>
      </c>
      <c r="AF15" s="97">
        <f>ROUND(Scores2009!AG15-Scores2008!AG15,1)</f>
        <v>0</v>
      </c>
      <c r="AG15" s="97">
        <f>ROUND(Scores2009!AH15-Scores2008!AH15,1)</f>
        <v>25</v>
      </c>
      <c r="AH15" s="97">
        <f>ROUND(Scores2009!AI15-Scores2008!AI15,1)</f>
        <v>0</v>
      </c>
      <c r="AI15" s="97">
        <f>ROUND(Scores2009!AJ15-Scores2008!AJ15,1)</f>
        <v>0</v>
      </c>
      <c r="AJ15" s="97">
        <f>ROUND(Scores2009!AK15-Scores2008!AK15,1)</f>
        <v>0</v>
      </c>
      <c r="AK15" s="97"/>
      <c r="AL15" s="97"/>
    </row>
    <row r="16" spans="1:38" s="95" customFormat="1">
      <c r="B16" s="95" t="str">
        <f>tblIndicators!A11</f>
        <v>OPER</v>
      </c>
      <c r="C16" s="95" t="str">
        <f>tblIndicators!B11</f>
        <v>TOTL</v>
      </c>
      <c r="D16" s="95" t="str">
        <f>tblIndicators!D11</f>
        <v>WS</v>
      </c>
      <c r="E16" s="95">
        <f>tblIndicators!E11</f>
        <v>0</v>
      </c>
      <c r="F16" s="95">
        <f>tblIndicators!F11</f>
        <v>0</v>
      </c>
      <c r="G16" s="95">
        <f>tblIndicators!G11</f>
        <v>0</v>
      </c>
      <c r="H16" s="95">
        <f>MIN(Data2010!D13:V13)</f>
        <v>0</v>
      </c>
      <c r="I16" s="95">
        <f>MAX(Data2010!D13:V13)</f>
        <v>0</v>
      </c>
      <c r="J16" s="96">
        <f t="shared" si="0"/>
        <v>0</v>
      </c>
      <c r="K16" s="95">
        <f>MATCH(B16,Weights!C$4:C$36,0)</f>
        <v>3</v>
      </c>
      <c r="L16" s="95">
        <f>INDEX(Weights!G$4:G$36,K16)</f>
        <v>0.9</v>
      </c>
      <c r="M16" s="98">
        <f t="shared" si="1"/>
        <v>0.16666666666666666</v>
      </c>
      <c r="O16" s="95" t="str">
        <f>tblIndicators!Q11</f>
        <v>OPERATIONAL MATURITY</v>
      </c>
      <c r="P16" s="102">
        <f t="shared" si="2"/>
        <v>0.16666666666666666</v>
      </c>
      <c r="R16" s="38">
        <f>ROUND(Scores2009_YOY!S16-Scores2008_YOY!S16,1)</f>
        <v>-5.4</v>
      </c>
      <c r="S16" s="38">
        <f>ROUND(Scores2009!T16-Scores2008!T16,1)</f>
        <v>20.8</v>
      </c>
      <c r="T16" s="38">
        <f>ROUND(Scores2009!U16-Scores2008!U16,1)</f>
        <v>-1.7</v>
      </c>
      <c r="U16" s="38">
        <f>ROUND(Scores2009!V16-Scores2008!V16,1)</f>
        <v>2</v>
      </c>
      <c r="V16" s="38">
        <f>ROUND(Scores2009!W16-Scores2008!W16,1)</f>
        <v>-12.9</v>
      </c>
      <c r="W16" s="38">
        <f>ROUND(Scores2009!X16-Scores2008!X16,1)</f>
        <v>-24.6</v>
      </c>
      <c r="X16" s="38">
        <f>ROUND(Scores2009!Y16-Scores2008!Y16,1)</f>
        <v>-6.4</v>
      </c>
      <c r="Y16" s="38">
        <f>ROUND(Scores2009!Z16-Scores2008!Z16,1)</f>
        <v>4.3</v>
      </c>
      <c r="Z16" s="38">
        <f>ROUND(Scores2009!AA16-Scores2008!AA16,1)</f>
        <v>26.8</v>
      </c>
      <c r="AA16" s="38">
        <f>ROUND(Scores2009!AB16-Scores2008!AB16,1)</f>
        <v>13.8</v>
      </c>
      <c r="AB16" s="38">
        <f>ROUND(Scores2009!AC16-Scores2008!AC16,1)</f>
        <v>8.3000000000000007</v>
      </c>
      <c r="AC16" s="38">
        <f>ROUND(Scores2009!AD16-Scores2008!AD16,1)</f>
        <v>6.7</v>
      </c>
      <c r="AD16" s="38">
        <f>ROUND(Scores2009!AE16-Scores2008!AE16,1)</f>
        <v>4.5999999999999996</v>
      </c>
      <c r="AE16" s="38">
        <f>ROUND(Scores2009!AF16-Scores2008!AF16,1)</f>
        <v>4.3</v>
      </c>
      <c r="AF16" s="38">
        <f>ROUND(Scores2009!AG16-Scores2008!AG16,1)</f>
        <v>7.1</v>
      </c>
      <c r="AG16" s="38">
        <f>ROUND(Scores2009!AH16-Scores2008!AH16,1)</f>
        <v>0.5</v>
      </c>
      <c r="AH16" s="38">
        <f>ROUND(Scores2009!AI16-Scores2008!AI16,1)</f>
        <v>5.2</v>
      </c>
      <c r="AI16" s="38">
        <f>ROUND(Scores2009!AJ16-Scores2008!AJ16,1)</f>
        <v>6</v>
      </c>
      <c r="AJ16" s="38">
        <f>ROUND(Scores2009!AK16-Scores2008!AK16,1)</f>
        <v>-4.2</v>
      </c>
      <c r="AK16" s="38"/>
      <c r="AL16" s="38"/>
    </row>
    <row r="17" spans="1:38">
      <c r="B17" t="str">
        <f>tblIndicators!A12</f>
        <v>OPER01</v>
      </c>
      <c r="C17" t="str">
        <f>tblIndicators!B12</f>
        <v>OPER</v>
      </c>
      <c r="D17" t="str">
        <f>tblIndicators!D12</f>
        <v>XX</v>
      </c>
      <c r="E17">
        <f>tblIndicators!E12</f>
        <v>0</v>
      </c>
      <c r="F17">
        <f>tblIndicators!F12</f>
        <v>25</v>
      </c>
      <c r="G17">
        <f>tblIndicators!G12</f>
        <v>0</v>
      </c>
      <c r="H17">
        <f>MIN(Data2010!D14:V14)</f>
        <v>0</v>
      </c>
      <c r="I17">
        <f>MAX(Data2010!D14:V14)</f>
        <v>3</v>
      </c>
      <c r="J17" s="22">
        <f t="shared" si="0"/>
        <v>3</v>
      </c>
      <c r="K17">
        <f>MATCH(B17,Weights!C$4:C$36,0)</f>
        <v>18</v>
      </c>
      <c r="L17">
        <f>INDEX(Weights!G$4:G$36,K17)</f>
        <v>2</v>
      </c>
      <c r="M17" s="36">
        <f t="shared" si="1"/>
        <v>0.25</v>
      </c>
      <c r="O17" t="str">
        <f>tblIndicators!Q12</f>
        <v xml:space="preserve">   Public capacity to plan and oversee PPPs</v>
      </c>
      <c r="P17" s="103">
        <f t="shared" si="2"/>
        <v>0.25</v>
      </c>
      <c r="R17" s="38">
        <f>ROUND(Scores2009_YOY!S17-Scores2008_YOY!S17,1)</f>
        <v>-25</v>
      </c>
      <c r="S17" s="38">
        <f>ROUND(Scores2009!T17-Scores2008!T17,1)</f>
        <v>25</v>
      </c>
      <c r="T17" s="38">
        <f>ROUND(Scores2009!U17-Scores2008!U17,1)</f>
        <v>0</v>
      </c>
      <c r="U17" s="38">
        <f>ROUND(Scores2009!V17-Scores2008!V17,1)</f>
        <v>0</v>
      </c>
      <c r="V17" s="38">
        <f>ROUND(Scores2009!W17-Scores2008!W17,1)</f>
        <v>0</v>
      </c>
      <c r="W17" s="38">
        <f>ROUND(Scores2009!X17-Scores2008!X17,1)</f>
        <v>-25</v>
      </c>
      <c r="X17" s="38">
        <f>ROUND(Scores2009!Y17-Scores2008!Y17,1)</f>
        <v>0</v>
      </c>
      <c r="Y17" s="38">
        <f>ROUND(Scores2009!Z17-Scores2008!Z17,1)</f>
        <v>0</v>
      </c>
      <c r="Z17" s="38">
        <f>ROUND(Scores2009!AA17-Scores2008!AA17,1)</f>
        <v>0</v>
      </c>
      <c r="AA17" s="38">
        <f>ROUND(Scores2009!AB17-Scores2008!AB17,1)</f>
        <v>0</v>
      </c>
      <c r="AB17" s="38">
        <f>ROUND(Scores2009!AC17-Scores2008!AC17,1)</f>
        <v>25</v>
      </c>
      <c r="AC17" s="38">
        <f>ROUND(Scores2009!AD17-Scores2008!AD17,1)</f>
        <v>25</v>
      </c>
      <c r="AD17" s="38">
        <f>ROUND(Scores2009!AE17-Scores2008!AE17,1)</f>
        <v>25</v>
      </c>
      <c r="AE17" s="38">
        <f>ROUND(Scores2009!AF17-Scores2008!AF17,1)</f>
        <v>0</v>
      </c>
      <c r="AF17" s="38">
        <f>ROUND(Scores2009!AG17-Scores2008!AG17,1)</f>
        <v>25</v>
      </c>
      <c r="AG17" s="38">
        <f>ROUND(Scores2009!AH17-Scores2008!AH17,1)</f>
        <v>25</v>
      </c>
      <c r="AH17" s="38">
        <f>ROUND(Scores2009!AI17-Scores2008!AI17,1)</f>
        <v>25</v>
      </c>
      <c r="AI17" s="38">
        <f>ROUND(Scores2009!AJ17-Scores2008!AJ17,1)</f>
        <v>25</v>
      </c>
      <c r="AJ17" s="38">
        <f>ROUND(Scores2009!AK17-Scores2008!AK17,1)</f>
        <v>-25</v>
      </c>
      <c r="AK17" s="38"/>
      <c r="AL17" s="38"/>
    </row>
    <row r="18" spans="1:38">
      <c r="B18" t="str">
        <f>tblIndicators!A13</f>
        <v>OPER02</v>
      </c>
      <c r="C18" t="str">
        <f>tblIndicators!B13</f>
        <v>OPER</v>
      </c>
      <c r="D18" t="str">
        <f>tblIndicators!D13</f>
        <v>XX</v>
      </c>
      <c r="E18">
        <f>tblIndicators!E13</f>
        <v>0</v>
      </c>
      <c r="F18">
        <f>tblIndicators!F13</f>
        <v>25</v>
      </c>
      <c r="G18">
        <f>tblIndicators!G13</f>
        <v>0</v>
      </c>
      <c r="H18">
        <f>MIN(Data2010!D15:V15)</f>
        <v>0</v>
      </c>
      <c r="I18">
        <f>MAX(Data2010!D15:V15)</f>
        <v>4</v>
      </c>
      <c r="J18" s="22">
        <f t="shared" si="0"/>
        <v>4</v>
      </c>
      <c r="K18">
        <f>MATCH(B18,Weights!C$4:C$36,0)</f>
        <v>19</v>
      </c>
      <c r="L18">
        <f>INDEX(Weights!G$4:G$36,K18)</f>
        <v>1</v>
      </c>
      <c r="M18" s="36">
        <f t="shared" si="1"/>
        <v>0.125</v>
      </c>
      <c r="O18" t="str">
        <f>tblIndicators!Q13</f>
        <v xml:space="preserve">   Methods and criteria for awarding projects </v>
      </c>
      <c r="P18" s="103">
        <f t="shared" si="2"/>
        <v>0.125</v>
      </c>
      <c r="R18" s="38">
        <f>ROUND(Scores2009_YOY!S18-Scores2008_YOY!S18,1)</f>
        <v>-25</v>
      </c>
      <c r="S18" s="38">
        <f>ROUND(Scores2009!T18-Scores2008!T18,1)</f>
        <v>25</v>
      </c>
      <c r="T18" s="38">
        <f>ROUND(Scores2009!U18-Scores2008!U18,1)</f>
        <v>25</v>
      </c>
      <c r="U18" s="38">
        <f>ROUND(Scores2009!V18-Scores2008!V18,1)</f>
        <v>0</v>
      </c>
      <c r="V18" s="38">
        <f>ROUND(Scores2009!W18-Scores2008!W18,1)</f>
        <v>0</v>
      </c>
      <c r="W18" s="38">
        <f>ROUND(Scores2009!X18-Scores2008!X18,1)</f>
        <v>0</v>
      </c>
      <c r="X18" s="38">
        <f>ROUND(Scores2009!Y18-Scores2008!Y18,1)</f>
        <v>0</v>
      </c>
      <c r="Y18" s="38">
        <f>ROUND(Scores2009!Z18-Scores2008!Z18,1)</f>
        <v>0</v>
      </c>
      <c r="Z18" s="38">
        <f>ROUND(Scores2009!AA18-Scores2008!AA18,1)</f>
        <v>0</v>
      </c>
      <c r="AA18" s="38">
        <f>ROUND(Scores2009!AB18-Scores2008!AB18,1)</f>
        <v>-25</v>
      </c>
      <c r="AB18" s="38">
        <f>ROUND(Scores2009!AC18-Scores2008!AC18,1)</f>
        <v>25</v>
      </c>
      <c r="AC18" s="38">
        <f>ROUND(Scores2009!AD18-Scores2008!AD18,1)</f>
        <v>25</v>
      </c>
      <c r="AD18" s="38">
        <f>ROUND(Scores2009!AE18-Scores2008!AE18,1)</f>
        <v>0</v>
      </c>
      <c r="AE18" s="38">
        <f>ROUND(Scores2009!AF18-Scores2008!AF18,1)</f>
        <v>25</v>
      </c>
      <c r="AF18" s="38">
        <f>ROUND(Scores2009!AG18-Scores2008!AG18,1)</f>
        <v>25</v>
      </c>
      <c r="AG18" s="38">
        <f>ROUND(Scores2009!AH18-Scores2008!AH18,1)</f>
        <v>25</v>
      </c>
      <c r="AH18" s="38">
        <f>ROUND(Scores2009!AI18-Scores2008!AI18,1)</f>
        <v>0</v>
      </c>
      <c r="AI18" s="38">
        <f>ROUND(Scores2009!AJ18-Scores2008!AJ18,1)</f>
        <v>0</v>
      </c>
      <c r="AJ18" s="38">
        <f>ROUND(Scores2009!AK18-Scores2008!AK18,1)</f>
        <v>0</v>
      </c>
      <c r="AK18" s="38"/>
      <c r="AL18" s="38"/>
    </row>
    <row r="19" spans="1:38">
      <c r="B19" t="str">
        <f>tblIndicators!A14</f>
        <v>OPER03</v>
      </c>
      <c r="C19" t="str">
        <f>tblIndicators!B14</f>
        <v>OPER</v>
      </c>
      <c r="D19" t="str">
        <f>tblIndicators!D14</f>
        <v>XX</v>
      </c>
      <c r="E19">
        <f>tblIndicators!E14</f>
        <v>0</v>
      </c>
      <c r="F19">
        <f>tblIndicators!F14</f>
        <v>25</v>
      </c>
      <c r="G19">
        <f>tblIndicators!G14</f>
        <v>0</v>
      </c>
      <c r="H19">
        <f>MIN(Data2010!D16:V16)</f>
        <v>0</v>
      </c>
      <c r="I19">
        <f>MAX(Data2010!D16:V16)</f>
        <v>3</v>
      </c>
      <c r="J19" s="22">
        <f t="shared" si="0"/>
        <v>3</v>
      </c>
      <c r="K19">
        <f>MATCH(B19,Weights!C$4:C$36,0)</f>
        <v>20</v>
      </c>
      <c r="L19">
        <f>INDEX(Weights!G$4:G$36,K19)</f>
        <v>1</v>
      </c>
      <c r="M19" s="36">
        <f t="shared" si="1"/>
        <v>0.125</v>
      </c>
      <c r="O19" t="str">
        <f>tblIndicators!Q14</f>
        <v xml:space="preserve">   Regulators' risk allocation record</v>
      </c>
      <c r="P19" s="103">
        <f t="shared" si="2"/>
        <v>0.125</v>
      </c>
      <c r="R19" s="38">
        <f>ROUND(Scores2009_YOY!S19-Scores2008_YOY!S19,1)</f>
        <v>0</v>
      </c>
      <c r="S19" s="38">
        <f>ROUND(Scores2009!T19-Scores2008!T19,1)</f>
        <v>25</v>
      </c>
      <c r="T19" s="38">
        <f>ROUND(Scores2009!U19-Scores2008!U19,1)</f>
        <v>25</v>
      </c>
      <c r="U19" s="38">
        <f>ROUND(Scores2009!V19-Scores2008!V19,1)</f>
        <v>0</v>
      </c>
      <c r="V19" s="38">
        <f>ROUND(Scores2009!W19-Scores2008!W19,1)</f>
        <v>-25</v>
      </c>
      <c r="W19" s="38">
        <f>ROUND(Scores2009!X19-Scores2008!X19,1)</f>
        <v>0</v>
      </c>
      <c r="X19" s="38">
        <f>ROUND(Scores2009!Y19-Scores2008!Y19,1)</f>
        <v>0</v>
      </c>
      <c r="Y19" s="38">
        <f>ROUND(Scores2009!Z19-Scores2008!Z19,1)</f>
        <v>25</v>
      </c>
      <c r="Z19" s="38">
        <f>ROUND(Scores2009!AA19-Scores2008!AA19,1)</f>
        <v>25</v>
      </c>
      <c r="AA19" s="38">
        <f>ROUND(Scores2009!AB19-Scores2008!AB19,1)</f>
        <v>0</v>
      </c>
      <c r="AB19" s="38">
        <f>ROUND(Scores2009!AC19-Scores2008!AC19,1)</f>
        <v>0</v>
      </c>
      <c r="AC19" s="38">
        <f>ROUND(Scores2009!AD19-Scores2008!AD19,1)</f>
        <v>25</v>
      </c>
      <c r="AD19" s="38">
        <f>ROUND(Scores2009!AE19-Scores2008!AE19,1)</f>
        <v>0</v>
      </c>
      <c r="AE19" s="38">
        <f>ROUND(Scores2009!AF19-Scores2008!AF19,1)</f>
        <v>25</v>
      </c>
      <c r="AF19" s="38">
        <f>ROUND(Scores2009!AG19-Scores2008!AG19,1)</f>
        <v>0</v>
      </c>
      <c r="AG19" s="38">
        <f>ROUND(Scores2009!AH19-Scores2008!AH19,1)</f>
        <v>0</v>
      </c>
      <c r="AH19" s="38">
        <f>ROUND(Scores2009!AI19-Scores2008!AI19,1)</f>
        <v>0</v>
      </c>
      <c r="AI19" s="38">
        <f>ROUND(Scores2009!AJ19-Scores2008!AJ19,1)</f>
        <v>0</v>
      </c>
      <c r="AJ19" s="38">
        <f>ROUND(Scores2009!AK19-Scores2008!AK19,1)</f>
        <v>0</v>
      </c>
      <c r="AK19" s="38"/>
      <c r="AL19" s="38"/>
    </row>
    <row r="20" spans="1:38">
      <c r="B20" t="str">
        <f>tblIndicators!A15</f>
        <v>OPER04</v>
      </c>
      <c r="C20" t="str">
        <f>tblIndicators!B15</f>
        <v>OPER</v>
      </c>
      <c r="D20" t="str">
        <f>tblIndicators!D15</f>
        <v>MM</v>
      </c>
      <c r="E20">
        <f>tblIndicators!E15</f>
        <v>0</v>
      </c>
      <c r="F20">
        <f>tblIndicators!F15</f>
        <v>1</v>
      </c>
      <c r="G20">
        <f>tblIndicators!G15</f>
        <v>0</v>
      </c>
      <c r="H20">
        <f>MIN(Data2010!D17:V17)</f>
        <v>0</v>
      </c>
      <c r="I20">
        <f>MAX(Data2010!D17:V17)</f>
        <v>168</v>
      </c>
      <c r="J20" s="22">
        <f t="shared" si="0"/>
        <v>168</v>
      </c>
      <c r="K20">
        <f>MATCH(B20,Weights!C$4:C$36,0)</f>
        <v>21</v>
      </c>
      <c r="L20">
        <f>INDEX(Weights!G$4:G$36,K20)</f>
        <v>2</v>
      </c>
      <c r="M20" s="36">
        <f t="shared" si="1"/>
        <v>0.25</v>
      </c>
      <c r="O20" t="str">
        <f>tblIndicators!Q15</f>
        <v xml:space="preserve">   Experience in PPP projects (concessions)</v>
      </c>
      <c r="P20" s="103">
        <f t="shared" si="2"/>
        <v>0.25</v>
      </c>
      <c r="R20" s="38">
        <f>ROUND(Scores2009_YOY!S20-Scores2008_YOY!S20,1)</f>
        <v>-9.3000000000000007</v>
      </c>
      <c r="S20" s="38">
        <f>ROUND(Scores2009!T20-Scores2008!T20,1)</f>
        <v>0</v>
      </c>
      <c r="T20" s="38">
        <f>ROUND(Scores2009!U20-Scores2008!U20,1)</f>
        <v>-17.100000000000001</v>
      </c>
      <c r="U20" s="38">
        <f>ROUND(Scores2009!V20-Scores2008!V20,1)</f>
        <v>-18.899999999999999</v>
      </c>
      <c r="V20" s="38">
        <f>ROUND(Scores2009!W20-Scores2008!W20,1)</f>
        <v>1.1000000000000001</v>
      </c>
      <c r="W20" s="38">
        <f>ROUND(Scores2009!X20-Scores2008!X20,1)</f>
        <v>-0.8</v>
      </c>
      <c r="X20" s="38">
        <f>ROUND(Scores2009!Y20-Scores2008!Y20,1)</f>
        <v>-4.4000000000000004</v>
      </c>
      <c r="Y20" s="38">
        <f>ROUND(Scores2009!Z20-Scores2008!Z20,1)</f>
        <v>0.6</v>
      </c>
      <c r="Z20" s="38">
        <f>ROUND(Scores2009!AA20-Scores2008!AA20,1)</f>
        <v>2.2000000000000002</v>
      </c>
      <c r="AA20" s="38">
        <f>ROUND(Scores2009!AB20-Scores2008!AB20,1)</f>
        <v>0.1</v>
      </c>
      <c r="AB20" s="38">
        <f>ROUND(Scores2009!AC20-Scores2008!AC20,1)</f>
        <v>-0.7</v>
      </c>
      <c r="AC20" s="38">
        <f>ROUND(Scores2009!AD20-Scores2008!AD20,1)</f>
        <v>-17.600000000000001</v>
      </c>
      <c r="AD20" s="38">
        <f>ROUND(Scores2009!AE20-Scores2008!AE20,1)</f>
        <v>1.4</v>
      </c>
      <c r="AE20" s="38">
        <f>ROUND(Scores2009!AF20-Scores2008!AF20,1)</f>
        <v>-0.5</v>
      </c>
      <c r="AF20" s="38">
        <f>ROUND(Scores2009!AG20-Scores2008!AG20,1)</f>
        <v>-1</v>
      </c>
      <c r="AG20" s="38">
        <f>ROUND(Scores2009!AH20-Scores2008!AH20,1)</f>
        <v>-4</v>
      </c>
      <c r="AH20" s="38">
        <f>ROUND(Scores2009!AI20-Scores2008!AI20,1)</f>
        <v>-0.4</v>
      </c>
      <c r="AI20" s="38">
        <f>ROUND(Scores2009!AJ20-Scores2008!AJ20,1)</f>
        <v>-2.4</v>
      </c>
      <c r="AJ20" s="38">
        <f>ROUND(Scores2009!AK20-Scores2008!AK20,1)</f>
        <v>-1.5</v>
      </c>
      <c r="AK20" s="38"/>
      <c r="AL20" s="38"/>
    </row>
    <row r="21" spans="1:38" s="175" customFormat="1">
      <c r="B21" s="175" t="str">
        <f>tblIndicators!A16</f>
        <v>OPER05</v>
      </c>
      <c r="C21" s="175" t="str">
        <f>tblIndicators!B16</f>
        <v>OPER</v>
      </c>
      <c r="D21" s="175" t="str">
        <f>tblIndicators!D16</f>
        <v>MM</v>
      </c>
      <c r="E21" s="175">
        <f>tblIndicators!E16</f>
        <v>0</v>
      </c>
      <c r="F21" s="175">
        <f>tblIndicators!F16</f>
        <v>25</v>
      </c>
      <c r="G21" s="175">
        <f>tblIndicators!G16</f>
        <v>0</v>
      </c>
      <c r="H21" s="175">
        <f>MIN(Data2010!D18:V18)</f>
        <v>0</v>
      </c>
      <c r="I21" s="175">
        <f>MAX(Data2010!D18:V18)</f>
        <v>4</v>
      </c>
      <c r="J21" s="22">
        <f t="shared" si="0"/>
        <v>4</v>
      </c>
      <c r="K21" s="175">
        <f>MATCH(B21,Weights!C$4:C$36,0)</f>
        <v>22</v>
      </c>
      <c r="L21" s="175">
        <f>INDEX(Weights!G$4:G$36,K21)</f>
        <v>2</v>
      </c>
      <c r="M21" s="36">
        <f t="shared" si="1"/>
        <v>0.25</v>
      </c>
      <c r="O21" s="175" t="str">
        <f>tblIndicators!Q16</f>
        <v xml:space="preserve">   Quality of PPP projects (concessions)</v>
      </c>
      <c r="P21" s="176">
        <f t="shared" si="2"/>
        <v>0.25</v>
      </c>
      <c r="R21" s="177">
        <f>ROUND(Scores2009_YOY!S21-Scores2008_YOY!S21,1)</f>
        <v>25</v>
      </c>
      <c r="S21" s="177">
        <f>ROUND(Scores2009!T21-Scores2008!T21,1)</f>
        <v>25</v>
      </c>
      <c r="T21" s="177">
        <f>ROUND(Scores2009!U21-Scores2008!U21,1)</f>
        <v>0</v>
      </c>
      <c r="U21" s="177">
        <f>ROUND(Scores2009!V21-Scores2008!V21,1)</f>
        <v>25</v>
      </c>
      <c r="V21" s="177">
        <f>ROUND(Scores2009!W21-Scores2008!W21,1)</f>
        <v>0</v>
      </c>
      <c r="W21" s="177">
        <f>ROUND(Scores2009!X21-Scores2008!X21,1)</f>
        <v>-50</v>
      </c>
      <c r="X21" s="177">
        <f>ROUND(Scores2009!Y21-Scores2008!Y21,1)</f>
        <v>0</v>
      </c>
      <c r="Y21" s="177">
        <f>ROUND(Scores2009!Z21-Scores2008!Z21,1)</f>
        <v>0</v>
      </c>
      <c r="Z21" s="177">
        <f>ROUND(Scores2009!AA21-Scores2008!AA21,1)</f>
        <v>100</v>
      </c>
      <c r="AA21" s="177">
        <f>ROUND(Scores2009!AB21-Scores2008!AB21,1)</f>
        <v>75</v>
      </c>
      <c r="AB21" s="177">
        <f>ROUND(Scores2009!AC21-Scores2008!AC21,1)</f>
        <v>0</v>
      </c>
      <c r="AC21" s="177">
        <f>ROUND(Scores2009!AD21-Scores2008!AD21,1)</f>
        <v>0</v>
      </c>
      <c r="AD21" s="177">
        <f>ROUND(Scores2009!AE21-Scores2008!AE21,1)</f>
        <v>0</v>
      </c>
      <c r="AE21" s="177">
        <f>ROUND(Scores2009!AF21-Scores2008!AF21,1)</f>
        <v>0</v>
      </c>
      <c r="AF21" s="177">
        <f>ROUND(Scores2009!AG21-Scores2008!AG21,1)</f>
        <v>0</v>
      </c>
      <c r="AG21" s="177">
        <f>ROUND(Scores2009!AH21-Scores2008!AH21,1)</f>
        <v>0</v>
      </c>
      <c r="AH21" s="177">
        <f>ROUND(Scores2009!AI21-Scores2008!AI21,1)</f>
        <v>0</v>
      </c>
      <c r="AI21" s="177">
        <f>ROUND(Scores2009!AJ21-Scores2008!AJ21,1)</f>
        <v>0</v>
      </c>
      <c r="AJ21" s="177">
        <f>ROUND(Scores2009!AK21-Scores2008!AK21,1)</f>
        <v>0</v>
      </c>
      <c r="AK21" s="177"/>
      <c r="AL21" s="177"/>
    </row>
    <row r="22" spans="1:38" s="39" customFormat="1">
      <c r="B22" s="39" t="str">
        <f>tblIndicators!A17</f>
        <v>INVT</v>
      </c>
      <c r="C22" s="39" t="str">
        <f>tblIndicators!B17</f>
        <v>TOTL</v>
      </c>
      <c r="D22" s="39" t="str">
        <f>tblIndicators!D17</f>
        <v>WS</v>
      </c>
      <c r="E22" s="39">
        <f>tblIndicators!E17</f>
        <v>0</v>
      </c>
      <c r="F22" s="39">
        <f>tblIndicators!F17</f>
        <v>0</v>
      </c>
      <c r="G22" s="39">
        <f>tblIndicators!G17</f>
        <v>0</v>
      </c>
      <c r="H22" s="39">
        <f>MIN(Data2010!D19:V19)</f>
        <v>0</v>
      </c>
      <c r="I22" s="39">
        <f>MAX(Data2010!D19:V19)</f>
        <v>0</v>
      </c>
      <c r="J22" s="96">
        <f t="shared" si="0"/>
        <v>0</v>
      </c>
      <c r="K22" s="39">
        <f>MATCH(B22,Weights!C$4:C$36,0)</f>
        <v>4</v>
      </c>
      <c r="L22" s="39">
        <f>INDEX(Weights!G$4:G$36,K22)</f>
        <v>0.9</v>
      </c>
      <c r="M22" s="98">
        <f t="shared" si="1"/>
        <v>0.16666666666666666</v>
      </c>
      <c r="O22" s="39" t="str">
        <f>tblIndicators!Q17</f>
        <v>INVESTMENT CLIMATE</v>
      </c>
      <c r="P22" s="102">
        <f t="shared" si="2"/>
        <v>0.16666666666666666</v>
      </c>
      <c r="R22" s="174">
        <f>ROUND(Scores2009_YOY!S22-Scores2008_YOY!S22,1)</f>
        <v>-6.3</v>
      </c>
      <c r="S22" s="174">
        <f>ROUND(Scores2009!T22-Scores2008!T22,1)</f>
        <v>-18.399999999999999</v>
      </c>
      <c r="T22" s="174">
        <f>ROUND(Scores2009!U22-Scores2008!U22,1)</f>
        <v>-7.6</v>
      </c>
      <c r="U22" s="174">
        <f>ROUND(Scores2009!V22-Scores2008!V22,1)</f>
        <v>13.9</v>
      </c>
      <c r="V22" s="174">
        <f>ROUND(Scores2009!W22-Scores2008!W22,1)</f>
        <v>-20.7</v>
      </c>
      <c r="W22" s="174">
        <f>ROUND(Scores2009!X22-Scores2008!X22,1)</f>
        <v>13.4</v>
      </c>
      <c r="X22" s="174">
        <f>ROUND(Scores2009!Y22-Scores2008!Y22,1)</f>
        <v>-20.5</v>
      </c>
      <c r="Y22" s="174">
        <f>ROUND(Scores2009!Z22-Scores2008!Z22,1)</f>
        <v>-18</v>
      </c>
      <c r="Z22" s="174">
        <f>ROUND(Scores2009!AA22-Scores2008!AA22,1)</f>
        <v>19.5</v>
      </c>
      <c r="AA22" s="174">
        <f>ROUND(Scores2009!AB22-Scores2008!AB22,1)</f>
        <v>7.4</v>
      </c>
      <c r="AB22" s="174">
        <f>ROUND(Scores2009!AC22-Scores2008!AC22,1)</f>
        <v>22.6</v>
      </c>
      <c r="AC22" s="174">
        <f>ROUND(Scores2009!AD22-Scores2008!AD22,1)</f>
        <v>-9</v>
      </c>
      <c r="AD22" s="174">
        <f>ROUND(Scores2009!AE22-Scores2008!AE22,1)</f>
        <v>-38.1</v>
      </c>
      <c r="AE22" s="174">
        <f>ROUND(Scores2009!AF22-Scores2008!AF22,1)</f>
        <v>-4.7</v>
      </c>
      <c r="AF22" s="174">
        <f>ROUND(Scores2009!AG22-Scores2008!AG22,1)</f>
        <v>-28</v>
      </c>
      <c r="AG22" s="174">
        <f>ROUND(Scores2009!AH22-Scores2008!AH22,1)</f>
        <v>5.0999999999999996</v>
      </c>
      <c r="AH22" s="174">
        <f>ROUND(Scores2009!AI22-Scores2008!AI22,1)</f>
        <v>-24.3</v>
      </c>
      <c r="AI22" s="174">
        <f>ROUND(Scores2009!AJ22-Scores2008!AJ22,1)</f>
        <v>-32.6</v>
      </c>
      <c r="AJ22" s="174">
        <f>ROUND(Scores2009!AK22-Scores2008!AK22,1)</f>
        <v>-26.5</v>
      </c>
      <c r="AK22" s="174"/>
      <c r="AL22" s="174"/>
    </row>
    <row r="23" spans="1:38">
      <c r="B23" t="str">
        <f>tblIndicators!A18</f>
        <v>INVT01</v>
      </c>
      <c r="C23" t="str">
        <f>tblIndicators!B18</f>
        <v>INVT</v>
      </c>
      <c r="D23" t="str">
        <f>tblIndicators!D18</f>
        <v>XX</v>
      </c>
      <c r="E23">
        <f>tblIndicators!E18</f>
        <v>0</v>
      </c>
      <c r="F23">
        <f>tblIndicators!F18</f>
        <v>1</v>
      </c>
      <c r="G23">
        <f>tblIndicators!G18</f>
        <v>0</v>
      </c>
      <c r="H23">
        <f>MIN(Data2010!D20:V20)</f>
        <v>13.745995807127882</v>
      </c>
      <c r="I23">
        <f>MAX(Data2010!D20:V20)</f>
        <v>73.744616053998584</v>
      </c>
      <c r="J23" s="22">
        <f t="shared" si="0"/>
        <v>59.998620246870701</v>
      </c>
      <c r="K23">
        <f>MATCH(B23,Weights!C$4:C$36,0)</f>
        <v>24</v>
      </c>
      <c r="L23">
        <f>INDEX(Weights!G$4:G$36,K23)</f>
        <v>1</v>
      </c>
      <c r="M23" s="36">
        <f t="shared" si="1"/>
        <v>0.25</v>
      </c>
      <c r="O23" t="str">
        <f>tblIndicators!Q18</f>
        <v xml:space="preserve">   Political distortion</v>
      </c>
      <c r="P23" s="103">
        <f t="shared" si="2"/>
        <v>0.25</v>
      </c>
      <c r="R23" s="38">
        <f>ROUND(Scores2009_YOY!S23-Scores2008_YOY!S23,1)</f>
        <v>-1</v>
      </c>
      <c r="S23" s="38">
        <f>ROUND(Scores2009!T23-Scores2008!T23,1)</f>
        <v>-6.2</v>
      </c>
      <c r="T23" s="38">
        <f>ROUND(Scores2009!U23-Scores2008!U23,1)</f>
        <v>-26.3</v>
      </c>
      <c r="U23" s="38">
        <f>ROUND(Scores2009!V23-Scores2008!V23,1)</f>
        <v>-0.3</v>
      </c>
      <c r="V23" s="38">
        <f>ROUND(Scores2009!W23-Scores2008!W23,1)</f>
        <v>-13.4</v>
      </c>
      <c r="W23" s="38">
        <f>ROUND(Scores2009!X23-Scores2008!X23,1)</f>
        <v>3.5</v>
      </c>
      <c r="X23" s="38">
        <f>ROUND(Scores2009!Y23-Scores2008!Y23,1)</f>
        <v>15.5</v>
      </c>
      <c r="Y23" s="38">
        <f>ROUND(Scores2009!Z23-Scores2008!Z23,1)</f>
        <v>-8.5</v>
      </c>
      <c r="Z23" s="38">
        <f>ROUND(Scores2009!AA23-Scores2008!AA23,1)</f>
        <v>7.7</v>
      </c>
      <c r="AA23" s="38">
        <f>ROUND(Scores2009!AB23-Scores2008!AB23,1)</f>
        <v>9.6999999999999993</v>
      </c>
      <c r="AB23" s="38">
        <f>ROUND(Scores2009!AC23-Scores2008!AC23,1)</f>
        <v>-4.9000000000000004</v>
      </c>
      <c r="AC23" s="38">
        <f>ROUND(Scores2009!AD23-Scores2008!AD23,1)</f>
        <v>-6.4</v>
      </c>
      <c r="AD23" s="38">
        <f>ROUND(Scores2009!AE23-Scores2008!AE23,1)</f>
        <v>3.3</v>
      </c>
      <c r="AE23" s="38">
        <f>ROUND(Scores2009!AF23-Scores2008!AF23,1)</f>
        <v>-3.4</v>
      </c>
      <c r="AF23" s="38">
        <f>ROUND(Scores2009!AG23-Scores2008!AG23,1)</f>
        <v>3.8</v>
      </c>
      <c r="AG23" s="38">
        <f>ROUND(Scores2009!AH23-Scores2008!AH23,1)</f>
        <v>1.2</v>
      </c>
      <c r="AH23" s="38">
        <f>ROUND(Scores2009!AI23-Scores2008!AI23,1)</f>
        <v>-5.5</v>
      </c>
      <c r="AI23" s="38">
        <f>ROUND(Scores2009!AJ23-Scores2008!AJ23,1)</f>
        <v>-13.1</v>
      </c>
      <c r="AJ23" s="38">
        <f>ROUND(Scores2009!AK23-Scores2008!AK23,1)</f>
        <v>11.3</v>
      </c>
      <c r="AK23" s="38"/>
      <c r="AL23" s="38"/>
    </row>
    <row r="24" spans="1:38">
      <c r="B24" t="str">
        <f>tblIndicators!A19</f>
        <v>INVT02</v>
      </c>
      <c r="C24" t="str">
        <f>tblIndicators!B19</f>
        <v>INVT</v>
      </c>
      <c r="D24" t="str">
        <f>tblIndicators!D19</f>
        <v>XX</v>
      </c>
      <c r="E24">
        <f>tblIndicators!E19</f>
        <v>0</v>
      </c>
      <c r="F24">
        <f>tblIndicators!F19</f>
        <v>1</v>
      </c>
      <c r="G24">
        <f>tblIndicators!G19</f>
        <v>0</v>
      </c>
      <c r="H24">
        <f>MIN(Data2010!D21:V21)</f>
        <v>28.421976137748572</v>
      </c>
      <c r="I24">
        <f>MAX(Data2010!D21:V21)</f>
        <v>67.807589292777578</v>
      </c>
      <c r="J24" s="22">
        <f t="shared" si="0"/>
        <v>39.385613155029006</v>
      </c>
      <c r="K24">
        <f>MATCH(B24,Weights!C$4:C$36,0)</f>
        <v>25</v>
      </c>
      <c r="L24">
        <f>INDEX(Weights!G$4:G$36,K24)</f>
        <v>1</v>
      </c>
      <c r="M24" s="36">
        <f t="shared" si="1"/>
        <v>0.25</v>
      </c>
      <c r="O24" t="str">
        <f>tblIndicators!Q19</f>
        <v xml:space="preserve">   Business environment</v>
      </c>
      <c r="P24" s="103">
        <f t="shared" si="2"/>
        <v>0.25</v>
      </c>
      <c r="R24" s="38">
        <f>ROUND(Scores2009_YOY!S24-Scores2008_YOY!S24,1)</f>
        <v>-11.5</v>
      </c>
      <c r="S24" s="38">
        <f>ROUND(Scores2009!T24-Scores2008!T24,1)</f>
        <v>-13.4</v>
      </c>
      <c r="T24" s="38">
        <f>ROUND(Scores2009!U24-Scores2008!U24,1)</f>
        <v>-32.200000000000003</v>
      </c>
      <c r="U24" s="38">
        <f>ROUND(Scores2009!V24-Scores2008!V24,1)</f>
        <v>-0.6</v>
      </c>
      <c r="V24" s="38">
        <f>ROUND(Scores2009!W24-Scores2008!W24,1)</f>
        <v>23.4</v>
      </c>
      <c r="W24" s="38">
        <f>ROUND(Scores2009!X24-Scores2008!X24,1)</f>
        <v>39.4</v>
      </c>
      <c r="X24" s="38">
        <f>ROUND(Scores2009!Y24-Scores2008!Y24,1)</f>
        <v>-2.7</v>
      </c>
      <c r="Y24" s="38">
        <f>ROUND(Scores2009!Z24-Scores2008!Z24,1)</f>
        <v>-36.200000000000003</v>
      </c>
      <c r="Z24" s="38">
        <f>ROUND(Scores2009!AA24-Scores2008!AA24,1)</f>
        <v>22.5</v>
      </c>
      <c r="AA24" s="38">
        <f>ROUND(Scores2009!AB24-Scores2008!AB24,1)</f>
        <v>18.3</v>
      </c>
      <c r="AB24" s="38">
        <f>ROUND(Scores2009!AC24-Scores2008!AC24,1)</f>
        <v>28.5</v>
      </c>
      <c r="AC24" s="38">
        <f>ROUND(Scores2009!AD24-Scores2008!AD24,1)</f>
        <v>-27.7</v>
      </c>
      <c r="AD24" s="38">
        <f>ROUND(Scores2009!AE24-Scores2008!AE24,1)</f>
        <v>24.3</v>
      </c>
      <c r="AE24" s="38">
        <f>ROUND(Scores2009!AF24-Scores2008!AF24,1)</f>
        <v>-22.7</v>
      </c>
      <c r="AF24" s="38">
        <f>ROUND(Scores2009!AG24-Scores2008!AG24,1)</f>
        <v>17.399999999999999</v>
      </c>
      <c r="AG24" s="38">
        <f>ROUND(Scores2009!AH24-Scores2008!AH24,1)</f>
        <v>-24.8</v>
      </c>
      <c r="AH24" s="38">
        <f>ROUND(Scores2009!AI24-Scores2008!AI24,1)</f>
        <v>-23.8</v>
      </c>
      <c r="AI24" s="38">
        <f>ROUND(Scores2009!AJ24-Scores2008!AJ24,1)</f>
        <v>8</v>
      </c>
      <c r="AJ24" s="38">
        <f>ROUND(Scores2009!AK24-Scores2008!AK24,1)</f>
        <v>12.1</v>
      </c>
      <c r="AK24" s="38"/>
      <c r="AL24" s="38"/>
    </row>
    <row r="25" spans="1:38">
      <c r="A25" s="175"/>
      <c r="B25" s="175" t="str">
        <f>tblIndicators!A20</f>
        <v>INVT03</v>
      </c>
      <c r="C25" s="175" t="str">
        <f>tblIndicators!B20</f>
        <v>INVT</v>
      </c>
      <c r="D25" s="175" t="str">
        <f>tblIndicators!D20</f>
        <v>MM</v>
      </c>
      <c r="E25" s="175">
        <f>tblIndicators!E20</f>
        <v>0</v>
      </c>
      <c r="F25" s="175">
        <f>tblIndicators!F20</f>
        <v>33.333333333333336</v>
      </c>
      <c r="G25" s="175">
        <f>tblIndicators!G20</f>
        <v>0</v>
      </c>
      <c r="H25" s="175">
        <f>MIN(Data2010!D22:V22)</f>
        <v>0</v>
      </c>
      <c r="I25" s="175">
        <f>MAX(Data2010!D22:V22)</f>
        <v>3</v>
      </c>
      <c r="J25" s="22">
        <f t="shared" si="0"/>
        <v>3</v>
      </c>
      <c r="K25" s="175">
        <f>MATCH(B25,Weights!C$4:C$36,0)</f>
        <v>26</v>
      </c>
      <c r="L25" s="175">
        <f>INDEX(Weights!G$4:G$36,K25)</f>
        <v>2</v>
      </c>
      <c r="M25" s="36">
        <f t="shared" si="1"/>
        <v>0.5</v>
      </c>
      <c r="N25" s="175"/>
      <c r="O25" s="175" t="str">
        <f>tblIndicators!Q20</f>
        <v xml:space="preserve">   Political will</v>
      </c>
      <c r="P25" s="176">
        <f t="shared" si="2"/>
        <v>0.5</v>
      </c>
      <c r="Q25" s="175"/>
      <c r="R25" s="177">
        <f>ROUND(Scores2009_YOY!S25-Scores2008_YOY!S25,1)</f>
        <v>-58</v>
      </c>
      <c r="S25" s="177">
        <f>ROUND(Scores2009!T25-Scores2008!T25,1)</f>
        <v>-27</v>
      </c>
      <c r="T25" s="177">
        <f>ROUND(Scores2009!U25-Scores2008!U25,1)</f>
        <v>13.9</v>
      </c>
      <c r="U25" s="177">
        <f>ROUND(Scores2009!V25-Scores2008!V25,1)</f>
        <v>28.2</v>
      </c>
      <c r="V25" s="177">
        <f>ROUND(Scores2009!W25-Scores2008!W25,1)</f>
        <v>-46.3</v>
      </c>
      <c r="W25" s="177">
        <f>ROUND(Scores2009!X25-Scores2008!X25,1)</f>
        <v>5.3</v>
      </c>
      <c r="X25" s="177">
        <f>ROUND(Scores2009!Y25-Scores2008!Y25,1)</f>
        <v>-47.3</v>
      </c>
      <c r="Y25" s="177">
        <f>ROUND(Scores2009!Z25-Scores2008!Z25,1)</f>
        <v>-13.7</v>
      </c>
      <c r="Z25" s="177">
        <f>ROUND(Scores2009!AA25-Scores2008!AA25,1)</f>
        <v>24</v>
      </c>
      <c r="AA25" s="177">
        <f>ROUND(Scores2009!AB25-Scores2008!AB25,1)</f>
        <v>0.7</v>
      </c>
      <c r="AB25" s="177">
        <f>ROUND(Scores2009!AC25-Scores2008!AC25,1)</f>
        <v>33.299999999999997</v>
      </c>
      <c r="AC25" s="177">
        <f>ROUND(Scores2009!AD25-Scores2008!AD25,1)</f>
        <v>-1</v>
      </c>
      <c r="AD25" s="177">
        <f>ROUND(Scores2009!AE25-Scores2008!AE25,1)</f>
        <v>-90</v>
      </c>
      <c r="AE25" s="177">
        <f>ROUND(Scores2009!AF25-Scores2008!AF25,1)</f>
        <v>3.6</v>
      </c>
      <c r="AF25" s="177">
        <f>ROUND(Scores2009!AG25-Scores2008!AG25,1)</f>
        <v>-66.7</v>
      </c>
      <c r="AG25" s="177">
        <f>ROUND(Scores2009!AH25-Scores2008!AH25,1)</f>
        <v>22</v>
      </c>
      <c r="AH25" s="177">
        <f>ROUND(Scores2009!AI25-Scores2008!AI25,1)</f>
        <v>-34.1</v>
      </c>
      <c r="AI25" s="177">
        <f>ROUND(Scores2009!AJ25-Scores2008!AJ25,1)</f>
        <v>-62.5</v>
      </c>
      <c r="AJ25" s="177">
        <f>ROUND(Scores2009!AK25-Scores2008!AK25,1)</f>
        <v>-64.8</v>
      </c>
      <c r="AK25" s="177"/>
      <c r="AL25" s="177"/>
    </row>
    <row r="26" spans="1:38" s="95" customFormat="1">
      <c r="B26" s="95" t="str">
        <f>tblIndicators!A21</f>
        <v>FINC</v>
      </c>
      <c r="C26" s="95" t="str">
        <f>tblIndicators!B21</f>
        <v>TOTL</v>
      </c>
      <c r="D26" s="95" t="str">
        <f>tblIndicators!D21</f>
        <v>WS</v>
      </c>
      <c r="E26" s="95">
        <f>tblIndicators!E21</f>
        <v>0</v>
      </c>
      <c r="F26" s="95">
        <f>tblIndicators!F21</f>
        <v>0</v>
      </c>
      <c r="G26" s="95">
        <f>tblIndicators!G21</f>
        <v>0</v>
      </c>
      <c r="H26" s="95">
        <f>MIN(Data2010!D23:V23)</f>
        <v>0</v>
      </c>
      <c r="I26" s="95">
        <f>MAX(Data2010!D23:V23)</f>
        <v>0</v>
      </c>
      <c r="J26" s="96">
        <f t="shared" si="0"/>
        <v>0</v>
      </c>
      <c r="K26" s="95">
        <f>MATCH(B26,Weights!C$4:C$36,0)</f>
        <v>5</v>
      </c>
      <c r="L26" s="95">
        <f>INDEX(Weights!G$4:G$36,K26)</f>
        <v>0.9</v>
      </c>
      <c r="M26" s="98">
        <f t="shared" si="1"/>
        <v>0.16666666666666666</v>
      </c>
      <c r="O26" s="95" t="str">
        <f>tblIndicators!Q21</f>
        <v>FINANCIAL FACILITIES</v>
      </c>
      <c r="P26" s="102">
        <f t="shared" si="2"/>
        <v>0.16666666666666666</v>
      </c>
      <c r="R26" s="38">
        <f>ROUND(Scores2009_YOY!S26-Scores2008_YOY!S26,1)</f>
        <v>5.6</v>
      </c>
      <c r="S26" s="38">
        <f>ROUND(Scores2009!T26-Scores2008!T26,1)</f>
        <v>9.6999999999999993</v>
      </c>
      <c r="T26" s="38">
        <f>ROUND(Scores2009!U26-Scores2008!U26,1)</f>
        <v>1.4</v>
      </c>
      <c r="U26" s="38">
        <f>ROUND(Scores2009!V26-Scores2008!V26,1)</f>
        <v>1.4</v>
      </c>
      <c r="V26" s="38">
        <f>ROUND(Scores2009!W26-Scores2008!W26,1)</f>
        <v>0</v>
      </c>
      <c r="W26" s="38">
        <f>ROUND(Scores2009!X26-Scores2008!X26,1)</f>
        <v>9.6999999999999993</v>
      </c>
      <c r="X26" s="38">
        <f>ROUND(Scores2009!Y26-Scores2008!Y26,1)</f>
        <v>0</v>
      </c>
      <c r="Y26" s="38">
        <f>ROUND(Scores2009!Z26-Scores2008!Z26,1)</f>
        <v>1.4</v>
      </c>
      <c r="Z26" s="38">
        <f>ROUND(Scores2009!AA26-Scores2008!AA26,1)</f>
        <v>-6.9</v>
      </c>
      <c r="AA26" s="38">
        <f>ROUND(Scores2009!AB26-Scores2008!AB26,1)</f>
        <v>2.8</v>
      </c>
      <c r="AB26" s="38">
        <f>ROUND(Scores2009!AC26-Scores2008!AC26,1)</f>
        <v>4.2</v>
      </c>
      <c r="AC26" s="38">
        <f>ROUND(Scores2009!AD26-Scores2008!AD26,1)</f>
        <v>5.6</v>
      </c>
      <c r="AD26" s="38">
        <f>ROUND(Scores2009!AE26-Scores2008!AE26,1)</f>
        <v>4.2</v>
      </c>
      <c r="AE26" s="38">
        <f>ROUND(Scores2009!AF26-Scores2008!AF26,1)</f>
        <v>1.4</v>
      </c>
      <c r="AF26" s="38">
        <f>ROUND(Scores2009!AG26-Scores2008!AG26,1)</f>
        <v>0</v>
      </c>
      <c r="AG26" s="38">
        <f>ROUND(Scores2009!AH26-Scores2008!AH26,1)</f>
        <v>2.8</v>
      </c>
      <c r="AH26" s="38">
        <f>ROUND(Scores2009!AI26-Scores2008!AI26,1)</f>
        <v>0</v>
      </c>
      <c r="AI26" s="38">
        <f>ROUND(Scores2009!AJ26-Scores2008!AJ26,1)</f>
        <v>5.6</v>
      </c>
      <c r="AJ26" s="38">
        <f>ROUND(Scores2009!AK26-Scores2008!AK26,1)</f>
        <v>-4.2</v>
      </c>
      <c r="AK26" s="38"/>
      <c r="AL26" s="38"/>
    </row>
    <row r="27" spans="1:38">
      <c r="B27" t="str">
        <f>tblIndicators!A22</f>
        <v>FINC01</v>
      </c>
      <c r="C27" t="str">
        <f>tblIndicators!B22</f>
        <v>FINC</v>
      </c>
      <c r="D27" t="str">
        <f>tblIndicators!D22</f>
        <v>XX</v>
      </c>
      <c r="E27">
        <f>tblIndicators!E22</f>
        <v>0</v>
      </c>
      <c r="F27">
        <f>tblIndicators!F22</f>
        <v>25</v>
      </c>
      <c r="G27">
        <f>tblIndicators!G22</f>
        <v>0</v>
      </c>
      <c r="H27">
        <f>MIN(Data2010!D24:V24)</f>
        <v>0</v>
      </c>
      <c r="I27">
        <f>MAX(Data2010!D24:V24)</f>
        <v>4</v>
      </c>
      <c r="J27" s="22">
        <f t="shared" si="0"/>
        <v>4</v>
      </c>
      <c r="K27">
        <f>MATCH(B27,Weights!C$4:C$36,0)</f>
        <v>28</v>
      </c>
      <c r="L27">
        <f>INDEX(Weights!G$4:G$36,K27)</f>
        <v>1</v>
      </c>
      <c r="M27" s="36">
        <f t="shared" si="1"/>
        <v>0.22222222222222221</v>
      </c>
      <c r="O27" t="str">
        <f>tblIndicators!Q22</f>
        <v xml:space="preserve">   Government payment risk</v>
      </c>
      <c r="P27" s="103">
        <f t="shared" si="2"/>
        <v>0.22222222222222221</v>
      </c>
      <c r="R27" s="38">
        <f>ROUND(Scores2009_YOY!S27-Scores2008_YOY!S27,1)</f>
        <v>25</v>
      </c>
      <c r="S27" s="38">
        <f>ROUND(Scores2009!T27-Scores2008!T27,1)</f>
        <v>0</v>
      </c>
      <c r="T27" s="38">
        <f>ROUND(Scores2009!U27-Scores2008!U27,1)</f>
        <v>0</v>
      </c>
      <c r="U27" s="38">
        <f>ROUND(Scores2009!V27-Scores2008!V27,1)</f>
        <v>0</v>
      </c>
      <c r="V27" s="38">
        <f>ROUND(Scores2009!W27-Scores2008!W27,1)</f>
        <v>0</v>
      </c>
      <c r="W27" s="38">
        <f>ROUND(Scores2009!X27-Scores2008!X27,1)</f>
        <v>25</v>
      </c>
      <c r="X27" s="38">
        <f>ROUND(Scores2009!Y27-Scores2008!Y27,1)</f>
        <v>0</v>
      </c>
      <c r="Y27" s="38">
        <f>ROUND(Scores2009!Z27-Scores2008!Z27,1)</f>
        <v>0</v>
      </c>
      <c r="Z27" s="38">
        <f>ROUND(Scores2009!AA27-Scores2008!AA27,1)</f>
        <v>0</v>
      </c>
      <c r="AA27" s="38">
        <f>ROUND(Scores2009!AB27-Scores2008!AB27,1)</f>
        <v>0</v>
      </c>
      <c r="AB27" s="38">
        <f>ROUND(Scores2009!AC27-Scores2008!AC27,1)</f>
        <v>0</v>
      </c>
      <c r="AC27" s="38">
        <f>ROUND(Scores2009!AD27-Scores2008!AD27,1)</f>
        <v>0</v>
      </c>
      <c r="AD27" s="38">
        <f>ROUND(Scores2009!AE27-Scores2008!AE27,1)</f>
        <v>0</v>
      </c>
      <c r="AE27" s="38">
        <f>ROUND(Scores2009!AF27-Scores2008!AF27,1)</f>
        <v>0</v>
      </c>
      <c r="AF27" s="38">
        <f>ROUND(Scores2009!AG27-Scores2008!AG27,1)</f>
        <v>0</v>
      </c>
      <c r="AG27" s="38">
        <f>ROUND(Scores2009!AH27-Scores2008!AH27,1)</f>
        <v>0</v>
      </c>
      <c r="AH27" s="38">
        <f>ROUND(Scores2009!AI27-Scores2008!AI27,1)</f>
        <v>0</v>
      </c>
      <c r="AI27" s="38">
        <f>ROUND(Scores2009!AJ27-Scores2008!AJ27,1)</f>
        <v>25</v>
      </c>
      <c r="AJ27" s="38">
        <f>ROUND(Scores2009!AK27-Scores2008!AK27,1)</f>
        <v>-25</v>
      </c>
      <c r="AK27" s="38"/>
      <c r="AL27" s="38"/>
    </row>
    <row r="28" spans="1:38">
      <c r="B28" t="str">
        <f>tblIndicators!A23</f>
        <v>FINC02</v>
      </c>
      <c r="C28" t="str">
        <f>tblIndicators!B23</f>
        <v>FINC</v>
      </c>
      <c r="D28" t="str">
        <f>tblIndicators!D23</f>
        <v>XX</v>
      </c>
      <c r="E28">
        <f>tblIndicators!E23</f>
        <v>0</v>
      </c>
      <c r="F28">
        <f>tblIndicators!F23</f>
        <v>25</v>
      </c>
      <c r="G28">
        <f>tblIndicators!G23</f>
        <v>0</v>
      </c>
      <c r="H28">
        <f>MIN(Data2010!D25:V25)</f>
        <v>0</v>
      </c>
      <c r="I28">
        <f>MAX(Data2010!D25:V25)</f>
        <v>4</v>
      </c>
      <c r="J28" s="22">
        <f>I28-H28</f>
        <v>4</v>
      </c>
      <c r="K28">
        <f>MATCH(B28,Weights!C$4:C$36,0)</f>
        <v>29</v>
      </c>
      <c r="L28">
        <f>INDEX(Weights!G$4:G$36,K28)</f>
        <v>2</v>
      </c>
      <c r="M28" s="36">
        <f t="shared" si="1"/>
        <v>0.44444444444444442</v>
      </c>
      <c r="O28" t="str">
        <f>tblIndicators!Q23</f>
        <v xml:space="preserve">   Capital market: private infrastructure finance</v>
      </c>
      <c r="P28" s="103">
        <f t="shared" si="2"/>
        <v>0.44444444444444442</v>
      </c>
      <c r="R28" s="38">
        <f>ROUND(Scores2009_YOY!S28-Scores2008_YOY!S28,1)</f>
        <v>0</v>
      </c>
      <c r="S28" s="38">
        <f>ROUND(Scores2009!T28-Scores2008!T28,1)</f>
        <v>0</v>
      </c>
      <c r="T28" s="38">
        <f>ROUND(Scores2009!U28-Scores2008!U28,1)</f>
        <v>0</v>
      </c>
      <c r="U28" s="38">
        <f>ROUND(Scores2009!V28-Scores2008!V28,1)</f>
        <v>0</v>
      </c>
      <c r="V28" s="38">
        <f>ROUND(Scores2009!W28-Scores2008!W28,1)</f>
        <v>0</v>
      </c>
      <c r="W28" s="38">
        <f>ROUND(Scores2009!X28-Scores2008!X28,1)</f>
        <v>0</v>
      </c>
      <c r="X28" s="38">
        <f>ROUND(Scores2009!Y28-Scores2008!Y28,1)</f>
        <v>0</v>
      </c>
      <c r="Y28" s="38">
        <f>ROUND(Scores2009!Z28-Scores2008!Z28,1)</f>
        <v>0</v>
      </c>
      <c r="Z28" s="38">
        <f>ROUND(Scores2009!AA28-Scores2008!AA28,1)</f>
        <v>0</v>
      </c>
      <c r="AA28" s="38">
        <f>ROUND(Scores2009!AB28-Scores2008!AB28,1)</f>
        <v>0</v>
      </c>
      <c r="AB28" s="38">
        <f>ROUND(Scores2009!AC28-Scores2008!AC28,1)</f>
        <v>0</v>
      </c>
      <c r="AC28" s="38">
        <f>ROUND(Scores2009!AD28-Scores2008!AD28,1)</f>
        <v>0</v>
      </c>
      <c r="AD28" s="38">
        <f>ROUND(Scores2009!AE28-Scores2008!AE28,1)</f>
        <v>0</v>
      </c>
      <c r="AE28" s="38">
        <f>ROUND(Scores2009!AF28-Scores2008!AF28,1)</f>
        <v>0</v>
      </c>
      <c r="AF28" s="38">
        <f>ROUND(Scores2009!AG28-Scores2008!AG28,1)</f>
        <v>0</v>
      </c>
      <c r="AG28" s="38">
        <f>ROUND(Scores2009!AH28-Scores2008!AH28,1)</f>
        <v>0</v>
      </c>
      <c r="AH28" s="38">
        <f>ROUND(Scores2009!AI28-Scores2008!AI28,1)</f>
        <v>0</v>
      </c>
      <c r="AI28" s="38">
        <f>ROUND(Scores2009!AJ28-Scores2008!AJ28,1)</f>
        <v>0</v>
      </c>
      <c r="AJ28" s="38">
        <f>ROUND(Scores2009!AK28-Scores2008!AK28,1)</f>
        <v>0</v>
      </c>
      <c r="AK28" s="38"/>
      <c r="AL28" s="38"/>
    </row>
    <row r="29" spans="1:38">
      <c r="B29" t="str">
        <f>tblIndicators!A24</f>
        <v>FINC03</v>
      </c>
      <c r="C29" t="str">
        <f>tblIndicators!B24</f>
        <v>FINC</v>
      </c>
      <c r="D29" t="str">
        <f>tblIndicators!D24</f>
        <v>XX</v>
      </c>
      <c r="E29">
        <f>tblIndicators!E24</f>
        <v>0</v>
      </c>
      <c r="F29">
        <f>tblIndicators!F24</f>
        <v>25</v>
      </c>
      <c r="G29">
        <f>tblIndicators!G24</f>
        <v>0</v>
      </c>
      <c r="H29">
        <f>MIN(Data2010!D26:V26)</f>
        <v>1</v>
      </c>
      <c r="I29">
        <f>MAX(Data2010!D26:V26)</f>
        <v>4</v>
      </c>
      <c r="J29" s="22">
        <f>I29-H29</f>
        <v>3</v>
      </c>
      <c r="K29">
        <f>MATCH(B29,Weights!C$4:C$36,0)</f>
        <v>30</v>
      </c>
      <c r="L29">
        <f>INDEX(Weights!G$4:G$36,K29)</f>
        <v>1</v>
      </c>
      <c r="M29" s="36">
        <f t="shared" si="1"/>
        <v>0.22222222222222221</v>
      </c>
      <c r="O29" t="str">
        <f>tblIndicators!Q24</f>
        <v xml:space="preserve">   Marketable debt</v>
      </c>
      <c r="P29" s="103">
        <f t="shared" si="2"/>
        <v>0.22222222222222221</v>
      </c>
      <c r="R29" s="38">
        <f>ROUND(Scores2009_YOY!S29-Scores2008_YOY!S29,1)</f>
        <v>0</v>
      </c>
      <c r="S29" s="38">
        <f>ROUND(Scores2009!T29-Scores2008!T29,1)</f>
        <v>25</v>
      </c>
      <c r="T29" s="38">
        <f>ROUND(Scores2009!U29-Scores2008!U29,1)</f>
        <v>0</v>
      </c>
      <c r="U29" s="38">
        <f>ROUND(Scores2009!V29-Scores2008!V29,1)</f>
        <v>0</v>
      </c>
      <c r="V29" s="38">
        <f>ROUND(Scores2009!W29-Scores2008!W29,1)</f>
        <v>0</v>
      </c>
      <c r="W29" s="38">
        <f>ROUND(Scores2009!X29-Scores2008!X29,1)</f>
        <v>0</v>
      </c>
      <c r="X29" s="38">
        <f>ROUND(Scores2009!Y29-Scores2008!Y29,1)</f>
        <v>0</v>
      </c>
      <c r="Y29" s="38">
        <f>ROUND(Scores2009!Z29-Scores2008!Z29,1)</f>
        <v>0</v>
      </c>
      <c r="Z29" s="38">
        <f>ROUND(Scores2009!AA29-Scores2008!AA29,1)</f>
        <v>0</v>
      </c>
      <c r="AA29" s="38">
        <f>ROUND(Scores2009!AB29-Scores2008!AB29,1)</f>
        <v>0</v>
      </c>
      <c r="AB29" s="38">
        <f>ROUND(Scores2009!AC29-Scores2008!AC29,1)</f>
        <v>0</v>
      </c>
      <c r="AC29" s="38">
        <f>ROUND(Scores2009!AD29-Scores2008!AD29,1)</f>
        <v>0</v>
      </c>
      <c r="AD29" s="38">
        <f>ROUND(Scores2009!AE29-Scores2008!AE29,1)</f>
        <v>0</v>
      </c>
      <c r="AE29" s="38">
        <f>ROUND(Scores2009!AF29-Scores2008!AF29,1)</f>
        <v>0</v>
      </c>
      <c r="AF29" s="38">
        <f>ROUND(Scores2009!AG29-Scores2008!AG29,1)</f>
        <v>0</v>
      </c>
      <c r="AG29" s="38">
        <f>ROUND(Scores2009!AH29-Scores2008!AH29,1)</f>
        <v>0</v>
      </c>
      <c r="AH29" s="38">
        <f>ROUND(Scores2009!AI29-Scores2008!AI29,1)</f>
        <v>0</v>
      </c>
      <c r="AI29" s="38">
        <f>ROUND(Scores2009!AJ29-Scores2008!AJ29,1)</f>
        <v>0</v>
      </c>
      <c r="AJ29" s="38">
        <f>ROUND(Scores2009!AK29-Scores2008!AK29,1)</f>
        <v>0</v>
      </c>
      <c r="AK29" s="38"/>
      <c r="AL29" s="38"/>
    </row>
    <row r="30" spans="1:38">
      <c r="B30" t="str">
        <f>tblIndicators!A25</f>
        <v>FINC04</v>
      </c>
      <c r="C30" t="str">
        <f>tblIndicators!B25</f>
        <v>FINC</v>
      </c>
      <c r="D30" t="str">
        <f>tblIndicators!D25</f>
        <v>XX</v>
      </c>
      <c r="E30">
        <f>tblIndicators!E25</f>
        <v>0</v>
      </c>
      <c r="F30">
        <f>tblIndicators!F25</f>
        <v>25</v>
      </c>
      <c r="G30">
        <f>tblIndicators!G25</f>
        <v>0</v>
      </c>
      <c r="H30">
        <f>MIN(Data2010!D27:V27)</f>
        <v>0</v>
      </c>
      <c r="I30">
        <f>MAX(Data2010!D27:V27)</f>
        <v>3</v>
      </c>
      <c r="J30" s="22">
        <f>I30-H30</f>
        <v>3</v>
      </c>
      <c r="K30">
        <f>MATCH(B30,Weights!C$4:C$36,0)</f>
        <v>31</v>
      </c>
      <c r="L30">
        <f>INDEX(Weights!G$4:G$36,K30)</f>
        <v>0.5</v>
      </c>
      <c r="M30" s="36">
        <f t="shared" si="1"/>
        <v>0.1111111111111111</v>
      </c>
      <c r="O30" t="str">
        <f>tblIndicators!Q25</f>
        <v xml:space="preserve">   Government support and affordability for low income users</v>
      </c>
      <c r="P30" s="103">
        <f t="shared" si="2"/>
        <v>0.1111111111111111</v>
      </c>
      <c r="R30" s="38">
        <f>ROUND(Scores2009_YOY!S30-Scores2008_YOY!S30,1)</f>
        <v>0</v>
      </c>
      <c r="S30" s="38">
        <f>ROUND(Scores2009!T30-Scores2008!T30,1)</f>
        <v>25</v>
      </c>
      <c r="T30" s="38">
        <f>ROUND(Scores2009!U30-Scores2008!U30,1)</f>
        <v>0</v>
      </c>
      <c r="U30" s="38">
        <f>ROUND(Scores2009!V30-Scores2008!V30,1)</f>
        <v>0</v>
      </c>
      <c r="V30" s="38">
        <f>ROUND(Scores2009!W30-Scores2008!W30,1)</f>
        <v>0</v>
      </c>
      <c r="W30" s="38">
        <f>ROUND(Scores2009!X30-Scores2008!X30,1)</f>
        <v>25</v>
      </c>
      <c r="X30" s="38">
        <f>ROUND(Scores2009!Y30-Scores2008!Y30,1)</f>
        <v>-25</v>
      </c>
      <c r="Y30" s="38">
        <f>ROUND(Scores2009!Z30-Scores2008!Z30,1)</f>
        <v>0</v>
      </c>
      <c r="Z30" s="38">
        <f>ROUND(Scores2009!AA30-Scores2008!AA30,1)</f>
        <v>0</v>
      </c>
      <c r="AA30" s="38">
        <f>ROUND(Scores2009!AB30-Scores2008!AB30,1)</f>
        <v>25</v>
      </c>
      <c r="AB30" s="38">
        <f>ROUND(Scores2009!AC30-Scores2008!AC30,1)</f>
        <v>25</v>
      </c>
      <c r="AC30" s="38">
        <f>ROUND(Scores2009!AD30-Scores2008!AD30,1)</f>
        <v>25</v>
      </c>
      <c r="AD30" s="38">
        <f>ROUND(Scores2009!AE30-Scores2008!AE30,1)</f>
        <v>25</v>
      </c>
      <c r="AE30" s="38">
        <f>ROUND(Scores2009!AF30-Scores2008!AF30,1)</f>
        <v>0</v>
      </c>
      <c r="AF30" s="38">
        <f>ROUND(Scores2009!AG30-Scores2008!AG30,1)</f>
        <v>0</v>
      </c>
      <c r="AG30" s="38">
        <f>ROUND(Scores2009!AH30-Scores2008!AH30,1)</f>
        <v>25</v>
      </c>
      <c r="AH30" s="38">
        <f>ROUND(Scores2009!AI30-Scores2008!AI30,1)</f>
        <v>0</v>
      </c>
      <c r="AI30" s="38">
        <f>ROUND(Scores2009!AJ30-Scores2008!AJ30,1)</f>
        <v>0</v>
      </c>
      <c r="AJ30" s="38">
        <f>ROUND(Scores2009!AK30-Scores2008!AK30,1)</f>
        <v>0</v>
      </c>
      <c r="AK30" s="38"/>
      <c r="AL30" s="38"/>
    </row>
  </sheetData>
  <phoneticPr fontId="61" type="noConversion"/>
  <pageMargins left="0.7" right="0.7" top="0.75" bottom="0.75" header="0.3" footer="0.3"/>
</worksheet>
</file>

<file path=xl/worksheets/sheet29.xml><?xml version="1.0" encoding="utf-8"?>
<worksheet xmlns="http://schemas.openxmlformats.org/spreadsheetml/2006/main" xmlns:r="http://schemas.openxmlformats.org/officeDocument/2006/relationships">
  <sheetPr codeName="Sheet17"/>
  <dimension ref="A1:I37"/>
  <sheetViews>
    <sheetView showGridLines="0" showRowColHeaders="0" workbookViewId="0">
      <pane ySplit="12" topLeftCell="A13" activePane="bottomLeft" state="frozen"/>
      <selection pane="bottomLeft"/>
    </sheetView>
  </sheetViews>
  <sheetFormatPr defaultRowHeight="15"/>
  <cols>
    <col min="1" max="1" width="1.28515625" customWidth="1"/>
    <col min="2" max="2" width="4.85546875" customWidth="1"/>
    <col min="3" max="3" width="1.7109375" customWidth="1"/>
    <col min="4" max="4" width="39" bestFit="1" customWidth="1"/>
    <col min="5" max="6" width="6.140625" customWidth="1"/>
    <col min="9" max="9" width="57.85546875" customWidth="1"/>
  </cols>
  <sheetData>
    <row r="1" spans="1:9" ht="23.25" customHeight="1">
      <c r="A1" s="72" t="s">
        <v>578</v>
      </c>
      <c r="B1" s="72"/>
      <c r="C1" s="72"/>
      <c r="D1" s="72"/>
      <c r="E1" s="72"/>
      <c r="F1" s="72"/>
      <c r="G1" s="72"/>
      <c r="H1" s="72"/>
      <c r="I1" s="85" t="s">
        <v>823</v>
      </c>
    </row>
    <row r="2" spans="1:9" ht="10.5" customHeight="1"/>
    <row r="3" spans="1:9" ht="18.75">
      <c r="D3" s="55" t="str">
        <f>UPPER(iCP!C1)</f>
        <v>URUGUAY</v>
      </c>
    </row>
    <row r="4" spans="1:9">
      <c r="E4" s="63" t="s">
        <v>568</v>
      </c>
      <c r="F4" s="63" t="s">
        <v>545</v>
      </c>
      <c r="G4" s="63" t="s">
        <v>567</v>
      </c>
    </row>
    <row r="5" spans="1:9">
      <c r="B5" s="162">
        <f>iCP!L7</f>
        <v>1</v>
      </c>
      <c r="D5" s="54" t="str">
        <f>iCP!E7</f>
        <v>OVERALL SCORE</v>
      </c>
      <c r="E5" s="53">
        <f>iCP!F7</f>
        <v>31.794906198190212</v>
      </c>
      <c r="F5" s="53" t="str">
        <f>iCP!K7</f>
        <v>+4.7</v>
      </c>
      <c r="G5" s="79">
        <f ca="1">iCP!G7</f>
        <v>9</v>
      </c>
    </row>
    <row r="6" spans="1:9">
      <c r="B6" s="162">
        <f>iCP!L8</f>
        <v>1</v>
      </c>
      <c r="D6" s="54" t="str">
        <f>iCP!E8</f>
        <v>Legal and regulatory framework</v>
      </c>
      <c r="E6" s="53">
        <f>iCP!F8</f>
        <v>34.375</v>
      </c>
      <c r="F6" s="53" t="str">
        <f>iCP!K8</f>
        <v>+9.4</v>
      </c>
      <c r="G6" s="79" t="str">
        <f ca="1">iCP!G8</f>
        <v>=8</v>
      </c>
    </row>
    <row r="7" spans="1:9">
      <c r="B7" s="162">
        <f>iCP!L9</f>
        <v>0</v>
      </c>
      <c r="D7" s="54" t="str">
        <f>iCP!E9</f>
        <v>Institutional framework</v>
      </c>
      <c r="E7" s="53">
        <f>iCP!F9</f>
        <v>33.333333333333329</v>
      </c>
      <c r="F7" s="53" t="str">
        <f>iCP!K9</f>
        <v>-</v>
      </c>
      <c r="G7" s="79" t="str">
        <f ca="1">iCP!G9</f>
        <v>=7</v>
      </c>
    </row>
    <row r="8" spans="1:9">
      <c r="B8" s="162">
        <f>iCP!L10</f>
        <v>1</v>
      </c>
      <c r="D8" s="54" t="str">
        <f>iCP!E10</f>
        <v>Operational maturity</v>
      </c>
      <c r="E8" s="53">
        <f>iCP!F10</f>
        <v>19.345238095238095</v>
      </c>
      <c r="F8" s="53" t="str">
        <f>iCP!K10</f>
        <v>+5.6</v>
      </c>
      <c r="G8" s="79">
        <f ca="1">iCP!G10</f>
        <v>12</v>
      </c>
    </row>
    <row r="9" spans="1:9">
      <c r="B9" s="162">
        <f>iCP!L11</f>
        <v>1</v>
      </c>
      <c r="D9" s="54" t="str">
        <f>iCP!E11</f>
        <v>Investment climate</v>
      </c>
      <c r="E9" s="53">
        <f>iCP!F11</f>
        <v>43.66246989269667</v>
      </c>
      <c r="F9" s="53" t="str">
        <f>iCP!K11</f>
        <v>+1.5</v>
      </c>
      <c r="G9" s="79">
        <f ca="1">iCP!G11</f>
        <v>10</v>
      </c>
    </row>
    <row r="10" spans="1:9">
      <c r="B10" s="162">
        <f>iCP!L12</f>
        <v>1</v>
      </c>
      <c r="D10" s="54" t="str">
        <f>iCP!E12</f>
        <v>Financial facilities</v>
      </c>
      <c r="E10" s="53">
        <f>iCP!F12</f>
        <v>30.555555555555557</v>
      </c>
      <c r="F10" s="53" t="str">
        <f>iCP!K12</f>
        <v>+5.6</v>
      </c>
      <c r="G10" s="79" t="str">
        <f ca="1">iCP!G12</f>
        <v>=11</v>
      </c>
    </row>
    <row r="11" spans="1:9">
      <c r="B11" s="162"/>
      <c r="E11" s="47"/>
      <c r="F11" s="47"/>
      <c r="G11" s="41"/>
    </row>
    <row r="12" spans="1:9">
      <c r="B12" s="162"/>
      <c r="C12" s="80"/>
      <c r="D12" s="81"/>
      <c r="E12" s="82" t="s">
        <v>568</v>
      </c>
      <c r="F12" s="82" t="s">
        <v>545</v>
      </c>
      <c r="G12" s="83"/>
      <c r="H12" s="81"/>
      <c r="I12" s="84" t="s">
        <v>569</v>
      </c>
    </row>
    <row r="13" spans="1:9" ht="4.5" customHeight="1">
      <c r="B13" s="162"/>
      <c r="E13" s="38"/>
      <c r="F13" s="38"/>
    </row>
    <row r="14" spans="1:9" ht="22.5" customHeight="1">
      <c r="B14" s="162"/>
      <c r="C14" s="62" t="str">
        <f>iCP!E18</f>
        <v>REGULATORY FRAMEWORK</v>
      </c>
      <c r="E14" s="57"/>
      <c r="F14" s="57"/>
      <c r="G14" s="58" t="str">
        <f>iCP!L18</f>
        <v/>
      </c>
      <c r="H14" s="56"/>
      <c r="I14" s="56"/>
    </row>
    <row r="15" spans="1:9" ht="31.5" customHeight="1">
      <c r="B15" s="162">
        <f>iCP!P19</f>
        <v>0</v>
      </c>
      <c r="C15" s="59"/>
      <c r="D15" s="156" t="str">
        <f>iCP!E19</f>
        <v xml:space="preserve">   Consistency and quality of PPP regulations</v>
      </c>
      <c r="E15" s="157">
        <f>iCP!F19</f>
        <v>25</v>
      </c>
      <c r="F15" s="158" t="str">
        <f>iCP!O19</f>
        <v>-</v>
      </c>
      <c r="G15" s="240" t="str">
        <f>iCP!L19</f>
        <v>Uruguay established a legal framework for public works concessions in 1984 with Law No 15.637. This framework is of a general nature, leaving project details to be set with eac …</v>
      </c>
      <c r="H15" s="240"/>
      <c r="I15" s="240"/>
    </row>
    <row r="16" spans="1:9" ht="31.5" customHeight="1">
      <c r="B16" s="162">
        <f>iCP!P20</f>
        <v>0</v>
      </c>
      <c r="C16" s="59"/>
      <c r="D16" s="60" t="str">
        <f>iCP!E20</f>
        <v xml:space="preserve">   Effective PPP selection and decision making</v>
      </c>
      <c r="E16" s="61">
        <f>iCP!F20</f>
        <v>50</v>
      </c>
      <c r="F16" s="143" t="str">
        <f>iCP!O20</f>
        <v>+25.0</v>
      </c>
      <c r="G16" s="239" t="str">
        <f>iCP!L20</f>
        <v>The Ministry of Economy and Finance and the Planning and Budgeting Office have responsibility for supervising the public investment process. The process of planning, prioritisi …</v>
      </c>
      <c r="H16" s="239"/>
      <c r="I16" s="239"/>
    </row>
    <row r="17" spans="2:9" ht="31.5" customHeight="1">
      <c r="B17" s="162">
        <f>iCP!P21</f>
        <v>0</v>
      </c>
      <c r="C17" s="59"/>
      <c r="D17" s="156" t="str">
        <f>iCP!E21</f>
        <v xml:space="preserve">   Fairness/openness of bids, contract changes</v>
      </c>
      <c r="E17" s="157">
        <f>iCP!F21</f>
        <v>50</v>
      </c>
      <c r="F17" s="158" t="str">
        <f>iCP!O21</f>
        <v>+25.0</v>
      </c>
      <c r="G17" s="240" t="str">
        <f>iCP!L21</f>
        <v>Foreign and domestic investors are generally treated equally. But starting in January 2009, in light of the global financial crisis, domestic firms were granted advantages over …</v>
      </c>
      <c r="H17" s="240"/>
      <c r="I17" s="240"/>
    </row>
    <row r="18" spans="2:9" ht="31.5" customHeight="1">
      <c r="B18" s="162">
        <f>iCP!P22</f>
        <v>0</v>
      </c>
      <c r="C18" s="59"/>
      <c r="D18" s="60" t="str">
        <f>iCP!E22</f>
        <v xml:space="preserve">   Dispute resolution mechanisms</v>
      </c>
      <c r="E18" s="61">
        <f>iCP!F22</f>
        <v>25</v>
      </c>
      <c r="F18" s="143" t="str">
        <f>iCP!O22</f>
        <v>-</v>
      </c>
      <c r="G18" s="239" t="str">
        <f>iCP!L22</f>
        <v>Uruguay's concessions law and Tocaf do not establish arbitration as a mechanism for resolving controversies. Justice tribunals must be used to resolve disputes with the state, …</v>
      </c>
      <c r="H18" s="239"/>
      <c r="I18" s="239"/>
    </row>
    <row r="19" spans="2:9" ht="25.5" customHeight="1">
      <c r="B19" s="162">
        <f>iCP!P23</f>
        <v>0</v>
      </c>
      <c r="C19" s="62" t="str">
        <f>iCP!E23</f>
        <v>INSTITUTIONAL FRAMEWORK</v>
      </c>
      <c r="E19" s="57"/>
      <c r="F19" s="144"/>
      <c r="G19" s="58" t="str">
        <f>iCP!L23</f>
        <v/>
      </c>
      <c r="H19" s="56"/>
      <c r="I19" s="56"/>
    </row>
    <row r="20" spans="2:9" ht="31.5" customHeight="1">
      <c r="B20" s="162">
        <f>iCP!P24</f>
        <v>0</v>
      </c>
      <c r="C20" s="59"/>
      <c r="D20" s="156" t="str">
        <f>iCP!E24</f>
        <v xml:space="preserve">   Quality of institutional design</v>
      </c>
      <c r="E20" s="157">
        <f>iCP!F24</f>
        <v>25</v>
      </c>
      <c r="F20" s="158" t="str">
        <f>iCP!O24</f>
        <v>-</v>
      </c>
      <c r="G20" s="240" t="str">
        <f>iCP!L24</f>
        <v>Uruguay has not created an institutional framework that can facilitate competitive or efficient private investment in infrastructure. The port industry is the most developed, a …</v>
      </c>
      <c r="H20" s="240"/>
      <c r="I20" s="240"/>
    </row>
    <row r="21" spans="2:9" ht="31.5" customHeight="1">
      <c r="B21" s="162">
        <f>iCP!P25</f>
        <v>0</v>
      </c>
      <c r="C21" s="59"/>
      <c r="D21" s="60" t="str">
        <f>iCP!E25</f>
        <v xml:space="preserve">   PPP contract, hold-up and expropriation risk</v>
      </c>
      <c r="E21" s="61">
        <f>iCP!F25</f>
        <v>50</v>
      </c>
      <c r="F21" s="143" t="str">
        <f>iCP!O25</f>
        <v>-</v>
      </c>
      <c r="G21" s="239" t="str">
        <f>iCP!L25</f>
        <v>Uruguay has a judicial system with a reasonable degree of independence from political influence. Processes are slow, however, and there is no capacity within the judiciary to h …</v>
      </c>
      <c r="H21" s="239"/>
      <c r="I21" s="239"/>
    </row>
    <row r="22" spans="2:9" ht="22.5" customHeight="1">
      <c r="B22" s="162">
        <f>iCP!P26</f>
        <v>0</v>
      </c>
      <c r="C22" s="62" t="str">
        <f>iCP!E26</f>
        <v>OPERATIONAL MATURITY</v>
      </c>
      <c r="E22" s="57"/>
      <c r="F22" s="144"/>
      <c r="G22" s="58" t="str">
        <f>iCP!L26</f>
        <v/>
      </c>
      <c r="H22" s="56"/>
      <c r="I22" s="56"/>
    </row>
    <row r="23" spans="2:9" ht="31.5" customHeight="1">
      <c r="B23" s="162">
        <f>iCP!P27</f>
        <v>0</v>
      </c>
      <c r="C23" s="64"/>
      <c r="D23" s="156" t="str">
        <f>iCP!E27</f>
        <v xml:space="preserve">   Public capacity to plan and oversee PPPs</v>
      </c>
      <c r="E23" s="157">
        <f>iCP!F27</f>
        <v>50</v>
      </c>
      <c r="F23" s="158" t="str">
        <f>iCP!O27</f>
        <v>+25.0</v>
      </c>
      <c r="G23" s="240" t="str">
        <f>iCP!L27</f>
        <v>The Ministry of Transport and Public Works has limited capacity to prepare and supervise projects, and little capacity has been developed for the transport and water sectors. T …</v>
      </c>
      <c r="H23" s="240"/>
      <c r="I23" s="240"/>
    </row>
    <row r="24" spans="2:9" ht="31.5" customHeight="1">
      <c r="B24" s="162">
        <f>iCP!P28</f>
        <v>0</v>
      </c>
      <c r="C24" s="64"/>
      <c r="D24" s="60" t="str">
        <f>iCP!E28</f>
        <v xml:space="preserve">   Methods and criteria for awarding projects </v>
      </c>
      <c r="E24" s="61">
        <f>iCP!F28</f>
        <v>25</v>
      </c>
      <c r="F24" s="143" t="str">
        <f>iCP!O28</f>
        <v>-</v>
      </c>
      <c r="G24" s="239" t="str">
        <f>iCP!L28</f>
        <v>The four roadways and port concessions were awarded by a competitive bidding process, although the criteria to award bids have not been consistent. In some cases, a multitude o …</v>
      </c>
      <c r="H24" s="239"/>
      <c r="I24" s="239"/>
    </row>
    <row r="25" spans="2:9" ht="31.5" customHeight="1">
      <c r="B25" s="162">
        <f>iCP!P29</f>
        <v>0</v>
      </c>
      <c r="C25" s="64"/>
      <c r="D25" s="156" t="str">
        <f>iCP!E29</f>
        <v xml:space="preserve">   Regulators' risk allocation record</v>
      </c>
      <c r="E25" s="157">
        <f>iCP!F29</f>
        <v>25</v>
      </c>
      <c r="F25" s="158" t="str">
        <f>iCP!O29</f>
        <v>-</v>
      </c>
      <c r="G25" s="240" t="str">
        <f>iCP!L29</f>
        <v>The four roadway and port concessions have transferred commercial project risk back to the state. The financial crisis triggered by Argentina's default in the early 2000s sever …</v>
      </c>
      <c r="H25" s="240"/>
      <c r="I25" s="240"/>
    </row>
    <row r="26" spans="2:9" ht="31.5" customHeight="1">
      <c r="B26" s="162">
        <f>iCP!P30</f>
        <v>0</v>
      </c>
      <c r="C26" s="64"/>
      <c r="D26" s="60" t="str">
        <f>iCP!E30</f>
        <v xml:space="preserve">   Experience in PPP projects (concessions)</v>
      </c>
      <c r="E26" s="61">
        <f>iCP!F30</f>
        <v>2.3809523809523809</v>
      </c>
      <c r="F26" s="143" t="str">
        <f>iCP!O30</f>
        <v>-2.4</v>
      </c>
      <c r="G26" s="239" t="str">
        <f>iCP!L30</f>
        <v>According to data from the World Bank, in 1999-2008 Uruguay had a total of four projects in the electricity industry and the water and transport sectors. Of these four project …</v>
      </c>
      <c r="H26" s="239"/>
      <c r="I26" s="239"/>
    </row>
    <row r="27" spans="2:9" ht="31.5" customHeight="1">
      <c r="B27" s="162">
        <f>iCP!P31</f>
        <v>0</v>
      </c>
      <c r="C27" s="64"/>
      <c r="D27" s="156" t="str">
        <f>iCP!E31</f>
        <v xml:space="preserve">   Quality of PPP projects (concessions)</v>
      </c>
      <c r="E27" s="157">
        <f>iCP!F31</f>
        <v>0</v>
      </c>
      <c r="F27" s="158" t="str">
        <f>iCP!O31</f>
        <v>-</v>
      </c>
      <c r="G27" s="240" t="str">
        <f>iCP!L31</f>
        <v>Out of four projects in the World Bank PPI database for the transport and water sectors and the electricity industry in 1999-2008, Uruguay had one cancelled or distressed proje …</v>
      </c>
      <c r="H27" s="240"/>
      <c r="I27" s="240"/>
    </row>
    <row r="28" spans="2:9" ht="22.5" customHeight="1">
      <c r="B28" s="162">
        <f>iCP!P32</f>
        <v>0</v>
      </c>
      <c r="C28" s="62" t="str">
        <f>iCP!E32</f>
        <v>INVESTMENT CLIMATE</v>
      </c>
      <c r="E28" s="57"/>
      <c r="F28" s="144"/>
      <c r="G28" s="58" t="str">
        <f>iCP!L32</f>
        <v/>
      </c>
      <c r="H28" s="56"/>
      <c r="I28" s="56"/>
    </row>
    <row r="29" spans="2:9" ht="31.5" customHeight="1">
      <c r="B29" s="162">
        <f>iCP!P33</f>
        <v>0</v>
      </c>
      <c r="C29" s="59"/>
      <c r="D29" s="60" t="str">
        <f>iCP!E33</f>
        <v xml:space="preserve">   Political distortion</v>
      </c>
      <c r="E29" s="61">
        <f>iCP!F33</f>
        <v>55.755211307958795</v>
      </c>
      <c r="F29" s="143" t="str">
        <f>iCP!O33</f>
        <v>+1.0</v>
      </c>
      <c r="G29" s="239" t="str">
        <f>iCP!L33</f>
        <v>The president, José Mujica, will encourage political stability by steering a centrist course through his five-year mandate. The continuation of a largely orthodox economic poli …</v>
      </c>
      <c r="H29" s="239"/>
      <c r="I29" s="239"/>
    </row>
    <row r="30" spans="2:9" ht="31.5" customHeight="1">
      <c r="B30" s="162">
        <f>iCP!P34</f>
        <v>0</v>
      </c>
      <c r="C30" s="59"/>
      <c r="D30" s="156" t="str">
        <f>iCP!E34</f>
        <v xml:space="preserve">   Business environment</v>
      </c>
      <c r="E30" s="157">
        <f>iCP!F34</f>
        <v>52.228001596161221</v>
      </c>
      <c r="F30" s="158" t="str">
        <f>iCP!O34</f>
        <v>+2.0</v>
      </c>
      <c r="G30" s="240" t="str">
        <f>iCP!L34</f>
        <v>Growth fell sharply after the escalation of the international financial crisis in the third quarter of 2008, and with global trade flows disrupted, was barely positive in 2009. …</v>
      </c>
      <c r="H30" s="240"/>
      <c r="I30" s="240"/>
    </row>
    <row r="31" spans="2:9" ht="31.5" customHeight="1">
      <c r="B31" s="162">
        <f>iCP!P35</f>
        <v>0</v>
      </c>
      <c r="C31" s="59"/>
      <c r="D31" s="60" t="str">
        <f>iCP!E35</f>
        <v xml:space="preserve">   Political will</v>
      </c>
      <c r="E31" s="61">
        <f>iCP!F35</f>
        <v>33.333333333333329</v>
      </c>
      <c r="F31" s="143" t="str">
        <f>iCP!O35</f>
        <v>-62.5</v>
      </c>
      <c r="G31" s="239" t="str">
        <f>iCP!L35</f>
        <v>Although there is political will to engage in transport infrastructure concessions, shown both by the past and present governments of the ruling Frente Amplio coalition, there …</v>
      </c>
      <c r="H31" s="239"/>
      <c r="I31" s="239"/>
    </row>
    <row r="32" spans="2:9" ht="22.5" customHeight="1">
      <c r="B32" s="162">
        <f>iCP!P36</f>
        <v>0</v>
      </c>
      <c r="C32" s="62" t="str">
        <f>iCP!E36</f>
        <v>FINANCIAL FACILITIES</v>
      </c>
      <c r="E32" s="57"/>
      <c r="F32" s="144"/>
      <c r="G32" s="58" t="str">
        <f>iCP!L36</f>
        <v/>
      </c>
      <c r="H32" s="56"/>
      <c r="I32" s="56"/>
    </row>
    <row r="33" spans="2:9" ht="31.5" customHeight="1">
      <c r="B33" s="162">
        <f>iCP!P37</f>
        <v>0</v>
      </c>
      <c r="C33" s="59"/>
      <c r="D33" s="156" t="str">
        <f>iCP!E37</f>
        <v xml:space="preserve">   Government payment risk</v>
      </c>
      <c r="E33" s="157">
        <f>iCP!F37</f>
        <v>50</v>
      </c>
      <c r="F33" s="158" t="str">
        <f>iCP!O37</f>
        <v>+25.0</v>
      </c>
      <c r="G33" s="240" t="str">
        <f>iCP!L37</f>
        <v>In the last five years, Uruguay's government has worked well with the private sector and has had a good track record of making payments on time, contrasting with the earlier pa …</v>
      </c>
      <c r="H33" s="240"/>
      <c r="I33" s="240"/>
    </row>
    <row r="34" spans="2:9" ht="31.5" customHeight="1">
      <c r="B34" s="162">
        <f>iCP!P38</f>
        <v>0</v>
      </c>
      <c r="C34" s="59"/>
      <c r="D34" s="60" t="str">
        <f>iCP!E38</f>
        <v xml:space="preserve">   Capital market: private infrastructure finance</v>
      </c>
      <c r="E34" s="61">
        <f>iCP!F38</f>
        <v>25</v>
      </c>
      <c r="F34" s="143" t="str">
        <f>iCP!O38</f>
        <v>-</v>
      </c>
      <c r="G34" s="239" t="str">
        <f>iCP!L38</f>
        <v>Uruguay's capital markets are undeveloped, making it difficult to finance long-term infrastructure projects. The banking system is characterised by relatively high concentratio …</v>
      </c>
      <c r="H34" s="239"/>
      <c r="I34" s="239"/>
    </row>
    <row r="35" spans="2:9" ht="31.5" customHeight="1">
      <c r="B35" s="162">
        <f>iCP!P39</f>
        <v>0</v>
      </c>
      <c r="C35" s="59"/>
      <c r="D35" s="156" t="str">
        <f>iCP!E39</f>
        <v xml:space="preserve">   Marketable debt</v>
      </c>
      <c r="E35" s="157">
        <f>iCP!F39</f>
        <v>25</v>
      </c>
      <c r="F35" s="158" t="str">
        <f>iCP!O39</f>
        <v>-</v>
      </c>
      <c r="G35" s="240" t="str">
        <f>iCP!L39</f>
        <v>There is only a freely-traded market for short-term, government bonds in local-currency denominations. (Economist Intelligence Unit Risk Briefing, May 2010)</v>
      </c>
      <c r="H35" s="240"/>
      <c r="I35" s="240"/>
    </row>
    <row r="36" spans="2:9" ht="31.5" customHeight="1">
      <c r="B36" s="162">
        <f>iCP!P42</f>
        <v>0</v>
      </c>
      <c r="C36" s="59"/>
      <c r="D36" s="60" t="str">
        <f>iCP!E42</f>
        <v xml:space="preserve">   Subnational adjustment factor</v>
      </c>
      <c r="E36" s="61">
        <f>iCP!F42</f>
        <v>25</v>
      </c>
      <c r="F36" s="143">
        <f>iCP!O42</f>
        <v>0</v>
      </c>
      <c r="G36" s="239" t="str">
        <f>iCP!L42</f>
        <v>Uruguay established a legal framework for public works concessions with Law No 15.637 in 1984. This complemented the Tocaf. This regulation also authorises municipalities to gr …</v>
      </c>
      <c r="H36" s="239"/>
      <c r="I36" s="239"/>
    </row>
    <row r="37" spans="2:9">
      <c r="C37" s="26"/>
      <c r="D37" s="26"/>
      <c r="E37" s="26"/>
      <c r="F37" s="26"/>
      <c r="G37" s="26"/>
      <c r="H37" s="26"/>
      <c r="I37" s="26"/>
    </row>
  </sheetData>
  <mergeCells count="18">
    <mergeCell ref="G35:I35"/>
    <mergeCell ref="G36:I36"/>
    <mergeCell ref="G27:I27"/>
    <mergeCell ref="G29:I29"/>
    <mergeCell ref="G30:I30"/>
    <mergeCell ref="G31:I31"/>
    <mergeCell ref="G33:I33"/>
    <mergeCell ref="G34:I34"/>
    <mergeCell ref="G26:I26"/>
    <mergeCell ref="G15:I15"/>
    <mergeCell ref="G16:I16"/>
    <mergeCell ref="G17:I17"/>
    <mergeCell ref="G18:I18"/>
    <mergeCell ref="G20:I20"/>
    <mergeCell ref="G21:I21"/>
    <mergeCell ref="G23:I23"/>
    <mergeCell ref="G24:I24"/>
    <mergeCell ref="G25:I25"/>
  </mergeCells>
  <phoneticPr fontId="0" type="noConversion"/>
  <conditionalFormatting sqref="C23:C27 C15:C18 C33:C36 C29:C31 C20:C21">
    <cfRule type="expression" dxfId="3" priority="7" stopIfTrue="1">
      <formula>$E15&lt;100/3</formula>
    </cfRule>
    <cfRule type="expression" dxfId="2" priority="8" stopIfTrue="1">
      <formula>$E15&gt;(2*100)/3</formula>
    </cfRule>
  </conditionalFormatting>
  <conditionalFormatting sqref="F5:F10">
    <cfRule type="expression" dxfId="1" priority="1" stopIfTrue="1">
      <formula>$B5=-1</formula>
    </cfRule>
    <cfRule type="expression" dxfId="0" priority="2" stopIfTrue="1">
      <formula>$B5=1</formula>
    </cfRule>
  </conditionalFormatting>
  <pageMargins left="0.7" right="0.7" top="0.75" bottom="0.75" header="0.3" footer="0.3"/>
  <pageSetup paperSize="0" orientation="portrait" horizontalDpi="0" verticalDpi="0" copies="0" r:id="rId1"/>
  <legacyDrawing r:id="rId2"/>
</worksheet>
</file>

<file path=xl/worksheets/sheet3.xml><?xml version="1.0" encoding="utf-8"?>
<worksheet xmlns="http://schemas.openxmlformats.org/spreadsheetml/2006/main" xmlns:r="http://schemas.openxmlformats.org/officeDocument/2006/relationships">
  <sheetPr codeName="Sheet6"/>
  <dimension ref="A1:Q24"/>
  <sheetViews>
    <sheetView workbookViewId="0">
      <selection activeCell="E26" sqref="E26"/>
    </sheetView>
  </sheetViews>
  <sheetFormatPr defaultRowHeight="15"/>
  <cols>
    <col min="1" max="1" width="16.28515625" bestFit="1" customWidth="1"/>
    <col min="3" max="3" width="4.140625" bestFit="1" customWidth="1"/>
    <col min="5" max="5" width="17.28515625" bestFit="1" customWidth="1"/>
  </cols>
  <sheetData>
    <row r="1" spans="1:17">
      <c r="A1" t="s">
        <v>898</v>
      </c>
      <c r="B1" s="91">
        <f>uxbWorks!B14</f>
        <v>0</v>
      </c>
    </row>
    <row r="2" spans="1:17">
      <c r="A2" t="s">
        <v>960</v>
      </c>
      <c r="B2" s="91">
        <f>uxbWorks!B22</f>
        <v>1</v>
      </c>
    </row>
    <row r="3" spans="1:17">
      <c r="A3" t="s">
        <v>961</v>
      </c>
      <c r="B3" s="91">
        <f>uxbWorks!B23</f>
        <v>1</v>
      </c>
    </row>
    <row r="4" spans="1:17">
      <c r="A4" t="s">
        <v>962</v>
      </c>
    </row>
    <row r="5" spans="1:17">
      <c r="A5" s="1" t="s">
        <v>898</v>
      </c>
      <c r="B5" s="1" t="s">
        <v>899</v>
      </c>
      <c r="C5" s="1" t="s">
        <v>654</v>
      </c>
      <c r="D5" s="1" t="s">
        <v>900</v>
      </c>
      <c r="E5" s="1" t="s">
        <v>885</v>
      </c>
      <c r="F5" s="1" t="s">
        <v>902</v>
      </c>
      <c r="G5" s="1" t="s">
        <v>903</v>
      </c>
      <c r="H5" s="1" t="s">
        <v>904</v>
      </c>
      <c r="K5" s="2"/>
      <c r="L5" s="3" t="s">
        <v>905</v>
      </c>
      <c r="M5" s="3" t="s">
        <v>906</v>
      </c>
      <c r="N5" s="2" t="s">
        <v>907</v>
      </c>
      <c r="O5" s="2" t="s">
        <v>908</v>
      </c>
      <c r="P5" s="2" t="s">
        <v>909</v>
      </c>
      <c r="Q5" s="2" t="s">
        <v>910</v>
      </c>
    </row>
    <row r="6" spans="1:17">
      <c r="A6">
        <v>1</v>
      </c>
      <c r="B6" s="2"/>
      <c r="C6" t="s">
        <v>911</v>
      </c>
      <c r="D6" t="s">
        <v>911</v>
      </c>
      <c r="E6" t="s">
        <v>912</v>
      </c>
      <c r="F6" s="4">
        <f ca="1">IF(G6=0,0,IF(A6=$B$1,3,IF(H6=1,2,1)))</f>
        <v>1</v>
      </c>
      <c r="G6" s="4">
        <f ca="1">OFFSET(L6,0,$B$2)</f>
        <v>1</v>
      </c>
      <c r="H6" s="4">
        <f ca="1">OFFSET(K6,0,$B$3)</f>
        <v>0</v>
      </c>
      <c r="K6" t="str">
        <f>L5</f>
        <v>None</v>
      </c>
      <c r="L6">
        <v>0</v>
      </c>
      <c r="M6">
        <v>1</v>
      </c>
      <c r="N6">
        <v>0</v>
      </c>
      <c r="O6">
        <v>0</v>
      </c>
      <c r="P6">
        <v>1</v>
      </c>
      <c r="Q6">
        <v>1</v>
      </c>
    </row>
    <row r="7" spans="1:17">
      <c r="A7">
        <v>2</v>
      </c>
      <c r="B7" s="2"/>
      <c r="C7" t="s">
        <v>913</v>
      </c>
      <c r="D7" t="s">
        <v>913</v>
      </c>
      <c r="E7" t="s">
        <v>914</v>
      </c>
      <c r="F7" s="4">
        <f t="shared" ref="F7:F24" ca="1" si="0">IF(G7=0,0,IF(A7=$B$1,3,IF(H7=1,2,1)))</f>
        <v>1</v>
      </c>
      <c r="G7" s="4">
        <f t="shared" ref="G7:G24" ca="1" si="1">OFFSET(L7,0,$B$2)</f>
        <v>1</v>
      </c>
      <c r="H7" s="4">
        <f t="shared" ref="H7:H21" ca="1" si="2">OFFSET(K7,0,$B$3)</f>
        <v>0</v>
      </c>
      <c r="K7" t="str">
        <f>M5</f>
        <v>All</v>
      </c>
      <c r="L7">
        <v>0</v>
      </c>
      <c r="M7">
        <v>1</v>
      </c>
      <c r="N7">
        <v>0</v>
      </c>
      <c r="O7">
        <v>0</v>
      </c>
      <c r="P7">
        <v>1</v>
      </c>
      <c r="Q7">
        <v>0</v>
      </c>
    </row>
    <row r="8" spans="1:17">
      <c r="A8">
        <v>3</v>
      </c>
      <c r="B8" s="2"/>
      <c r="C8" t="s">
        <v>915</v>
      </c>
      <c r="D8" t="s">
        <v>916</v>
      </c>
      <c r="E8" t="s">
        <v>917</v>
      </c>
      <c r="F8" s="4">
        <f t="shared" ca="1" si="0"/>
        <v>1</v>
      </c>
      <c r="G8" s="4">
        <f t="shared" ca="1" si="1"/>
        <v>1</v>
      </c>
      <c r="H8" s="4">
        <f t="shared" ca="1" si="2"/>
        <v>0</v>
      </c>
      <c r="K8" t="str">
        <f>N5</f>
        <v>Caribbean</v>
      </c>
      <c r="L8">
        <v>0</v>
      </c>
      <c r="M8">
        <v>1</v>
      </c>
      <c r="N8">
        <v>0</v>
      </c>
      <c r="O8">
        <v>0</v>
      </c>
      <c r="P8">
        <v>1</v>
      </c>
      <c r="Q8">
        <v>1</v>
      </c>
    </row>
    <row r="9" spans="1:17">
      <c r="A9">
        <v>4</v>
      </c>
      <c r="B9" s="2"/>
      <c r="C9" t="s">
        <v>918</v>
      </c>
      <c r="D9" t="s">
        <v>919</v>
      </c>
      <c r="E9" t="s">
        <v>920</v>
      </c>
      <c r="F9" s="4">
        <f t="shared" ca="1" si="0"/>
        <v>1</v>
      </c>
      <c r="G9" s="4">
        <f t="shared" ca="1" si="1"/>
        <v>1</v>
      </c>
      <c r="H9" s="4">
        <f t="shared" ca="1" si="2"/>
        <v>0</v>
      </c>
      <c r="K9" t="str">
        <f>O5</f>
        <v>Central America</v>
      </c>
      <c r="L9">
        <v>0</v>
      </c>
      <c r="M9">
        <v>1</v>
      </c>
      <c r="N9">
        <v>0</v>
      </c>
      <c r="O9">
        <v>0</v>
      </c>
      <c r="P9">
        <v>1</v>
      </c>
      <c r="Q9">
        <v>1</v>
      </c>
    </row>
    <row r="10" spans="1:17">
      <c r="A10">
        <v>5</v>
      </c>
      <c r="B10" s="2"/>
      <c r="C10" t="s">
        <v>921</v>
      </c>
      <c r="D10" t="s">
        <v>921</v>
      </c>
      <c r="E10" t="s">
        <v>922</v>
      </c>
      <c r="F10" s="4">
        <f t="shared" ca="1" si="0"/>
        <v>1</v>
      </c>
      <c r="G10" s="4">
        <f t="shared" ca="1" si="1"/>
        <v>1</v>
      </c>
      <c r="H10" s="4">
        <f t="shared" ca="1" si="2"/>
        <v>0</v>
      </c>
      <c r="K10" t="str">
        <f>P5</f>
        <v>South America</v>
      </c>
      <c r="L10">
        <v>0</v>
      </c>
      <c r="M10">
        <v>1</v>
      </c>
      <c r="N10">
        <v>0</v>
      </c>
      <c r="O10">
        <v>1</v>
      </c>
      <c r="P10">
        <v>0</v>
      </c>
      <c r="Q10">
        <v>1</v>
      </c>
    </row>
    <row r="11" spans="1:17">
      <c r="A11">
        <v>6</v>
      </c>
      <c r="B11" s="2"/>
      <c r="C11" t="s">
        <v>923</v>
      </c>
      <c r="D11" t="s">
        <v>924</v>
      </c>
      <c r="E11" s="2" t="s">
        <v>925</v>
      </c>
      <c r="F11" s="4">
        <f t="shared" ca="1" si="0"/>
        <v>1</v>
      </c>
      <c r="G11" s="4">
        <f t="shared" ca="1" si="1"/>
        <v>1</v>
      </c>
      <c r="H11" s="4">
        <f t="shared" ca="1" si="2"/>
        <v>0</v>
      </c>
      <c r="K11" t="str">
        <f>Q5</f>
        <v>All, ex Brazil+Mexico</v>
      </c>
      <c r="L11">
        <v>0</v>
      </c>
      <c r="M11">
        <v>1</v>
      </c>
      <c r="N11">
        <v>1</v>
      </c>
      <c r="O11">
        <v>0</v>
      </c>
      <c r="P11">
        <v>0</v>
      </c>
      <c r="Q11">
        <v>1</v>
      </c>
    </row>
    <row r="12" spans="1:17">
      <c r="A12">
        <v>7</v>
      </c>
      <c r="B12" s="2"/>
      <c r="C12" t="s">
        <v>926</v>
      </c>
      <c r="D12" t="s">
        <v>926</v>
      </c>
      <c r="E12" t="s">
        <v>927</v>
      </c>
      <c r="F12" s="4">
        <f t="shared" ca="1" si="0"/>
        <v>1</v>
      </c>
      <c r="G12" s="4">
        <f t="shared" ca="1" si="1"/>
        <v>1</v>
      </c>
      <c r="H12" s="4">
        <f t="shared" ca="1" si="2"/>
        <v>0</v>
      </c>
      <c r="L12">
        <v>0</v>
      </c>
      <c r="M12">
        <v>1</v>
      </c>
      <c r="N12">
        <v>0</v>
      </c>
      <c r="O12">
        <v>0</v>
      </c>
      <c r="P12">
        <v>1</v>
      </c>
      <c r="Q12">
        <v>1</v>
      </c>
    </row>
    <row r="13" spans="1:17">
      <c r="A13">
        <v>8</v>
      </c>
      <c r="B13" s="2"/>
      <c r="C13" t="s">
        <v>928</v>
      </c>
      <c r="D13" t="s">
        <v>929</v>
      </c>
      <c r="E13" t="s">
        <v>930</v>
      </c>
      <c r="F13" s="4">
        <f t="shared" ca="1" si="0"/>
        <v>1</v>
      </c>
      <c r="G13" s="4">
        <f t="shared" ca="1" si="1"/>
        <v>1</v>
      </c>
      <c r="H13" s="4">
        <f t="shared" ca="1" si="2"/>
        <v>0</v>
      </c>
      <c r="L13">
        <v>0</v>
      </c>
      <c r="M13">
        <v>1</v>
      </c>
      <c r="N13">
        <v>0</v>
      </c>
      <c r="O13">
        <v>1</v>
      </c>
      <c r="P13">
        <v>0</v>
      </c>
      <c r="Q13">
        <v>1</v>
      </c>
    </row>
    <row r="14" spans="1:17">
      <c r="A14">
        <v>9</v>
      </c>
      <c r="B14" s="2"/>
      <c r="C14" t="s">
        <v>931</v>
      </c>
      <c r="D14" t="s">
        <v>932</v>
      </c>
      <c r="E14" t="s">
        <v>933</v>
      </c>
      <c r="F14" s="4">
        <f t="shared" ca="1" si="0"/>
        <v>1</v>
      </c>
      <c r="G14" s="4">
        <f t="shared" ca="1" si="1"/>
        <v>1</v>
      </c>
      <c r="H14" s="4">
        <f t="shared" ca="1" si="2"/>
        <v>0</v>
      </c>
      <c r="L14">
        <v>0</v>
      </c>
      <c r="M14">
        <v>1</v>
      </c>
      <c r="N14">
        <v>0</v>
      </c>
      <c r="O14">
        <v>1</v>
      </c>
      <c r="P14">
        <v>0</v>
      </c>
      <c r="Q14">
        <v>1</v>
      </c>
    </row>
    <row r="15" spans="1:17">
      <c r="A15">
        <v>10</v>
      </c>
      <c r="B15" s="2"/>
      <c r="C15" t="s">
        <v>934</v>
      </c>
      <c r="D15" t="s">
        <v>935</v>
      </c>
      <c r="E15" t="s">
        <v>936</v>
      </c>
      <c r="F15" s="4">
        <f t="shared" ca="1" si="0"/>
        <v>1</v>
      </c>
      <c r="G15" s="4">
        <f t="shared" ca="1" si="1"/>
        <v>1</v>
      </c>
      <c r="H15" s="4">
        <f t="shared" ca="1" si="2"/>
        <v>0</v>
      </c>
      <c r="L15">
        <v>0</v>
      </c>
      <c r="M15">
        <v>1</v>
      </c>
      <c r="N15">
        <v>0</v>
      </c>
      <c r="O15">
        <v>1</v>
      </c>
      <c r="P15">
        <v>0</v>
      </c>
      <c r="Q15">
        <v>1</v>
      </c>
    </row>
    <row r="16" spans="1:17">
      <c r="A16">
        <v>11</v>
      </c>
      <c r="B16" s="2"/>
      <c r="C16" t="s">
        <v>937</v>
      </c>
      <c r="D16" t="s">
        <v>937</v>
      </c>
      <c r="E16" t="s">
        <v>938</v>
      </c>
      <c r="F16" s="4">
        <f t="shared" ca="1" si="0"/>
        <v>1</v>
      </c>
      <c r="G16" s="4">
        <f t="shared" ca="1" si="1"/>
        <v>1</v>
      </c>
      <c r="H16" s="4">
        <f t="shared" ca="1" si="2"/>
        <v>0</v>
      </c>
      <c r="L16">
        <v>0</v>
      </c>
      <c r="M16">
        <v>1</v>
      </c>
      <c r="N16">
        <v>1</v>
      </c>
      <c r="O16">
        <v>0</v>
      </c>
      <c r="P16">
        <v>0</v>
      </c>
      <c r="Q16">
        <v>1</v>
      </c>
    </row>
    <row r="17" spans="1:17">
      <c r="A17">
        <v>12</v>
      </c>
      <c r="B17" s="2"/>
      <c r="C17" t="s">
        <v>939</v>
      </c>
      <c r="D17" t="s">
        <v>939</v>
      </c>
      <c r="E17" t="s">
        <v>940</v>
      </c>
      <c r="F17" s="4">
        <f t="shared" ca="1" si="0"/>
        <v>1</v>
      </c>
      <c r="G17" s="4">
        <f t="shared" ca="1" si="1"/>
        <v>1</v>
      </c>
      <c r="H17" s="4">
        <f t="shared" ca="1" si="2"/>
        <v>0</v>
      </c>
      <c r="L17">
        <v>0</v>
      </c>
      <c r="M17">
        <v>1</v>
      </c>
      <c r="N17">
        <v>0</v>
      </c>
      <c r="O17">
        <v>0</v>
      </c>
      <c r="P17">
        <v>0</v>
      </c>
      <c r="Q17">
        <v>0</v>
      </c>
    </row>
    <row r="18" spans="1:17">
      <c r="A18">
        <v>13</v>
      </c>
      <c r="B18" s="2"/>
      <c r="C18" t="s">
        <v>941</v>
      </c>
      <c r="D18" t="s">
        <v>942</v>
      </c>
      <c r="E18" t="s">
        <v>943</v>
      </c>
      <c r="F18" s="4">
        <f t="shared" ca="1" si="0"/>
        <v>1</v>
      </c>
      <c r="G18" s="4">
        <f t="shared" ca="1" si="1"/>
        <v>1</v>
      </c>
      <c r="H18" s="4">
        <f t="shared" ca="1" si="2"/>
        <v>0</v>
      </c>
      <c r="L18">
        <v>0</v>
      </c>
      <c r="M18">
        <v>1</v>
      </c>
      <c r="N18">
        <v>0</v>
      </c>
      <c r="O18">
        <v>1</v>
      </c>
      <c r="P18">
        <v>0</v>
      </c>
      <c r="Q18">
        <v>1</v>
      </c>
    </row>
    <row r="19" spans="1:17">
      <c r="A19">
        <v>14</v>
      </c>
      <c r="B19" s="2"/>
      <c r="C19" t="s">
        <v>944</v>
      </c>
      <c r="D19" t="s">
        <v>945</v>
      </c>
      <c r="E19" t="s">
        <v>946</v>
      </c>
      <c r="F19" s="4">
        <f t="shared" ca="1" si="0"/>
        <v>1</v>
      </c>
      <c r="G19" s="4">
        <f t="shared" ca="1" si="1"/>
        <v>1</v>
      </c>
      <c r="H19" s="4">
        <f t="shared" ca="1" si="2"/>
        <v>0</v>
      </c>
      <c r="L19">
        <v>0</v>
      </c>
      <c r="M19">
        <v>1</v>
      </c>
      <c r="N19">
        <v>0</v>
      </c>
      <c r="O19">
        <v>1</v>
      </c>
      <c r="P19">
        <v>0</v>
      </c>
      <c r="Q19">
        <v>1</v>
      </c>
    </row>
    <row r="20" spans="1:17">
      <c r="A20">
        <v>15</v>
      </c>
      <c r="B20" s="2"/>
      <c r="C20" t="s">
        <v>947</v>
      </c>
      <c r="D20" t="s">
        <v>948</v>
      </c>
      <c r="E20" t="s">
        <v>949</v>
      </c>
      <c r="F20" s="4">
        <f t="shared" ca="1" si="0"/>
        <v>1</v>
      </c>
      <c r="G20" s="4">
        <f t="shared" ca="1" si="1"/>
        <v>1</v>
      </c>
      <c r="H20" s="4">
        <f t="shared" ca="1" si="2"/>
        <v>0</v>
      </c>
      <c r="L20">
        <v>0</v>
      </c>
      <c r="M20">
        <v>1</v>
      </c>
      <c r="N20">
        <v>0</v>
      </c>
      <c r="O20">
        <v>0</v>
      </c>
      <c r="P20">
        <v>1</v>
      </c>
      <c r="Q20">
        <v>1</v>
      </c>
    </row>
    <row r="21" spans="1:17">
      <c r="A21">
        <v>16</v>
      </c>
      <c r="B21" s="2"/>
      <c r="C21" t="s">
        <v>950</v>
      </c>
      <c r="D21" t="s">
        <v>950</v>
      </c>
      <c r="E21" t="s">
        <v>951</v>
      </c>
      <c r="F21" s="4">
        <f t="shared" ca="1" si="0"/>
        <v>1</v>
      </c>
      <c r="G21" s="4">
        <f t="shared" ca="1" si="1"/>
        <v>1</v>
      </c>
      <c r="H21" s="4">
        <f t="shared" ca="1" si="2"/>
        <v>0</v>
      </c>
      <c r="L21">
        <v>0</v>
      </c>
      <c r="M21">
        <v>1</v>
      </c>
      <c r="N21">
        <v>0</v>
      </c>
      <c r="O21">
        <v>0</v>
      </c>
      <c r="P21">
        <v>1</v>
      </c>
      <c r="Q21">
        <v>1</v>
      </c>
    </row>
    <row r="22" spans="1:17">
      <c r="A22">
        <v>17</v>
      </c>
      <c r="B22" s="2"/>
      <c r="C22" t="s">
        <v>952</v>
      </c>
      <c r="D22" t="s">
        <v>952</v>
      </c>
      <c r="E22" t="s">
        <v>953</v>
      </c>
      <c r="F22" s="4">
        <f t="shared" ca="1" si="0"/>
        <v>1</v>
      </c>
      <c r="G22" s="4">
        <f t="shared" ca="1" si="1"/>
        <v>1</v>
      </c>
      <c r="H22" s="4">
        <f ca="1">OFFSET(K22,0,$B$3)</f>
        <v>0</v>
      </c>
      <c r="L22">
        <v>0</v>
      </c>
      <c r="M22">
        <v>1</v>
      </c>
      <c r="N22">
        <v>1</v>
      </c>
      <c r="O22">
        <v>0</v>
      </c>
      <c r="P22">
        <v>0</v>
      </c>
      <c r="Q22">
        <v>1</v>
      </c>
    </row>
    <row r="23" spans="1:17">
      <c r="A23">
        <v>18</v>
      </c>
      <c r="B23" s="2"/>
      <c r="C23" t="s">
        <v>954</v>
      </c>
      <c r="D23" t="s">
        <v>955</v>
      </c>
      <c r="E23" t="s">
        <v>956</v>
      </c>
      <c r="F23" s="4">
        <f t="shared" ca="1" si="0"/>
        <v>1</v>
      </c>
      <c r="G23" s="4">
        <f t="shared" ca="1" si="1"/>
        <v>1</v>
      </c>
      <c r="H23" s="4">
        <f ca="1">OFFSET(K23,0,$B$3)</f>
        <v>0</v>
      </c>
      <c r="L23">
        <v>0</v>
      </c>
      <c r="M23">
        <v>1</v>
      </c>
      <c r="N23">
        <v>0</v>
      </c>
      <c r="O23">
        <v>0</v>
      </c>
      <c r="P23">
        <v>1</v>
      </c>
      <c r="Q23">
        <v>1</v>
      </c>
    </row>
    <row r="24" spans="1:17">
      <c r="A24">
        <v>19</v>
      </c>
      <c r="B24" s="2"/>
      <c r="C24" t="s">
        <v>957</v>
      </c>
      <c r="D24" t="s">
        <v>958</v>
      </c>
      <c r="E24" t="s">
        <v>959</v>
      </c>
      <c r="F24" s="4">
        <f t="shared" ca="1" si="0"/>
        <v>1</v>
      </c>
      <c r="G24" s="4">
        <f t="shared" ca="1" si="1"/>
        <v>1</v>
      </c>
      <c r="H24" s="4">
        <f ca="1">OFFSET(K24,0,$B$3)</f>
        <v>0</v>
      </c>
      <c r="L24">
        <v>0</v>
      </c>
      <c r="M24">
        <v>1</v>
      </c>
      <c r="N24">
        <v>0</v>
      </c>
      <c r="O24">
        <v>0</v>
      </c>
      <c r="P24">
        <v>1</v>
      </c>
      <c r="Q24">
        <v>1</v>
      </c>
    </row>
  </sheetData>
  <phoneticPr fontId="0" type="noConversion"/>
  <pageMargins left="0.7" right="0.7" top="0.75" bottom="0.75" header="0.3" footer="0.3"/>
</worksheet>
</file>

<file path=xl/worksheets/sheet30.xml><?xml version="1.0" encoding="utf-8"?>
<worksheet xmlns="http://schemas.openxmlformats.org/spreadsheetml/2006/main" xmlns:r="http://schemas.openxmlformats.org/officeDocument/2006/relationships">
  <sheetPr codeName="Sheet15"/>
  <dimension ref="A2:J37"/>
  <sheetViews>
    <sheetView topLeftCell="C1" workbookViewId="0">
      <selection activeCell="H28" sqref="H28"/>
    </sheetView>
  </sheetViews>
  <sheetFormatPr defaultRowHeight="15"/>
  <sheetData>
    <row r="2" spans="1:10">
      <c r="A2" s="46" t="s">
        <v>553</v>
      </c>
      <c r="D2" s="46" t="str">
        <f>A2</f>
        <v>Default</v>
      </c>
      <c r="E2" s="46" t="str">
        <f>A3</f>
        <v>Neutral (each category equal)</v>
      </c>
      <c r="F2" s="46" t="str">
        <f>A4</f>
        <v>EIU weights</v>
      </c>
      <c r="G2" s="46" t="str">
        <f>A5</f>
        <v>User defined#2</v>
      </c>
      <c r="H2" s="46" t="str">
        <f>A6</f>
        <v>User defined#3</v>
      </c>
      <c r="I2" s="46" t="str">
        <f>A7</f>
        <v>User defined#4</v>
      </c>
      <c r="J2" s="46" t="str">
        <f>A8</f>
        <v>User defined#5</v>
      </c>
    </row>
    <row r="3" spans="1:10">
      <c r="A3" s="46" t="s">
        <v>554</v>
      </c>
      <c r="D3" t="s">
        <v>1038</v>
      </c>
      <c r="E3" t="s">
        <v>1038</v>
      </c>
      <c r="F3" t="s">
        <v>1038</v>
      </c>
      <c r="G3" t="s">
        <v>1038</v>
      </c>
      <c r="H3" t="s">
        <v>1038</v>
      </c>
      <c r="I3" t="s">
        <v>1038</v>
      </c>
      <c r="J3" t="s">
        <v>1038</v>
      </c>
    </row>
    <row r="4" spans="1:10">
      <c r="A4" s="46" t="s">
        <v>555</v>
      </c>
      <c r="C4" t="str">
        <f>Weights!F4</f>
        <v>Legal and regulatory framework</v>
      </c>
      <c r="D4">
        <v>5</v>
      </c>
      <c r="E4">
        <v>1</v>
      </c>
      <c r="F4">
        <v>1.5</v>
      </c>
      <c r="G4">
        <v>1</v>
      </c>
      <c r="H4">
        <v>1</v>
      </c>
      <c r="I4">
        <v>1</v>
      </c>
      <c r="J4">
        <v>1</v>
      </c>
    </row>
    <row r="5" spans="1:10">
      <c r="A5" s="46" t="s">
        <v>556</v>
      </c>
      <c r="C5" t="str">
        <f>Weights!F5</f>
        <v>Institutional framework</v>
      </c>
      <c r="D5">
        <v>3</v>
      </c>
      <c r="E5">
        <v>1</v>
      </c>
      <c r="F5">
        <v>1.2</v>
      </c>
      <c r="G5">
        <v>1</v>
      </c>
      <c r="H5">
        <v>1</v>
      </c>
      <c r="I5">
        <v>1</v>
      </c>
      <c r="J5">
        <v>1</v>
      </c>
    </row>
    <row r="6" spans="1:10">
      <c r="A6" s="46" t="s">
        <v>557</v>
      </c>
      <c r="C6" t="str">
        <f>Weights!F6</f>
        <v>Operational maturity</v>
      </c>
      <c r="D6">
        <v>3</v>
      </c>
      <c r="E6">
        <v>1</v>
      </c>
      <c r="F6">
        <v>0.9</v>
      </c>
      <c r="G6">
        <v>1</v>
      </c>
      <c r="H6">
        <v>1</v>
      </c>
      <c r="I6">
        <v>1</v>
      </c>
      <c r="J6">
        <v>1</v>
      </c>
    </row>
    <row r="7" spans="1:10">
      <c r="A7" s="46" t="s">
        <v>558</v>
      </c>
      <c r="C7" t="str">
        <f>Weights!F7</f>
        <v>Investment climate</v>
      </c>
      <c r="D7">
        <v>0.5</v>
      </c>
      <c r="E7">
        <v>1</v>
      </c>
      <c r="F7">
        <v>0.9</v>
      </c>
      <c r="G7">
        <v>1</v>
      </c>
      <c r="H7">
        <v>1</v>
      </c>
      <c r="I7">
        <v>1</v>
      </c>
      <c r="J7">
        <v>1</v>
      </c>
    </row>
    <row r="8" spans="1:10">
      <c r="A8" s="46" t="s">
        <v>559</v>
      </c>
      <c r="C8" t="str">
        <f>Weights!F8</f>
        <v>Financial facilities</v>
      </c>
      <c r="D8">
        <v>0.5</v>
      </c>
      <c r="E8">
        <v>1</v>
      </c>
      <c r="F8">
        <v>0.9</v>
      </c>
      <c r="G8">
        <v>1</v>
      </c>
      <c r="H8">
        <v>1</v>
      </c>
      <c r="I8">
        <v>1</v>
      </c>
      <c r="J8">
        <v>1</v>
      </c>
    </row>
    <row r="9" spans="1:10">
      <c r="A9" s="46"/>
      <c r="C9" t="str">
        <f>Weights!F9</f>
        <v>Subnational adjustment</v>
      </c>
      <c r="D9">
        <v>1</v>
      </c>
      <c r="E9">
        <v>1</v>
      </c>
      <c r="F9">
        <v>0.6</v>
      </c>
      <c r="G9">
        <v>1</v>
      </c>
      <c r="H9">
        <v>1</v>
      </c>
      <c r="I9">
        <v>1</v>
      </c>
      <c r="J9">
        <v>1</v>
      </c>
    </row>
    <row r="11" spans="1:10">
      <c r="C11" t="str">
        <f>Weights!F11</f>
        <v>Indicator</v>
      </c>
      <c r="D11" t="s">
        <v>1038</v>
      </c>
      <c r="E11" t="s">
        <v>1038</v>
      </c>
      <c r="F11" t="s">
        <v>1038</v>
      </c>
      <c r="G11" t="s">
        <v>1038</v>
      </c>
      <c r="H11" t="s">
        <v>1038</v>
      </c>
      <c r="I11" t="s">
        <v>1038</v>
      </c>
      <c r="J11" t="s">
        <v>1038</v>
      </c>
    </row>
    <row r="12" spans="1:10">
      <c r="C12" t="str">
        <f>Weights!F12</f>
        <v>Regulatory framework</v>
      </c>
    </row>
    <row r="13" spans="1:10">
      <c r="C13" t="str">
        <f>Weights!F13</f>
        <v>Consistency and quality of PPP regulations</v>
      </c>
      <c r="D13">
        <v>3</v>
      </c>
      <c r="E13">
        <v>1</v>
      </c>
      <c r="F13">
        <v>3</v>
      </c>
      <c r="G13">
        <v>1</v>
      </c>
      <c r="H13">
        <v>1</v>
      </c>
      <c r="I13">
        <v>1</v>
      </c>
      <c r="J13">
        <v>1</v>
      </c>
    </row>
    <row r="14" spans="1:10">
      <c r="C14" t="str">
        <f>Weights!F14</f>
        <v>Effective PPP selection and decision making</v>
      </c>
      <c r="D14">
        <v>3</v>
      </c>
      <c r="E14">
        <v>1</v>
      </c>
      <c r="F14">
        <v>2</v>
      </c>
      <c r="G14">
        <v>1</v>
      </c>
      <c r="H14">
        <v>1</v>
      </c>
      <c r="I14">
        <v>1</v>
      </c>
      <c r="J14">
        <v>1</v>
      </c>
    </row>
    <row r="15" spans="1:10">
      <c r="C15" t="str">
        <f>Weights!F15</f>
        <v>Fairness/openness of bids, contract changes</v>
      </c>
      <c r="D15">
        <v>1</v>
      </c>
      <c r="E15">
        <v>1</v>
      </c>
      <c r="F15">
        <v>1</v>
      </c>
      <c r="G15">
        <v>1</v>
      </c>
      <c r="H15">
        <v>1</v>
      </c>
      <c r="I15">
        <v>1</v>
      </c>
      <c r="J15">
        <v>1</v>
      </c>
    </row>
    <row r="16" spans="1:10">
      <c r="C16" t="str">
        <f>Weights!F16</f>
        <v>Dispute resolution mechanisms</v>
      </c>
      <c r="D16">
        <v>2</v>
      </c>
      <c r="E16">
        <v>1</v>
      </c>
      <c r="F16">
        <v>2</v>
      </c>
      <c r="G16">
        <v>1</v>
      </c>
      <c r="H16">
        <v>1</v>
      </c>
      <c r="I16">
        <v>1</v>
      </c>
      <c r="J16">
        <v>1</v>
      </c>
    </row>
    <row r="17" spans="3:10">
      <c r="C17" t="str">
        <f>Weights!F17</f>
        <v>Institutional framework</v>
      </c>
    </row>
    <row r="18" spans="3:10">
      <c r="C18" t="str">
        <f>Weights!F18</f>
        <v>Quality of institutional design</v>
      </c>
      <c r="D18">
        <v>1</v>
      </c>
      <c r="E18">
        <v>1</v>
      </c>
      <c r="F18">
        <v>2</v>
      </c>
      <c r="G18">
        <v>1</v>
      </c>
      <c r="H18">
        <v>1</v>
      </c>
      <c r="I18">
        <v>1</v>
      </c>
      <c r="J18">
        <v>1</v>
      </c>
    </row>
    <row r="19" spans="3:10">
      <c r="C19" t="str">
        <f>Weights!F19</f>
        <v>PPP contract, hold-up and expropriation risk</v>
      </c>
      <c r="D19">
        <v>1</v>
      </c>
      <c r="E19">
        <v>1</v>
      </c>
      <c r="F19">
        <v>1</v>
      </c>
      <c r="G19">
        <v>1</v>
      </c>
      <c r="H19">
        <v>1</v>
      </c>
      <c r="I19">
        <v>1</v>
      </c>
      <c r="J19">
        <v>1</v>
      </c>
    </row>
    <row r="20" spans="3:10">
      <c r="C20" t="str">
        <f>Weights!F20</f>
        <v>Operational maturity</v>
      </c>
    </row>
    <row r="21" spans="3:10">
      <c r="C21" t="str">
        <f>Weights!F21</f>
        <v>Public capacity to plan and oversee PPPs</v>
      </c>
      <c r="D21">
        <v>1</v>
      </c>
      <c r="E21">
        <v>1</v>
      </c>
      <c r="F21">
        <v>2</v>
      </c>
      <c r="G21">
        <v>1</v>
      </c>
      <c r="H21">
        <v>1</v>
      </c>
      <c r="I21">
        <v>1</v>
      </c>
      <c r="J21">
        <v>1</v>
      </c>
    </row>
    <row r="22" spans="3:10">
      <c r="C22" t="str">
        <f>Weights!F22</f>
        <v xml:space="preserve">Methods and criteria for awarding projects </v>
      </c>
      <c r="D22">
        <v>1</v>
      </c>
      <c r="E22">
        <v>1</v>
      </c>
      <c r="F22">
        <v>1</v>
      </c>
      <c r="G22">
        <v>1</v>
      </c>
      <c r="H22">
        <v>1</v>
      </c>
      <c r="I22">
        <v>1</v>
      </c>
      <c r="J22">
        <v>1</v>
      </c>
    </row>
    <row r="23" spans="3:10">
      <c r="C23" t="str">
        <f>Weights!F23</f>
        <v>Regulators' risk allocation record</v>
      </c>
      <c r="D23">
        <v>1</v>
      </c>
      <c r="E23">
        <v>1</v>
      </c>
      <c r="F23">
        <v>1</v>
      </c>
      <c r="G23">
        <v>1</v>
      </c>
      <c r="H23">
        <v>1</v>
      </c>
      <c r="I23">
        <v>1</v>
      </c>
      <c r="J23">
        <v>1</v>
      </c>
    </row>
    <row r="24" spans="3:10">
      <c r="C24" t="str">
        <f>Weights!F24</f>
        <v>Experience in PPP projects (concessions)</v>
      </c>
      <c r="D24">
        <v>1</v>
      </c>
      <c r="E24">
        <v>1</v>
      </c>
      <c r="F24">
        <v>2</v>
      </c>
      <c r="G24">
        <v>1</v>
      </c>
      <c r="H24">
        <v>1</v>
      </c>
      <c r="I24">
        <v>1</v>
      </c>
      <c r="J24">
        <v>1</v>
      </c>
    </row>
    <row r="25" spans="3:10">
      <c r="C25" t="str">
        <f>Weights!F25</f>
        <v>Quality of PPP projects (concessions)</v>
      </c>
      <c r="D25">
        <v>2</v>
      </c>
      <c r="E25">
        <v>1</v>
      </c>
      <c r="F25">
        <v>2</v>
      </c>
      <c r="G25">
        <v>1</v>
      </c>
      <c r="H25">
        <v>1</v>
      </c>
      <c r="I25">
        <v>1</v>
      </c>
      <c r="J25">
        <v>1</v>
      </c>
    </row>
    <row r="26" spans="3:10">
      <c r="C26" t="str">
        <f>Weights!F26</f>
        <v>Investment climate</v>
      </c>
    </row>
    <row r="27" spans="3:10">
      <c r="C27" t="str">
        <f>Weights!F27</f>
        <v>Political distortion</v>
      </c>
      <c r="D27">
        <v>1</v>
      </c>
      <c r="E27">
        <v>1</v>
      </c>
      <c r="F27">
        <v>1</v>
      </c>
      <c r="G27">
        <v>1</v>
      </c>
      <c r="H27">
        <v>1</v>
      </c>
      <c r="I27">
        <v>1</v>
      </c>
      <c r="J27">
        <v>1</v>
      </c>
    </row>
    <row r="28" spans="3:10">
      <c r="C28" t="str">
        <f>Weights!F28</f>
        <v>Business environment</v>
      </c>
      <c r="D28">
        <v>1</v>
      </c>
      <c r="E28">
        <v>1</v>
      </c>
      <c r="F28">
        <v>1</v>
      </c>
      <c r="G28">
        <v>1</v>
      </c>
      <c r="H28">
        <v>1</v>
      </c>
      <c r="I28">
        <v>1</v>
      </c>
      <c r="J28">
        <v>1</v>
      </c>
    </row>
    <row r="29" spans="3:10">
      <c r="C29" t="str">
        <f>Weights!F29</f>
        <v>Political will</v>
      </c>
      <c r="D29">
        <v>2</v>
      </c>
      <c r="E29">
        <v>1</v>
      </c>
      <c r="F29">
        <v>2</v>
      </c>
      <c r="G29">
        <v>1</v>
      </c>
      <c r="H29">
        <v>1</v>
      </c>
      <c r="I29">
        <v>1</v>
      </c>
      <c r="J29">
        <v>1</v>
      </c>
    </row>
    <row r="30" spans="3:10">
      <c r="C30" t="e">
        <f>Weights!#REF!</f>
        <v>#REF!</v>
      </c>
      <c r="D30">
        <v>1</v>
      </c>
      <c r="E30">
        <v>1</v>
      </c>
      <c r="G30">
        <v>1</v>
      </c>
      <c r="H30">
        <v>1</v>
      </c>
      <c r="I30">
        <v>1</v>
      </c>
      <c r="J30">
        <v>1</v>
      </c>
    </row>
    <row r="31" spans="3:10">
      <c r="C31" t="str">
        <f>Weights!F30</f>
        <v>Financial facilities</v>
      </c>
      <c r="F31">
        <v>1</v>
      </c>
    </row>
    <row r="32" spans="3:10">
      <c r="C32" t="str">
        <f>Weights!F31</f>
        <v>Government payment risk</v>
      </c>
      <c r="D32">
        <v>1</v>
      </c>
      <c r="E32">
        <v>1</v>
      </c>
      <c r="F32">
        <v>2</v>
      </c>
      <c r="G32">
        <v>1</v>
      </c>
      <c r="H32">
        <v>1</v>
      </c>
      <c r="I32">
        <v>1</v>
      </c>
      <c r="J32">
        <v>1</v>
      </c>
    </row>
    <row r="33" spans="3:10">
      <c r="C33" t="str">
        <f>Weights!F32</f>
        <v>Capital market: private infrastructure finance</v>
      </c>
      <c r="D33">
        <v>1</v>
      </c>
      <c r="E33">
        <v>1</v>
      </c>
      <c r="F33">
        <v>1</v>
      </c>
      <c r="G33">
        <v>1</v>
      </c>
      <c r="H33">
        <v>1</v>
      </c>
      <c r="I33">
        <v>1</v>
      </c>
      <c r="J33">
        <v>1</v>
      </c>
    </row>
    <row r="34" spans="3:10">
      <c r="C34" t="str">
        <f>Weights!F33</f>
        <v>Marketable debt</v>
      </c>
      <c r="D34">
        <v>0.5</v>
      </c>
      <c r="E34">
        <v>1</v>
      </c>
      <c r="F34">
        <v>0.5</v>
      </c>
      <c r="G34">
        <v>1</v>
      </c>
      <c r="H34">
        <v>1</v>
      </c>
      <c r="I34">
        <v>1</v>
      </c>
      <c r="J34">
        <v>1</v>
      </c>
    </row>
    <row r="35" spans="3:10">
      <c r="C35" t="str">
        <f>Weights!F34</f>
        <v>Government support and affordability for low income users</v>
      </c>
      <c r="D35">
        <v>0.5</v>
      </c>
      <c r="E35">
        <v>1</v>
      </c>
      <c r="G35">
        <v>1</v>
      </c>
      <c r="H35">
        <v>1</v>
      </c>
      <c r="I35">
        <v>1</v>
      </c>
      <c r="J35">
        <v>1</v>
      </c>
    </row>
    <row r="36" spans="3:10">
      <c r="C36" t="str">
        <f>Weights!F35</f>
        <v>Subnational adjustment</v>
      </c>
      <c r="F36">
        <v>1</v>
      </c>
    </row>
    <row r="37" spans="3:10">
      <c r="C37" t="str">
        <f>Weights!F36</f>
        <v>Subnational adjustment factor</v>
      </c>
      <c r="D37">
        <v>1</v>
      </c>
      <c r="E37">
        <v>1</v>
      </c>
      <c r="G37">
        <v>1</v>
      </c>
      <c r="H37">
        <v>1</v>
      </c>
      <c r="I37">
        <v>1</v>
      </c>
      <c r="J37">
        <v>1</v>
      </c>
    </row>
  </sheetData>
  <phoneticPr fontId="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Sheet2"/>
  <dimension ref="A1:EA36"/>
  <sheetViews>
    <sheetView zoomScale="90" zoomScaleNormal="90" workbookViewId="0">
      <selection activeCell="G25" sqref="G25"/>
    </sheetView>
  </sheetViews>
  <sheetFormatPr defaultRowHeight="15"/>
  <cols>
    <col min="2" max="2" width="17.28515625" bestFit="1" customWidth="1"/>
    <col min="22" max="22" width="11.7109375" customWidth="1"/>
    <col min="27" max="31" width="5.42578125" customWidth="1"/>
    <col min="32" max="32" width="10.140625" customWidth="1"/>
    <col min="33" max="33" width="9.85546875" customWidth="1"/>
    <col min="34" max="40" width="5.42578125" customWidth="1"/>
    <col min="41" max="44" width="3.140625" customWidth="1"/>
    <col min="45" max="45" width="7.42578125" customWidth="1"/>
    <col min="46" max="46" width="3.28515625" customWidth="1"/>
    <col min="47" max="47" width="8.42578125" customWidth="1"/>
    <col min="48" max="48" width="3.140625" customWidth="1"/>
    <col min="49" max="49" width="3.7109375" customWidth="1"/>
    <col min="50" max="76" width="3.140625" customWidth="1"/>
    <col min="77" max="77" width="6.28515625" customWidth="1"/>
    <col min="78" max="78" width="5.140625" customWidth="1"/>
    <col min="79" max="79" width="5.85546875" customWidth="1"/>
    <col min="80" max="80" width="4.28515625" customWidth="1"/>
    <col min="81" max="81" width="3.140625" customWidth="1"/>
    <col min="82" max="82" width="6.5703125" customWidth="1"/>
    <col min="83" max="85" width="3.140625" customWidth="1"/>
    <col min="86" max="86" width="5.140625" customWidth="1"/>
    <col min="87" max="114" width="3.140625" customWidth="1"/>
    <col min="118" max="132" width="4.5703125" customWidth="1"/>
  </cols>
  <sheetData>
    <row r="1" spans="1:131">
      <c r="A1" t="s">
        <v>541</v>
      </c>
      <c r="B1">
        <v>1</v>
      </c>
      <c r="AU1" s="8"/>
    </row>
    <row r="2" spans="1:131">
      <c r="A2" t="s">
        <v>546</v>
      </c>
      <c r="B2" s="42" t="s">
        <v>547</v>
      </c>
      <c r="AU2" s="8"/>
    </row>
    <row r="3" spans="1:131">
      <c r="A3" s="48" t="str">
        <f>uxbWorks!A5</f>
        <v>RANK_ABS_OR_YOY</v>
      </c>
      <c r="B3" s="48">
        <f>uxbWorks!B5</f>
        <v>1</v>
      </c>
      <c r="F3" t="s">
        <v>835</v>
      </c>
      <c r="G3" s="91" t="str">
        <f>uxbWorks!Q9</f>
        <v>0</v>
      </c>
      <c r="AU3" s="8"/>
    </row>
    <row r="4" spans="1:131">
      <c r="A4" t="s">
        <v>896</v>
      </c>
      <c r="B4">
        <f>IF(SUM(K10:K28)=0,1,B3)</f>
        <v>1</v>
      </c>
      <c r="F4" t="s">
        <v>573</v>
      </c>
      <c r="G4" s="48">
        <f>uxbWorks!E9</f>
        <v>2</v>
      </c>
      <c r="AU4" s="8"/>
    </row>
    <row r="5" spans="1:131">
      <c r="F5" t="s">
        <v>572</v>
      </c>
      <c r="G5" s="48">
        <f>uxbWorks!R9</f>
        <v>0</v>
      </c>
      <c r="AU5" s="8"/>
    </row>
    <row r="6" spans="1:131">
      <c r="F6" t="s">
        <v>658</v>
      </c>
      <c r="G6" s="48" t="str">
        <f>uxbWorks!C9</f>
        <v>LEGF01</v>
      </c>
      <c r="AA6" t="s">
        <v>658</v>
      </c>
      <c r="AB6" t="s">
        <v>981</v>
      </c>
      <c r="AP6" t="s">
        <v>658</v>
      </c>
      <c r="AQ6" t="s">
        <v>987</v>
      </c>
      <c r="BE6" t="s">
        <v>658</v>
      </c>
      <c r="BF6" s="8" t="s">
        <v>1009</v>
      </c>
      <c r="BT6" t="s">
        <v>658</v>
      </c>
      <c r="BU6" s="8" t="s">
        <v>1021</v>
      </c>
      <c r="CI6" t="s">
        <v>658</v>
      </c>
      <c r="CJ6" s="8" t="s">
        <v>794</v>
      </c>
      <c r="CX6" t="s">
        <v>658</v>
      </c>
      <c r="CY6" s="8" t="s">
        <v>807</v>
      </c>
      <c r="DN6" s="8" t="s">
        <v>1047</v>
      </c>
    </row>
    <row r="7" spans="1:131">
      <c r="F7" t="s">
        <v>659</v>
      </c>
      <c r="G7" s="48">
        <f>MATCH(G6,score2009_indi,0)</f>
        <v>3</v>
      </c>
      <c r="AA7" t="s">
        <v>659</v>
      </c>
      <c r="AB7">
        <f>MATCH(AB6,score2009_indi,0)</f>
        <v>1</v>
      </c>
      <c r="AK7" t="str">
        <f>INDEX(tblIndicators!$H$2:$H$28,AB7)</f>
        <v>OVERALL SCORE</v>
      </c>
      <c r="AP7" t="s">
        <v>659</v>
      </c>
      <c r="AQ7">
        <f>MATCH(AQ6,score2009_indi,0)</f>
        <v>2</v>
      </c>
      <c r="AZ7" t="str">
        <f>INDEX(tblIndicators!$H$2:$H$28,AQ7)</f>
        <v>Regulatory framework</v>
      </c>
      <c r="BE7" t="s">
        <v>659</v>
      </c>
      <c r="BF7">
        <f>MATCH(BF6,score2009_indi,0)</f>
        <v>7</v>
      </c>
      <c r="BO7" t="str">
        <f>INDEX(tblIndicators!$H$2:$H$28,BF7)</f>
        <v>Institutional framework</v>
      </c>
      <c r="BT7" t="s">
        <v>659</v>
      </c>
      <c r="BU7">
        <f>MATCH(BU6,score2009_indi,0)</f>
        <v>10</v>
      </c>
      <c r="CD7" t="str">
        <f>INDEX(tblIndicators!$H$2:$H$28,BU7)</f>
        <v>Operational maturity</v>
      </c>
      <c r="CI7" t="s">
        <v>659</v>
      </c>
      <c r="CJ7">
        <f>MATCH(CJ6,score2009_indi,0)</f>
        <v>16</v>
      </c>
      <c r="CS7" t="str">
        <f>INDEX(tblIndicators!$H$2:$H$28,CJ7)</f>
        <v>Investment climate</v>
      </c>
      <c r="CX7" t="s">
        <v>659</v>
      </c>
      <c r="CY7">
        <f>MATCH(CY6,score2009_indi,0)</f>
        <v>20</v>
      </c>
      <c r="DH7" t="str">
        <f>INDEX(tblIndicators!$H$2:$H$28,CY7)</f>
        <v>Financial facilities</v>
      </c>
      <c r="DN7">
        <f>MATCH(DN6,score2009_indi,0)</f>
        <v>25</v>
      </c>
      <c r="DW7" t="str">
        <f>INDEX(tblIndicators!$H$2:$H$28,DN7)</f>
        <v>Subnational adjustment</v>
      </c>
    </row>
    <row r="9" spans="1:131" s="44" customFormat="1">
      <c r="A9" s="44" t="s">
        <v>655</v>
      </c>
      <c r="B9" s="44" t="s">
        <v>901</v>
      </c>
      <c r="C9" s="44" t="s">
        <v>656</v>
      </c>
      <c r="D9" s="44" t="s">
        <v>657</v>
      </c>
      <c r="G9" s="44" t="s">
        <v>660</v>
      </c>
      <c r="H9" s="44" t="s">
        <v>661</v>
      </c>
      <c r="I9" s="44" t="s">
        <v>662</v>
      </c>
      <c r="J9" s="44" t="s">
        <v>663</v>
      </c>
      <c r="K9" s="44" t="s">
        <v>537</v>
      </c>
      <c r="N9" s="44" t="s">
        <v>538</v>
      </c>
      <c r="O9" s="44" t="s">
        <v>539</v>
      </c>
      <c r="P9" s="44" t="s">
        <v>540</v>
      </c>
      <c r="Q9" s="44" t="s">
        <v>542</v>
      </c>
      <c r="R9" s="44" t="s">
        <v>543</v>
      </c>
      <c r="S9" s="44" t="s">
        <v>544</v>
      </c>
      <c r="T9" s="44" t="s">
        <v>901</v>
      </c>
      <c r="U9" s="44" t="s">
        <v>551</v>
      </c>
      <c r="V9" s="44" t="s">
        <v>548</v>
      </c>
      <c r="W9" s="44" t="s">
        <v>545</v>
      </c>
      <c r="X9" s="44" t="s">
        <v>1054</v>
      </c>
      <c r="AB9" s="44" t="s">
        <v>660</v>
      </c>
      <c r="AC9" s="44" t="s">
        <v>662</v>
      </c>
      <c r="AD9" s="44" t="s">
        <v>537</v>
      </c>
      <c r="AF9" s="44" t="s">
        <v>538</v>
      </c>
      <c r="AG9" s="44" t="s">
        <v>539</v>
      </c>
      <c r="AH9" s="44" t="s">
        <v>540</v>
      </c>
      <c r="AI9" s="44" t="s">
        <v>542</v>
      </c>
      <c r="AJ9" s="44" t="s">
        <v>543</v>
      </c>
      <c r="AK9" s="44" t="s">
        <v>544</v>
      </c>
      <c r="AL9" s="44" t="s">
        <v>901</v>
      </c>
      <c r="AM9" s="44" t="s">
        <v>548</v>
      </c>
      <c r="AN9" s="44" t="s">
        <v>545</v>
      </c>
      <c r="AO9" s="44" t="s">
        <v>539</v>
      </c>
      <c r="AQ9" s="44" t="s">
        <v>660</v>
      </c>
      <c r="AR9" s="44" t="s">
        <v>662</v>
      </c>
      <c r="AS9" s="44" t="s">
        <v>537</v>
      </c>
      <c r="AU9" s="44" t="s">
        <v>538</v>
      </c>
      <c r="AV9" s="44" t="s">
        <v>539</v>
      </c>
      <c r="AW9" s="44" t="s">
        <v>540</v>
      </c>
      <c r="AX9" s="44" t="s">
        <v>542</v>
      </c>
      <c r="AY9" s="44" t="s">
        <v>543</v>
      </c>
      <c r="AZ9" s="44" t="s">
        <v>544</v>
      </c>
      <c r="BA9" s="44" t="s">
        <v>901</v>
      </c>
      <c r="BB9" s="44" t="s">
        <v>548</v>
      </c>
      <c r="BC9" s="44" t="s">
        <v>545</v>
      </c>
      <c r="BD9" s="44" t="s">
        <v>539</v>
      </c>
      <c r="BF9" s="44" t="s">
        <v>660</v>
      </c>
      <c r="BG9" s="44" t="s">
        <v>662</v>
      </c>
      <c r="BH9" s="44" t="s">
        <v>537</v>
      </c>
      <c r="BJ9" s="44" t="s">
        <v>538</v>
      </c>
      <c r="BK9" s="44" t="s">
        <v>539</v>
      </c>
      <c r="BL9" s="44" t="s">
        <v>540</v>
      </c>
      <c r="BM9" s="44" t="s">
        <v>542</v>
      </c>
      <c r="BN9" s="44" t="s">
        <v>543</v>
      </c>
      <c r="BO9" s="44" t="s">
        <v>544</v>
      </c>
      <c r="BP9" s="44" t="s">
        <v>901</v>
      </c>
      <c r="BQ9" s="44" t="s">
        <v>548</v>
      </c>
      <c r="BR9" s="44" t="s">
        <v>545</v>
      </c>
      <c r="BS9" s="44" t="s">
        <v>539</v>
      </c>
      <c r="BU9" s="44" t="s">
        <v>660</v>
      </c>
      <c r="BV9" s="44" t="s">
        <v>662</v>
      </c>
      <c r="BW9" s="44" t="s">
        <v>537</v>
      </c>
      <c r="BY9" s="44" t="s">
        <v>538</v>
      </c>
      <c r="BZ9" s="44" t="s">
        <v>539</v>
      </c>
      <c r="CA9" s="44" t="s">
        <v>540</v>
      </c>
      <c r="CB9" s="44" t="s">
        <v>542</v>
      </c>
      <c r="CC9" s="44" t="s">
        <v>543</v>
      </c>
      <c r="CD9" s="44" t="s">
        <v>544</v>
      </c>
      <c r="CE9" s="44" t="s">
        <v>901</v>
      </c>
      <c r="CF9" s="44" t="s">
        <v>548</v>
      </c>
      <c r="CG9" s="44" t="s">
        <v>545</v>
      </c>
      <c r="CH9" s="44" t="s">
        <v>539</v>
      </c>
      <c r="CJ9" s="44" t="s">
        <v>660</v>
      </c>
      <c r="CK9" s="44" t="s">
        <v>662</v>
      </c>
      <c r="CL9" s="44" t="s">
        <v>537</v>
      </c>
      <c r="CN9" s="44" t="s">
        <v>538</v>
      </c>
      <c r="CO9" s="44" t="s">
        <v>539</v>
      </c>
      <c r="CP9" s="44" t="s">
        <v>540</v>
      </c>
      <c r="CQ9" s="44" t="s">
        <v>542</v>
      </c>
      <c r="CR9" s="44" t="s">
        <v>543</v>
      </c>
      <c r="CS9" s="44" t="s">
        <v>544</v>
      </c>
      <c r="CT9" s="44" t="s">
        <v>901</v>
      </c>
      <c r="CU9" s="44" t="s">
        <v>548</v>
      </c>
      <c r="CV9" s="44" t="s">
        <v>545</v>
      </c>
      <c r="CW9" s="44" t="s">
        <v>539</v>
      </c>
      <c r="CY9" s="44" t="s">
        <v>660</v>
      </c>
      <c r="CZ9" s="44" t="s">
        <v>662</v>
      </c>
      <c r="DA9" s="44" t="s">
        <v>537</v>
      </c>
      <c r="DC9" s="44" t="s">
        <v>538</v>
      </c>
      <c r="DD9" s="44" t="s">
        <v>539</v>
      </c>
      <c r="DE9" s="44" t="s">
        <v>540</v>
      </c>
      <c r="DF9" s="44" t="s">
        <v>542</v>
      </c>
      <c r="DG9" s="44" t="s">
        <v>543</v>
      </c>
      <c r="DH9" s="44" t="s">
        <v>544</v>
      </c>
      <c r="DI9" s="44" t="s">
        <v>901</v>
      </c>
      <c r="DJ9" s="44" t="s">
        <v>548</v>
      </c>
      <c r="DK9" s="44" t="s">
        <v>545</v>
      </c>
      <c r="DL9" s="44" t="s">
        <v>539</v>
      </c>
      <c r="DN9" s="44" t="s">
        <v>660</v>
      </c>
      <c r="DO9" s="44" t="s">
        <v>662</v>
      </c>
      <c r="DP9" s="44" t="s">
        <v>537</v>
      </c>
      <c r="DR9" s="44" t="s">
        <v>538</v>
      </c>
      <c r="DS9" s="44" t="s">
        <v>539</v>
      </c>
      <c r="DT9" s="44" t="s">
        <v>540</v>
      </c>
      <c r="DU9" s="44" t="s">
        <v>542</v>
      </c>
      <c r="DV9" s="44" t="s">
        <v>543</v>
      </c>
      <c r="DW9" s="44" t="s">
        <v>544</v>
      </c>
      <c r="DX9" s="44" t="s">
        <v>901</v>
      </c>
      <c r="DY9" s="44" t="s">
        <v>548</v>
      </c>
      <c r="DZ9" s="44" t="s">
        <v>545</v>
      </c>
      <c r="EA9" s="44" t="s">
        <v>539</v>
      </c>
    </row>
    <row r="10" spans="1:131">
      <c r="A10">
        <v>1</v>
      </c>
      <c r="B10" t="str">
        <f>tblCountries!E6</f>
        <v>Argentina</v>
      </c>
      <c r="C10">
        <f>tblCountries!A6</f>
        <v>1</v>
      </c>
      <c r="D10">
        <f ca="1">tblCountries!F6</f>
        <v>1</v>
      </c>
      <c r="G10" s="38">
        <f t="shared" ref="G10:G28" ca="1" si="0">IF($D10=0,"",ROUND(INDEX(scores_2009,G$7,$C10),1))</f>
        <v>50</v>
      </c>
      <c r="H10" s="47">
        <f t="shared" ref="H10:H27" ca="1" si="1">IF($D10=0,"",IF($G$4&lt;2,"-",ROUND(INDEX(data_2009,G$7,$C10),$G$5)))</f>
        <v>2</v>
      </c>
      <c r="I10" s="38">
        <f t="shared" ref="I10:I27" ca="1" si="2">IF($D10=0,"",ROUND(INDEX(scores_2008,G$7,$C10),1))</f>
        <v>50</v>
      </c>
      <c r="J10" s="38">
        <f t="shared" ref="J10:J27" ca="1" si="3">IF($D10=0,"",IF($G$4&lt;2,"-",ROUND(INDEX(data_2008,G$7,$C10),$G$5)))</f>
        <v>2</v>
      </c>
      <c r="K10" s="47">
        <f t="shared" ref="K10:K27" si="4">IF(ISNUMBER(INDEX(yoy,G$7,$C10)),INDEX(yoy,G$7,$C10),0)</f>
        <v>0</v>
      </c>
      <c r="L10" s="47" t="str">
        <f>IF(OR(K10=0,K10="-"),"-",IF(K10&gt;0,CONCATENATE("+",TEXT(K10,"0.0")),TEXT(K10,"0.0")))</f>
        <v>-</v>
      </c>
      <c r="M10" s="47">
        <f>IF(K10=0,0,IF(K10&gt;0,1,-1))</f>
        <v>0</v>
      </c>
      <c r="N10" s="38">
        <f ca="1">IF($B$4=1,G10,K10)</f>
        <v>50</v>
      </c>
      <c r="O10">
        <f ca="1">RANK(N10,N$10:N$28)+COUNTIF(N$10:N10,N10)-1</f>
        <v>5</v>
      </c>
      <c r="P10">
        <f t="shared" ref="P10:P28" ca="1" si="5">MATCH($A10,O$10:O$28,0)</f>
        <v>3</v>
      </c>
      <c r="Q10" s="40">
        <v>1</v>
      </c>
      <c r="R10" s="21">
        <f t="shared" ref="R10:R28" ca="1" si="6">IF(ISERROR($P10),0,INDEX($D$10:$D$28,$P10))</f>
        <v>1</v>
      </c>
      <c r="S10" s="41">
        <f ca="1">IF(R10=0,"",IF(OR(Q10=Q9,Q10=Q11),CONCATENATE($B$2,Q10),Q10))</f>
        <v>1</v>
      </c>
      <c r="T10" s="21" t="str">
        <f t="shared" ref="T10:T28" ca="1" si="7">IF(ISERROR($P10),0,INDEX($B$10:$B$28,$P10))</f>
        <v xml:space="preserve">Chile </v>
      </c>
      <c r="U10" s="41" t="str">
        <f t="shared" ref="U10:U28" ca="1" si="8">IF(ISERROR($P10),0,TEXT(INDEX($H$10:$H$28,$P10),$G$3))</f>
        <v>4</v>
      </c>
      <c r="V10" s="43">
        <f t="shared" ref="V10:V28" ca="1" si="9">IF($G$4=3,"",IF(ISERROR($P10),0,INDEX($G$10:$G$28,$P10)))</f>
        <v>100</v>
      </c>
      <c r="W10" s="43" t="str">
        <f t="shared" ref="W10:W28" ca="1" si="10">IF(ISERROR($P10),0,INDEX($L$10:$L$28,$P10))</f>
        <v>+25.0</v>
      </c>
      <c r="X10" t="str">
        <f ca="1">IF($G$6="INVT03","",W10)</f>
        <v>+25.0</v>
      </c>
      <c r="Y10">
        <f t="shared" ref="Y10:Y28" ca="1" si="11">IF(ISERROR($P10),0,INDEX($G$10:$G$28,$P10))</f>
        <v>100</v>
      </c>
      <c r="Z10">
        <f t="shared" ref="Z10:Z28" ca="1" si="12">IF(ISERROR($P10),0,INDEX($M$10:$M$28,$P10))</f>
        <v>1</v>
      </c>
      <c r="AB10" s="38">
        <f t="shared" ref="AB10:AB28" ca="1" si="13">IF($D10=0,"",ROUND(INDEX(scores_2009,AB$7,$C10),1))</f>
        <v>27.5</v>
      </c>
      <c r="AC10" s="38">
        <f t="shared" ref="AC10:AC27" ca="1" si="14">IF($D10=0,"",ROUND(INDEX(scores_2008,AB$7,$C10),1))</f>
        <v>21.9</v>
      </c>
      <c r="AD10" s="38">
        <f t="shared" ref="AD10:AD27" si="15">IF(ISNUMBER(INDEX(yoy,AB$7,$C10)),INDEX(yoy,AB$7,$C10),0)</f>
        <v>0.9</v>
      </c>
      <c r="AE10" s="47" t="str">
        <f>IF(OR(AD10=0,AD10="-"),"-",IF(AD10&gt;0,CONCATENATE("+",TEXT(AD10,"0.0")),CONCATENATE("-",ABS(TEXT(AD10,"0.0")))))</f>
        <v>+0.9</v>
      </c>
      <c r="AF10" s="38">
        <f ca="1">ROUND(AB10,3)</f>
        <v>27.5</v>
      </c>
      <c r="AG10">
        <f ca="1">RANK(AF10,AF$10:AF$28)+COUNTIF(AF$10:AF10,AF10)-1</f>
        <v>12</v>
      </c>
      <c r="AH10">
        <f t="shared" ref="AH10:AH28" ca="1" si="16">MATCH($A10,AG$10:AG$28,0)</f>
        <v>3</v>
      </c>
      <c r="AI10" s="40">
        <v>1</v>
      </c>
      <c r="AJ10" s="21">
        <f t="shared" ref="AJ10:AJ28" ca="1" si="17">IF(ISERROR(AH10),0,INDEX($D$10:$D$28,AH10))</f>
        <v>1</v>
      </c>
      <c r="AK10" s="41">
        <f ca="1">IF(AJ10=0,"",IF(OR(AI10=AI9,AI10=AI11),CONCATENATE($B$2,AI10),AI10))</f>
        <v>1</v>
      </c>
      <c r="AL10" s="21" t="str">
        <f t="shared" ref="AL10:AL28" ca="1" si="18">IF(ISERROR(AH10),0,INDEX($B$10:$B$28,AH10))</f>
        <v xml:space="preserve">Chile </v>
      </c>
      <c r="AM10" s="43">
        <f t="shared" ref="AM10:AM28" ca="1" si="19">IF(ISERROR(AH10),0,INDEX(AB$10:AB$28,AH10))</f>
        <v>79.3</v>
      </c>
      <c r="AN10" s="43" t="str">
        <f t="shared" ref="AN10:AN28" ca="1" si="20">IF(ISERROR(AH10),0,INDEX(AE$10:AE$28,AH10))</f>
        <v>+11.9</v>
      </c>
      <c r="AO10" s="38">
        <f t="shared" ref="AO10:AO28" ca="1" si="21">IF(ISERROR(AH10),0,INDEX(AF$10:AF$28,AH10))</f>
        <v>79.3</v>
      </c>
      <c r="AQ10" s="38">
        <f t="shared" ref="AQ10:AQ28" ca="1" si="22">IF($D10=0,"",ROUND(INDEX(scores_2009,AQ$7,$C10),1))</f>
        <v>21.9</v>
      </c>
      <c r="AR10" s="38">
        <f t="shared" ref="AR10:AR27" ca="1" si="23">IF($D10=0,"",ROUND(INDEX(scores_2008,AQ$7,$C10),1))</f>
        <v>27.8</v>
      </c>
      <c r="AS10" s="38">
        <f t="shared" ref="AS10:AS27" si="24">IF(ISNUMBER(INDEX(yoy,AQ$7,$C10)),INDEX(yoy,AQ$7,$C10),0)</f>
        <v>-6.3</v>
      </c>
      <c r="AT10" s="47" t="str">
        <f>IF(OR(AS10=0,AS10="-"),"-",IF(AS10&gt;0,CONCATENATE("+",TEXT(AS10,"0.0")),CONCATENATE("-",ABS(TEXT(AS10,"0.0")))))</f>
        <v>-6.3</v>
      </c>
      <c r="AU10" s="38">
        <f ca="1">ROUND(AQ10,3)</f>
        <v>21.9</v>
      </c>
      <c r="AV10">
        <f ca="1">RANK(AU10,AU$10:AU$28)+COUNTIF(AU$10:AU10,AU10)-1</f>
        <v>14</v>
      </c>
      <c r="AW10">
        <f t="shared" ref="AW10:AW28" ca="1" si="25">MATCH($A10,AV$10:AV$28,0)</f>
        <v>3</v>
      </c>
      <c r="AX10" s="40">
        <v>1</v>
      </c>
      <c r="AY10" s="21">
        <f t="shared" ref="AY10:AY28" ca="1" si="26">IF(ISERROR(AW10),0,INDEX($D$10:$D$28,AW10))</f>
        <v>1</v>
      </c>
      <c r="AZ10" s="41">
        <f ca="1">IF(AY10=0,"",IF(OR(AX10=AX9,AX10=AX11),CONCATENATE($B$2,AX10),AX10))</f>
        <v>1</v>
      </c>
      <c r="BA10" s="21" t="str">
        <f t="shared" ref="BA10:BA28" ca="1" si="27">IF(ISERROR(AW10),0,INDEX($B$10:$B$28,AW10))</f>
        <v xml:space="preserve">Chile </v>
      </c>
      <c r="BB10" s="43">
        <f t="shared" ref="BB10:BB28" ca="1" si="28">IF(ISERROR(AW10),0,INDEX(AQ$10:AQ$28,AW10))</f>
        <v>84.4</v>
      </c>
      <c r="BC10" s="43" t="str">
        <f t="shared" ref="BC10:BC28" ca="1" si="29">IF(ISERROR(AW10),0,INDEX(AT$10:AT$28,AW10))</f>
        <v>+21.9</v>
      </c>
      <c r="BD10" s="38">
        <f t="shared" ref="BD10:BD28" ca="1" si="30">IF(ISERROR(AW10),0,INDEX(AU$10:AU$28,AW10))</f>
        <v>84.4</v>
      </c>
      <c r="BF10" s="38">
        <f t="shared" ref="BF10:BF28" ca="1" si="31">IF($D10=0,"",ROUND(INDEX(scores_2009,BF$7,$C10),1))</f>
        <v>33.299999999999997</v>
      </c>
      <c r="BG10" s="38">
        <f t="shared" ref="BG10:BG27" ca="1" si="32">IF($D10=0,"",ROUND(INDEX(scores_2008,BF$7,$C10),1))</f>
        <v>12.5</v>
      </c>
      <c r="BH10" s="38">
        <f t="shared" ref="BH10:BH27" si="33">IF(ISNUMBER(INDEX(yoy,BF$7,$C10)),INDEX(yoy,BF$7,$C10),0)</f>
        <v>16.7</v>
      </c>
      <c r="BI10" s="47" t="str">
        <f>IF(OR(BH10=0,BH10="-"),"-",IF(BH10&gt;0,CONCATENATE("+",TEXT(BH10,"0.0")),CONCATENATE("-",ABS(TEXT(BH10,"0.0")))))</f>
        <v>+16.7</v>
      </c>
      <c r="BJ10" s="38">
        <f ca="1">ROUND(BF10,3)</f>
        <v>33.299999999999997</v>
      </c>
      <c r="BK10">
        <f ca="1">RANK(BJ10,BJ$10:BJ$28)+COUNTIF(BJ$10:BJ10,BJ10)-1</f>
        <v>7</v>
      </c>
      <c r="BL10">
        <f t="shared" ref="BL10:BL28" ca="1" si="34">MATCH($A10,BK$10:BK$28,0)</f>
        <v>2</v>
      </c>
      <c r="BM10" s="40">
        <v>1</v>
      </c>
      <c r="BN10" s="21">
        <f t="shared" ref="BN10:BN28" ca="1" si="35">IF(ISERROR(BL10),0,INDEX($D$10:$D$28,BL10))</f>
        <v>1</v>
      </c>
      <c r="BO10" s="41" t="str">
        <f ca="1">IF(BN10=0,"",IF(OR(BM10=BM9,BM10=BM11),CONCATENATE($B$2,BM10),BM10))</f>
        <v>=1</v>
      </c>
      <c r="BP10" s="21" t="str">
        <f t="shared" ref="BP10:BP28" ca="1" si="36">IF(ISERROR(BL10),0,INDEX($B$10:$B$28,BL10))</f>
        <v>Brazil</v>
      </c>
      <c r="BQ10" s="43">
        <f t="shared" ref="BQ10:BQ28" ca="1" si="37">IF(ISERROR(BL10),0,INDEX(BF$10:BF$28,BL10))</f>
        <v>75</v>
      </c>
      <c r="BR10" s="43" t="str">
        <f t="shared" ref="BR10:BR28" ca="1" si="38">IF(ISERROR(BL10),0,INDEX(BI$10:BI$28,BL10))</f>
        <v>+8.3</v>
      </c>
      <c r="BS10" s="38">
        <f t="shared" ref="BS10:BS28" ca="1" si="39">IF(ISERROR(BL10),0,INDEX(BJ$10:BJ$28,BL10))</f>
        <v>75</v>
      </c>
      <c r="BU10" s="38">
        <f t="shared" ref="BU10:BU28" ca="1" si="40">IF($D10=0,"",ROUND(INDEX(scores_2009,BU$7,$C10),1))</f>
        <v>16.7</v>
      </c>
      <c r="BV10" s="38">
        <f t="shared" ref="BV10:BV27" ca="1" si="41">IF($D10=0,"",ROUND(INDEX(scores_2008,BU$7,$C10),1))</f>
        <v>16.8</v>
      </c>
      <c r="BW10" s="38">
        <f t="shared" ref="BW10:BW27" si="42">IF(ISNUMBER(INDEX(yoy,BU$7,$C10)),INDEX(yoy,BU$7,$C10),0)</f>
        <v>-5.4</v>
      </c>
      <c r="BX10" s="47" t="str">
        <f>IF(OR(BW10=0,BW10="-"),"-",IF(BW10&gt;0,CONCATENATE("+",TEXT(BW10,"0.0")),CONCATENATE("-",ABS(TEXT(BW10,"0.0")))))</f>
        <v>-5.4</v>
      </c>
      <c r="BY10" s="38">
        <f ca="1">ROUND(BU10,3)</f>
        <v>16.7</v>
      </c>
      <c r="BZ10">
        <f ca="1">RANK(BY10,BY$10:BY$28)+COUNTIF(BY$10:BY10,BY10)-1</f>
        <v>13</v>
      </c>
      <c r="CA10">
        <f t="shared" ref="CA10:CA28" ca="1" si="43">MATCH($A10,BZ$10:BZ$28,0)</f>
        <v>2</v>
      </c>
      <c r="CB10" s="40">
        <v>1</v>
      </c>
      <c r="CC10" s="21">
        <f t="shared" ref="CC10:CC28" ca="1" si="44">IF(ISERROR(CA10),0,INDEX($D$10:$D$28,CA10))</f>
        <v>1</v>
      </c>
      <c r="CD10" s="41">
        <f ca="1">IF(CC10=0,"",IF(OR(CB10=CB9,CB10=CB11),CONCATENATE($B$2,CB10),CB10))</f>
        <v>1</v>
      </c>
      <c r="CE10" s="21" t="str">
        <f t="shared" ref="CE10:CE28" ca="1" si="45">IF(ISERROR(CA10),0,INDEX($B$10:$B$28,CA10))</f>
        <v>Brazil</v>
      </c>
      <c r="CF10" s="43">
        <f t="shared" ref="CF10:CF28" ca="1" si="46">IF(ISERROR(CA10),0,INDEX(BU$10:BU$28,CA10))</f>
        <v>87.5</v>
      </c>
      <c r="CG10" s="43" t="str">
        <f t="shared" ref="CG10:CG28" ca="1" si="47">IF(ISERROR(CA10),0,INDEX(BX$10:BX$28,CA10))</f>
        <v>+18.8</v>
      </c>
      <c r="CH10" s="38">
        <f t="shared" ref="CH10:CH28" ca="1" si="48">IF(ISERROR(CA10),0,INDEX(BY$10:BY$28,CA10))</f>
        <v>87.5</v>
      </c>
      <c r="CJ10" s="38">
        <f t="shared" ref="CJ10:CJ28" ca="1" si="49">IF($D10=0,"",ROUND(INDEX(scores_2009,CJ$7,$C10),1))</f>
        <v>19</v>
      </c>
      <c r="CK10" s="38">
        <f t="shared" ref="CK10:CK27" ca="1" si="50">IF($D10=0,"",ROUND(INDEX(scores_2008,CJ$7,$C10),1))</f>
        <v>51.6</v>
      </c>
      <c r="CL10" s="38">
        <f t="shared" ref="CL10:CL27" si="51">IF(ISNUMBER(INDEX(yoy,CJ$7,$C10)),INDEX(yoy,CJ$7,$C10),0)</f>
        <v>-6.3</v>
      </c>
      <c r="CM10" s="47" t="str">
        <f>IF(OR(CL10=0,CL10="-"),"-",IF(CL10&gt;0,CONCATENATE("+",TEXT(CL10,"0.0")),CONCATENATE("-",ABS(TEXT(CL10,"0.0")))))</f>
        <v>-6.3</v>
      </c>
      <c r="CN10" s="38">
        <f ca="1">ROUND(CJ10,3)</f>
        <v>19</v>
      </c>
      <c r="CO10">
        <f ca="1">RANK(CN10,CN$10:CN$28)+COUNTIF(CN$10:CN10,CN10)-1</f>
        <v>16</v>
      </c>
      <c r="CP10">
        <f t="shared" ref="CP10:CP28" ca="1" si="52">MATCH($A10,CO$10:CO$28,0)</f>
        <v>3</v>
      </c>
      <c r="CQ10" s="40">
        <v>1</v>
      </c>
      <c r="CR10" s="21">
        <f t="shared" ref="CR10:CR28" ca="1" si="53">IF(ISERROR(CP10),0,INDEX($D$10:$D$28,CP10))</f>
        <v>1</v>
      </c>
      <c r="CS10" s="41">
        <f ca="1">IF(CR10=0,"",IF(OR(CQ10=CQ9,CQ10=CQ11),CONCATENATE($B$2,CQ10),CQ10))</f>
        <v>1</v>
      </c>
      <c r="CT10" s="21" t="str">
        <f t="shared" ref="CT10:CT28" ca="1" si="54">IF(ISERROR(CP10),0,INDEX($B$10:$B$28,CP10))</f>
        <v xml:space="preserve">Chile </v>
      </c>
      <c r="CU10" s="43">
        <f t="shared" ref="CU10:CU28" ca="1" si="55">IF(ISERROR(CP10),0,INDEX(CJ$10:CJ$28,CP10))</f>
        <v>85.4</v>
      </c>
      <c r="CV10" s="43" t="str">
        <f t="shared" ref="CV10:CV28" ca="1" si="56">IF(ISERROR(CP10),0,INDEX(CM$10:CM$28,CP10))</f>
        <v>-0.5</v>
      </c>
      <c r="CW10" s="38">
        <f t="shared" ref="CW10:CW28" ca="1" si="57">IF(ISERROR(CP10),0,INDEX(CN$10:CN$28,CP10))</f>
        <v>85.4</v>
      </c>
      <c r="CY10" s="38">
        <f t="shared" ref="CY10:CY28" ca="1" si="58">IF($D10=0,"",ROUND(INDEX(scores_2009,CY$7,$C10),1))</f>
        <v>33.299999999999997</v>
      </c>
      <c r="CZ10" s="38">
        <f t="shared" ref="CZ10:CZ27" ca="1" si="59">IF($D10=0,"",ROUND(INDEX(scores_2008,CY$7,$C10),1))</f>
        <v>20.8</v>
      </c>
      <c r="DA10" s="38">
        <f t="shared" ref="DA10:DA27" si="60">IF(ISNUMBER(INDEX(yoy,CY$7,$C10)),INDEX(yoy,CY$7,$C10),0)</f>
        <v>5.6</v>
      </c>
      <c r="DB10" s="47" t="str">
        <f>IF(OR(DA10=0,DA10="-"),"-",IF(DA10&gt;0,CONCATENATE("+",TEXT(DA10,"0.0")),CONCATENATE("-",ABS(TEXT(DA10,"0.0")))))</f>
        <v>+5.6</v>
      </c>
      <c r="DC10" s="38">
        <f ca="1">ROUND(CY10,3)</f>
        <v>33.299999999999997</v>
      </c>
      <c r="DD10">
        <f ca="1">RANK(DC10,DC$10:DC$28)+COUNTIF(DC$10:DC10,DC10)-1</f>
        <v>10</v>
      </c>
      <c r="DE10">
        <f t="shared" ref="DE10:DE28" ca="1" si="61">MATCH($A10,DD$10:DD$28,0)</f>
        <v>3</v>
      </c>
      <c r="DF10" s="40">
        <v>1</v>
      </c>
      <c r="DG10" s="21">
        <f t="shared" ref="DG10:DG28" ca="1" si="62">IF(ISERROR(DE10),0,INDEX($D$10:$D$28,DE10))</f>
        <v>1</v>
      </c>
      <c r="DH10" s="41">
        <f ca="1">IF(DG10=0,"",IF(OR(DF10=DF9,DF10=DF11),CONCATENATE($B$2,DF10),DF10))</f>
        <v>1</v>
      </c>
      <c r="DI10" s="21" t="str">
        <f t="shared" ref="DI10:DI28" ca="1" si="63">IF(ISERROR(DE10),0,INDEX($B$10:$B$28,DE10))</f>
        <v xml:space="preserve">Chile </v>
      </c>
      <c r="DJ10" s="43">
        <f t="shared" ref="DJ10:DJ28" ca="1" si="64">IF(ISERROR(DE10),0,INDEX(CY$10:CY$28,DE10))</f>
        <v>97.2</v>
      </c>
      <c r="DK10" s="43" t="str">
        <f t="shared" ref="DK10:DK28" ca="1" si="65">IF(ISERROR(DE10),0,INDEX(DB$10:DB$28,DE10))</f>
        <v>-</v>
      </c>
      <c r="DL10" s="38">
        <f t="shared" ref="DL10:DL28" ca="1" si="66">IF(ISERROR(DE10),0,INDEX(DC$10:DC$28,DE10))</f>
        <v>97.2</v>
      </c>
      <c r="DN10" s="38">
        <f t="shared" ref="DN10:DN28" ca="1" si="67">IF($D10=0,"",ROUND(INDEX(scores_2009,DN$7,$C10),1))</f>
        <v>50</v>
      </c>
      <c r="DO10" s="38" t="e">
        <f t="shared" ref="DO10:DO27" ca="1" si="68">IF($D10=0,"",ROUND(INDEX(scores_2008,DN$7,$C10),1))</f>
        <v>#REF!</v>
      </c>
      <c r="DP10" s="38">
        <f t="shared" ref="DP10:DP27" si="69">IF(ISNUMBER(INDEX(yoy,DN$7,$C10)),INDEX(yoy,DN$7,$C10),0)</f>
        <v>0</v>
      </c>
      <c r="DQ10" s="47" t="str">
        <f>IF(OR(DP10=0,DP10="-"),"-",IF(DP10&gt;0,CONCATENATE("+",TEXT(DP10,"0.0")),CONCATENATE("-",ABS(TEXT(DP10,"0.0")))))</f>
        <v>-</v>
      </c>
      <c r="DR10" s="38">
        <f ca="1">ROUND(DN10,3)</f>
        <v>50</v>
      </c>
      <c r="DS10">
        <f ca="1">RANK(DR10,DR$10:DR$28)+COUNTIF(DR$10:DR10,DR10)-1</f>
        <v>2</v>
      </c>
      <c r="DT10">
        <f t="shared" ref="DT10:DT28" ca="1" si="70">MATCH($A10,DS$10:DS$28,0)</f>
        <v>2</v>
      </c>
      <c r="DU10" s="40">
        <v>1</v>
      </c>
      <c r="DV10" s="21">
        <f t="shared" ref="DV10:DV28" ca="1" si="71">IF(ISERROR(DT10),0,INDEX($D$10:$D$28,DT10))</f>
        <v>1</v>
      </c>
      <c r="DW10" s="41">
        <f ca="1">IF(DV10=0,"",IF(OR(DU10=DU9,DU10=DU11),CONCATENATE($B$2,DU10),DU10))</f>
        <v>1</v>
      </c>
      <c r="DX10" s="21" t="str">
        <f t="shared" ref="DX10:DX28" ca="1" si="72">IF(ISERROR(DT10),0,INDEX($B$10:$B$28,DT10))</f>
        <v>Brazil</v>
      </c>
      <c r="DY10" s="43">
        <f t="shared" ref="DY10:DY28" ca="1" si="73">IF(ISERROR(DT10),0,INDEX(DN$10:DN$28,DT10))</f>
        <v>75</v>
      </c>
      <c r="DZ10" s="43" t="str">
        <f t="shared" ref="DZ10:DZ28" ca="1" si="74">IF(ISERROR(DT10),0,INDEX(DQ$10:DQ$28,DT10))</f>
        <v>-</v>
      </c>
      <c r="EA10" s="38">
        <f t="shared" ref="EA10:EA28" ca="1" si="75">IF(ISERROR(DT10),0,INDEX(DR$10:DR$28,DT10))</f>
        <v>75</v>
      </c>
    </row>
    <row r="11" spans="1:131">
      <c r="A11">
        <v>2</v>
      </c>
      <c r="B11" t="str">
        <f>tblCountries!E7</f>
        <v>Brazil</v>
      </c>
      <c r="C11">
        <f>tblCountries!A7</f>
        <v>2</v>
      </c>
      <c r="D11">
        <f ca="1">tblCountries!F7</f>
        <v>1</v>
      </c>
      <c r="G11" s="38">
        <f t="shared" ca="1" si="0"/>
        <v>75</v>
      </c>
      <c r="H11" s="47">
        <f t="shared" ca="1" si="1"/>
        <v>3</v>
      </c>
      <c r="I11" s="38">
        <f t="shared" ca="1" si="2"/>
        <v>50</v>
      </c>
      <c r="J11" s="38">
        <f t="shared" ca="1" si="3"/>
        <v>2</v>
      </c>
      <c r="K11" s="47">
        <f t="shared" si="4"/>
        <v>25</v>
      </c>
      <c r="L11" s="47" t="str">
        <f t="shared" ref="L11:L27" si="76">IF(OR(K11=0,K11="-"),"-",IF(K11&gt;0,CONCATENATE("+",TEXT(K11,"0.0")),TEXT(K11,"0.0")))</f>
        <v>+25.0</v>
      </c>
      <c r="M11" s="47">
        <f t="shared" ref="M11:M27" si="77">IF(K11=0,0,IF(K11&gt;0,1,-1))</f>
        <v>1</v>
      </c>
      <c r="N11" s="38">
        <f t="shared" ref="N11:N27" ca="1" si="78">IF($B$4=1,G11,K11)</f>
        <v>75</v>
      </c>
      <c r="O11">
        <f ca="1">RANK(N11,N$10:N$28)+COUNTIF(N$10:N11,N11)-1</f>
        <v>2</v>
      </c>
      <c r="P11">
        <f t="shared" ca="1" si="5"/>
        <v>2</v>
      </c>
      <c r="Q11" s="21">
        <f ca="1">IF(ISERROR(P11),"",IF(ROUND(Y11,$B$3)=ROUND(Y10,$B$3),Q10,$A11))</f>
        <v>2</v>
      </c>
      <c r="R11" s="21">
        <f t="shared" ca="1" si="6"/>
        <v>1</v>
      </c>
      <c r="S11" s="41" t="str">
        <f t="shared" ref="S11:S27" ca="1" si="79">IF(R11=0,"",IF(OR(Q11=Q10,Q11=Q12),CONCATENATE($B$2,Q11),Q11))</f>
        <v>=2</v>
      </c>
      <c r="T11" s="21" t="str">
        <f t="shared" ca="1" si="7"/>
        <v>Brazil</v>
      </c>
      <c r="U11" s="41" t="str">
        <f t="shared" ca="1" si="8"/>
        <v>3</v>
      </c>
      <c r="V11" s="43">
        <f t="shared" ca="1" si="9"/>
        <v>75</v>
      </c>
      <c r="W11" s="43" t="str">
        <f t="shared" ca="1" si="10"/>
        <v>+25.0</v>
      </c>
      <c r="X11" t="str">
        <f t="shared" ref="X11:X27" ca="1" si="80">IF($G$6="INVT03","",W11)</f>
        <v>+25.0</v>
      </c>
      <c r="Y11">
        <f t="shared" ca="1" si="11"/>
        <v>75</v>
      </c>
      <c r="Z11">
        <f t="shared" ca="1" si="12"/>
        <v>1</v>
      </c>
      <c r="AB11" s="38">
        <f t="shared" ca="1" si="13"/>
        <v>73.2</v>
      </c>
      <c r="AC11" s="38">
        <f t="shared" ca="1" si="14"/>
        <v>57.8</v>
      </c>
      <c r="AD11" s="38">
        <f t="shared" si="15"/>
        <v>13.3</v>
      </c>
      <c r="AE11" s="47" t="str">
        <f t="shared" ref="AE11:AE27" si="81">IF(OR(AD11=0,AD11="-"),"-",IF(AD11&gt;0,CONCATENATE("+",TEXT(AD11,"0.0")),CONCATENATE("-",ABS(TEXT(AD11,"0.0")))))</f>
        <v>+13.3</v>
      </c>
      <c r="AF11" s="38">
        <f t="shared" ref="AF11:AF27" ca="1" si="82">ROUND(AB11,3)</f>
        <v>73.2</v>
      </c>
      <c r="AG11">
        <f ca="1">RANK(AF11,AF$10:AF$28)+COUNTIF(AF$10:AF11,AF11)-1</f>
        <v>2</v>
      </c>
      <c r="AH11">
        <f t="shared" ca="1" si="16"/>
        <v>2</v>
      </c>
      <c r="AI11" s="21">
        <f ca="1">IF(ISERROR(AH11),"",IF(ROUND(AO11,$B$3)=ROUND(AO10,$B$3),AI10,$A11))</f>
        <v>2</v>
      </c>
      <c r="AJ11" s="21">
        <f t="shared" ca="1" si="17"/>
        <v>1</v>
      </c>
      <c r="AK11" s="41">
        <f t="shared" ref="AK11:AK27" ca="1" si="83">IF(AJ11=0,"",IF(OR(AI11=AI10,AI11=AI12),CONCATENATE($B$2,AI11),AI11))</f>
        <v>2</v>
      </c>
      <c r="AL11" s="21" t="str">
        <f t="shared" ca="1" si="18"/>
        <v>Brazil</v>
      </c>
      <c r="AM11" s="43">
        <f t="shared" ca="1" si="19"/>
        <v>73.2</v>
      </c>
      <c r="AN11" s="43" t="str">
        <f t="shared" ca="1" si="20"/>
        <v>+13.3</v>
      </c>
      <c r="AO11" s="38">
        <f t="shared" ca="1" si="21"/>
        <v>73.2</v>
      </c>
      <c r="AQ11" s="38">
        <f t="shared" ca="1" si="22"/>
        <v>71.900000000000006</v>
      </c>
      <c r="AR11" s="38">
        <f t="shared" ca="1" si="23"/>
        <v>47.2</v>
      </c>
      <c r="AS11" s="38">
        <f t="shared" si="24"/>
        <v>25</v>
      </c>
      <c r="AT11" s="47" t="str">
        <f t="shared" ref="AT11:AT27" si="84">IF(OR(AS11=0,AS11="-"),"-",IF(AS11&gt;0,CONCATENATE("+",TEXT(AS11,"0.0")),CONCATENATE("-",ABS(TEXT(AS11,"0.0")))))</f>
        <v>+25.0</v>
      </c>
      <c r="AU11" s="38">
        <f t="shared" ref="AU11:AU27" ca="1" si="85">ROUND(AQ11,3)</f>
        <v>71.900000000000006</v>
      </c>
      <c r="AV11">
        <f ca="1">RANK(AU11,AU$10:AU$28)+COUNTIF(AU$10:AU11,AU11)-1</f>
        <v>3</v>
      </c>
      <c r="AW11">
        <f t="shared" ca="1" si="25"/>
        <v>16</v>
      </c>
      <c r="AX11" s="21">
        <f ca="1">IF(ISERROR(AW11),"",IF(ROUND(BD11,$B$3)=ROUND(BD10,$B$3),AX10,$A11))</f>
        <v>2</v>
      </c>
      <c r="AY11" s="21">
        <f t="shared" ca="1" si="26"/>
        <v>1</v>
      </c>
      <c r="AZ11" s="41">
        <f t="shared" ref="AZ11:AZ27" ca="1" si="86">IF(AY11=0,"",IF(OR(AX11=AX10,AX11=AX12),CONCATENATE($B$2,AX11),AX11))</f>
        <v>2</v>
      </c>
      <c r="BA11" s="21" t="str">
        <f t="shared" ca="1" si="27"/>
        <v>Peru</v>
      </c>
      <c r="BB11" s="43">
        <f t="shared" ca="1" si="28"/>
        <v>75</v>
      </c>
      <c r="BC11" s="43" t="str">
        <f t="shared" ca="1" si="29"/>
        <v>+9.4</v>
      </c>
      <c r="BD11" s="38">
        <f t="shared" ca="1" si="30"/>
        <v>75</v>
      </c>
      <c r="BF11" s="38">
        <f t="shared" ca="1" si="31"/>
        <v>75</v>
      </c>
      <c r="BG11" s="38">
        <f t="shared" ca="1" si="32"/>
        <v>62.5</v>
      </c>
      <c r="BH11" s="38">
        <f t="shared" si="33"/>
        <v>8.3000000000000007</v>
      </c>
      <c r="BI11" s="47" t="str">
        <f t="shared" ref="BI11:BI27" si="87">IF(OR(BH11=0,BH11="-"),"-",IF(BH11&gt;0,CONCATENATE("+",TEXT(BH11,"0.0")),CONCATENATE("-",ABS(TEXT(BH11,"0.0")))))</f>
        <v>+8.3</v>
      </c>
      <c r="BJ11" s="38">
        <f t="shared" ref="BJ11:BJ27" ca="1" si="88">ROUND(BF11,3)</f>
        <v>75</v>
      </c>
      <c r="BK11">
        <f ca="1">RANK(BJ11,BJ$10:BJ$28)+COUNTIF(BJ$10:BJ11,BJ11)-1</f>
        <v>1</v>
      </c>
      <c r="BL11">
        <f t="shared" ca="1" si="34"/>
        <v>3</v>
      </c>
      <c r="BM11" s="21">
        <f ca="1">IF(ISERROR(BL11),"",IF(ROUND(BS11,$B$3)=ROUND(BS10,$B$3),BM10,$A11))</f>
        <v>1</v>
      </c>
      <c r="BN11" s="21">
        <f t="shared" ca="1" si="35"/>
        <v>1</v>
      </c>
      <c r="BO11" s="41" t="str">
        <f t="shared" ref="BO11:BO27" ca="1" si="89">IF(BN11=0,"",IF(OR(BM11=BM10,BM11=BM12),CONCATENATE($B$2,BM11),BM11))</f>
        <v>=1</v>
      </c>
      <c r="BP11" s="21" t="str">
        <f t="shared" ca="1" si="36"/>
        <v xml:space="preserve">Chile </v>
      </c>
      <c r="BQ11" s="43">
        <f t="shared" ca="1" si="37"/>
        <v>75</v>
      </c>
      <c r="BR11" s="43" t="str">
        <f t="shared" ca="1" si="38"/>
        <v>+25.0</v>
      </c>
      <c r="BS11" s="38">
        <f t="shared" ca="1" si="39"/>
        <v>75</v>
      </c>
      <c r="BU11" s="38">
        <f t="shared" ca="1" si="40"/>
        <v>87.5</v>
      </c>
      <c r="BV11" s="38">
        <f t="shared" ca="1" si="41"/>
        <v>66.7</v>
      </c>
      <c r="BW11" s="38">
        <f t="shared" si="42"/>
        <v>18.8</v>
      </c>
      <c r="BX11" s="47" t="str">
        <f t="shared" ref="BX11:BX27" si="90">IF(OR(BW11=0,BW11="-"),"-",IF(BW11&gt;0,CONCATENATE("+",TEXT(BW11,"0.0")),CONCATENATE("-",ABS(TEXT(BW11,"0.0")))))</f>
        <v>+18.8</v>
      </c>
      <c r="BY11" s="38">
        <f t="shared" ref="BY11:BY27" ca="1" si="91">ROUND(BU11,3)</f>
        <v>87.5</v>
      </c>
      <c r="BZ11">
        <f ca="1">RANK(BY11,BY$10:BY$28)+COUNTIF(BY$10:BY11,BY11)-1</f>
        <v>1</v>
      </c>
      <c r="CA11">
        <f t="shared" ca="1" si="43"/>
        <v>3</v>
      </c>
      <c r="CB11" s="21">
        <f ca="1">IF(ISERROR(CA11),"",IF(ROUND(CH11,$B$3)=ROUND(CH10,$B$3),CB10,$A11))</f>
        <v>2</v>
      </c>
      <c r="CC11" s="21">
        <f t="shared" ca="1" si="44"/>
        <v>1</v>
      </c>
      <c r="CD11" s="41">
        <f t="shared" ref="CD11:CD27" ca="1" si="92">IF(CC11=0,"",IF(OR(CB11=CB10,CB11=CB12),CONCATENATE($B$2,CB11),CB11))</f>
        <v>2</v>
      </c>
      <c r="CE11" s="21" t="str">
        <f t="shared" ca="1" si="45"/>
        <v xml:space="preserve">Chile </v>
      </c>
      <c r="CF11" s="43">
        <f t="shared" ca="1" si="46"/>
        <v>72.2</v>
      </c>
      <c r="CG11" s="43" t="str">
        <f t="shared" ca="1" si="47"/>
        <v>+2.0</v>
      </c>
      <c r="CH11" s="38">
        <f t="shared" ca="1" si="48"/>
        <v>72.2</v>
      </c>
      <c r="CJ11" s="38">
        <f t="shared" ca="1" si="49"/>
        <v>58.8</v>
      </c>
      <c r="CK11" s="38">
        <f t="shared" ca="1" si="50"/>
        <v>77.2</v>
      </c>
      <c r="CL11" s="38">
        <f t="shared" si="51"/>
        <v>0</v>
      </c>
      <c r="CM11" s="47" t="str">
        <f t="shared" ref="CM11:CM27" si="93">IF(OR(CL11=0,CL11="-"),"-",IF(CL11&gt;0,CONCATENATE("+",TEXT(CL11,"0.0")),CONCATENATE("-",ABS(TEXT(CL11,"0.0")))))</f>
        <v>-</v>
      </c>
      <c r="CN11" s="38">
        <f t="shared" ref="CN11:CN27" ca="1" si="94">ROUND(CJ11,3)</f>
        <v>58.8</v>
      </c>
      <c r="CO11">
        <f ca="1">RANK(CN11,CN$10:CN$28)+COUNTIF(CN$10:CN11,CN11)-1</f>
        <v>4</v>
      </c>
      <c r="CP11">
        <f t="shared" ca="1" si="52"/>
        <v>16</v>
      </c>
      <c r="CQ11" s="21">
        <f ca="1">IF(ISERROR(CP11),"",IF(ROUND(CW11,$B$3)=ROUND(CW10,$B$3),CQ10,$A11))</f>
        <v>2</v>
      </c>
      <c r="CR11" s="21">
        <f t="shared" ca="1" si="53"/>
        <v>1</v>
      </c>
      <c r="CS11" s="41">
        <f t="shared" ref="CS11:CS27" ca="1" si="95">IF(CR11=0,"",IF(OR(CQ11=CQ10,CQ11=CQ12),CONCATENATE($B$2,CQ11),CQ11))</f>
        <v>2</v>
      </c>
      <c r="CT11" s="21" t="str">
        <f t="shared" ca="1" si="54"/>
        <v>Peru</v>
      </c>
      <c r="CU11" s="43">
        <f t="shared" ca="1" si="55"/>
        <v>75.2</v>
      </c>
      <c r="CV11" s="43" t="str">
        <f t="shared" ca="1" si="56"/>
        <v>+1.2</v>
      </c>
      <c r="CW11" s="38">
        <f t="shared" ca="1" si="57"/>
        <v>75.2</v>
      </c>
      <c r="CY11" s="38">
        <f t="shared" ca="1" si="58"/>
        <v>72.2</v>
      </c>
      <c r="CZ11" s="38">
        <f t="shared" ca="1" si="59"/>
        <v>62.5</v>
      </c>
      <c r="DA11" s="38">
        <f t="shared" si="60"/>
        <v>8.3000000000000007</v>
      </c>
      <c r="DB11" s="47" t="str">
        <f t="shared" ref="DB11:DB27" si="96">IF(OR(DA11=0,DA11="-"),"-",IF(DA11&gt;0,CONCATENATE("+",TEXT(DA11,"0.0")),CONCATENATE("-",ABS(TEXT(DA11,"0.0")))))</f>
        <v>+8.3</v>
      </c>
      <c r="DC11" s="38">
        <f t="shared" ref="DC11:DC27" ca="1" si="97">ROUND(CY11,3)</f>
        <v>72.2</v>
      </c>
      <c r="DD11">
        <f ca="1">RANK(DC11,DC$10:DC$28)+COUNTIF(DC$10:DC11,DC11)-1</f>
        <v>2</v>
      </c>
      <c r="DE11">
        <f t="shared" ca="1" si="61"/>
        <v>2</v>
      </c>
      <c r="DF11" s="21">
        <f ca="1">IF(ISERROR(DE11),"",IF(ROUND(DL11,$B$3)=ROUND(DL10,$B$3),DF10,$A11))</f>
        <v>2</v>
      </c>
      <c r="DG11" s="21">
        <f t="shared" ca="1" si="62"/>
        <v>1</v>
      </c>
      <c r="DH11" s="41" t="str">
        <f t="shared" ref="DH11:DH27" ca="1" si="98">IF(DG11=0,"",IF(OR(DF11=DF10,DF11=DF12),CONCATENATE($B$2,DF11),DF11))</f>
        <v>=2</v>
      </c>
      <c r="DI11" s="21" t="str">
        <f t="shared" ca="1" si="63"/>
        <v>Brazil</v>
      </c>
      <c r="DJ11" s="43">
        <f t="shared" ca="1" si="64"/>
        <v>72.2</v>
      </c>
      <c r="DK11" s="43" t="str">
        <f t="shared" ca="1" si="65"/>
        <v>+8.3</v>
      </c>
      <c r="DL11" s="38">
        <f t="shared" ca="1" si="66"/>
        <v>72.2</v>
      </c>
      <c r="DN11" s="38">
        <f t="shared" ca="1" si="67"/>
        <v>75</v>
      </c>
      <c r="DO11" s="38" t="e">
        <f t="shared" ca="1" si="68"/>
        <v>#REF!</v>
      </c>
      <c r="DP11" s="38">
        <f t="shared" si="69"/>
        <v>0</v>
      </c>
      <c r="DQ11" s="47" t="str">
        <f t="shared" ref="DQ11:DQ27" si="99">IF(OR(DP11=0,DP11="-"),"-",IF(DP11&gt;0,CONCATENATE("+",TEXT(DP11,"0.0")),CONCATENATE("-",ABS(TEXT(DP11,"0.0")))))</f>
        <v>-</v>
      </c>
      <c r="DR11" s="38">
        <f t="shared" ref="DR11:DR27" ca="1" si="100">ROUND(DN11,3)</f>
        <v>75</v>
      </c>
      <c r="DS11">
        <f ca="1">RANK(DR11,DR$10:DR$28)+COUNTIF(DR$10:DR11,DR11)-1</f>
        <v>1</v>
      </c>
      <c r="DT11">
        <f t="shared" ca="1" si="70"/>
        <v>1</v>
      </c>
      <c r="DU11" s="21">
        <f ca="1">IF(ISERROR(DT11),"",IF(ROUND(EA11,$B$3)=ROUND(EA10,$B$3),DU10,$A11))</f>
        <v>2</v>
      </c>
      <c r="DV11" s="21">
        <f t="shared" ca="1" si="71"/>
        <v>1</v>
      </c>
      <c r="DW11" s="41" t="str">
        <f t="shared" ref="DW11:DW27" ca="1" si="101">IF(DV11=0,"",IF(OR(DU11=DU10,DU11=DU12),CONCATENATE($B$2,DU11),DU11))</f>
        <v>=2</v>
      </c>
      <c r="DX11" s="21" t="str">
        <f t="shared" ca="1" si="72"/>
        <v>Argentina</v>
      </c>
      <c r="DY11" s="43">
        <f t="shared" ca="1" si="73"/>
        <v>50</v>
      </c>
      <c r="DZ11" s="43" t="str">
        <f t="shared" ca="1" si="74"/>
        <v>-</v>
      </c>
      <c r="EA11" s="38">
        <f t="shared" ca="1" si="75"/>
        <v>50</v>
      </c>
    </row>
    <row r="12" spans="1:131">
      <c r="A12">
        <v>3</v>
      </c>
      <c r="B12" t="str">
        <f>tblCountries!E8</f>
        <v xml:space="preserve">Chile </v>
      </c>
      <c r="C12">
        <f>tblCountries!A8</f>
        <v>3</v>
      </c>
      <c r="D12">
        <f ca="1">tblCountries!F8</f>
        <v>1</v>
      </c>
      <c r="G12" s="38">
        <f t="shared" ca="1" si="0"/>
        <v>100</v>
      </c>
      <c r="H12" s="47">
        <f t="shared" ca="1" si="1"/>
        <v>4</v>
      </c>
      <c r="I12" s="38">
        <f t="shared" ca="1" si="2"/>
        <v>75</v>
      </c>
      <c r="J12" s="38">
        <f t="shared" ca="1" si="3"/>
        <v>3</v>
      </c>
      <c r="K12" s="47">
        <f t="shared" si="4"/>
        <v>25</v>
      </c>
      <c r="L12" s="47" t="str">
        <f t="shared" si="76"/>
        <v>+25.0</v>
      </c>
      <c r="M12" s="47">
        <f t="shared" si="77"/>
        <v>1</v>
      </c>
      <c r="N12" s="38">
        <f t="shared" ca="1" si="78"/>
        <v>100</v>
      </c>
      <c r="O12">
        <f ca="1">RANK(N12,N$10:N$28)+COUNTIF(N$10:N12,N12)-1</f>
        <v>1</v>
      </c>
      <c r="P12">
        <f t="shared" ca="1" si="5"/>
        <v>9</v>
      </c>
      <c r="Q12" s="21">
        <f t="shared" ref="Q12:Q27" ca="1" si="102">IF(ISERROR(P12),"",IF(ROUND(Y12,$B$3)=ROUND(Y11,$B$3),Q11,$A12))</f>
        <v>2</v>
      </c>
      <c r="R12" s="21">
        <f t="shared" ca="1" si="6"/>
        <v>1</v>
      </c>
      <c r="S12" s="41" t="str">
        <f t="shared" ca="1" si="79"/>
        <v>=2</v>
      </c>
      <c r="T12" s="21" t="str">
        <f t="shared" ca="1" si="7"/>
        <v>Guatemala</v>
      </c>
      <c r="U12" s="41" t="str">
        <f t="shared" ca="1" si="8"/>
        <v>3</v>
      </c>
      <c r="V12" s="43">
        <f t="shared" ca="1" si="9"/>
        <v>75</v>
      </c>
      <c r="W12" s="43" t="str">
        <f t="shared" ca="1" si="10"/>
        <v>+50.0</v>
      </c>
      <c r="X12" t="str">
        <f t="shared" ca="1" si="80"/>
        <v>+50.0</v>
      </c>
      <c r="Y12">
        <f t="shared" ca="1" si="11"/>
        <v>75</v>
      </c>
      <c r="Z12">
        <f t="shared" ca="1" si="12"/>
        <v>1</v>
      </c>
      <c r="AB12" s="38">
        <f t="shared" ca="1" si="13"/>
        <v>79.3</v>
      </c>
      <c r="AC12" s="38">
        <f t="shared" ca="1" si="14"/>
        <v>64.3</v>
      </c>
      <c r="AD12" s="38">
        <f t="shared" si="15"/>
        <v>11.9</v>
      </c>
      <c r="AE12" s="47" t="str">
        <f t="shared" si="81"/>
        <v>+11.9</v>
      </c>
      <c r="AF12" s="38">
        <f t="shared" ca="1" si="82"/>
        <v>79.3</v>
      </c>
      <c r="AG12">
        <f ca="1">RANK(AF12,AF$10:AF$28)+COUNTIF(AF$10:AF12,AF12)-1</f>
        <v>1</v>
      </c>
      <c r="AH12">
        <f t="shared" ca="1" si="16"/>
        <v>16</v>
      </c>
      <c r="AI12" s="21">
        <f t="shared" ref="AI12:AI27" ca="1" si="103">IF(ISERROR(AH12),"",IF(ROUND(AO12,$B$3)=ROUND(AO11,$B$3),AI11,$A12))</f>
        <v>3</v>
      </c>
      <c r="AJ12" s="21">
        <f t="shared" ca="1" si="17"/>
        <v>1</v>
      </c>
      <c r="AK12" s="41">
        <f t="shared" ca="1" si="83"/>
        <v>3</v>
      </c>
      <c r="AL12" s="21" t="str">
        <f t="shared" ca="1" si="18"/>
        <v>Peru</v>
      </c>
      <c r="AM12" s="43">
        <f t="shared" ca="1" si="19"/>
        <v>67.2</v>
      </c>
      <c r="AN12" s="43" t="str">
        <f t="shared" ca="1" si="20"/>
        <v>+10.2</v>
      </c>
      <c r="AO12" s="38">
        <f t="shared" ca="1" si="21"/>
        <v>67.2</v>
      </c>
      <c r="AQ12" s="38">
        <f t="shared" ca="1" si="22"/>
        <v>84.4</v>
      </c>
      <c r="AR12" s="38">
        <f t="shared" ca="1" si="23"/>
        <v>61.1</v>
      </c>
      <c r="AS12" s="38">
        <f t="shared" si="24"/>
        <v>21.9</v>
      </c>
      <c r="AT12" s="47" t="str">
        <f t="shared" si="84"/>
        <v>+21.9</v>
      </c>
      <c r="AU12" s="38">
        <f t="shared" ca="1" si="85"/>
        <v>84.4</v>
      </c>
      <c r="AV12">
        <f ca="1">RANK(AU12,AU$10:AU$28)+COUNTIF(AU$10:AU12,AU12)-1</f>
        <v>1</v>
      </c>
      <c r="AW12">
        <f t="shared" ca="1" si="25"/>
        <v>2</v>
      </c>
      <c r="AX12" s="21">
        <f t="shared" ref="AX12:AX27" ca="1" si="104">IF(ISERROR(AW12),"",IF(ROUND(BD12,$B$3)=ROUND(BD11,$B$3),AX11,$A12))</f>
        <v>3</v>
      </c>
      <c r="AY12" s="21">
        <f t="shared" ca="1" si="26"/>
        <v>1</v>
      </c>
      <c r="AZ12" s="41">
        <f t="shared" ca="1" si="86"/>
        <v>3</v>
      </c>
      <c r="BA12" s="21" t="str">
        <f t="shared" ca="1" si="27"/>
        <v>Brazil</v>
      </c>
      <c r="BB12" s="43">
        <f t="shared" ca="1" si="28"/>
        <v>71.900000000000006</v>
      </c>
      <c r="BC12" s="43" t="str">
        <f t="shared" ca="1" si="29"/>
        <v>+25.0</v>
      </c>
      <c r="BD12" s="38">
        <f t="shared" ca="1" si="30"/>
        <v>71.900000000000006</v>
      </c>
      <c r="BF12" s="38">
        <f t="shared" ca="1" si="31"/>
        <v>75</v>
      </c>
      <c r="BG12" s="38">
        <f t="shared" ca="1" si="32"/>
        <v>50</v>
      </c>
      <c r="BH12" s="38">
        <f t="shared" si="33"/>
        <v>25</v>
      </c>
      <c r="BI12" s="47" t="str">
        <f t="shared" si="87"/>
        <v>+25.0</v>
      </c>
      <c r="BJ12" s="38">
        <f t="shared" ca="1" si="88"/>
        <v>75</v>
      </c>
      <c r="BK12">
        <f ca="1">RANK(BJ12,BJ$10:BJ$28)+COUNTIF(BJ$10:BJ12,BJ12)-1</f>
        <v>2</v>
      </c>
      <c r="BL12">
        <f t="shared" ca="1" si="34"/>
        <v>16</v>
      </c>
      <c r="BM12" s="21">
        <f t="shared" ref="BM12:BM27" ca="1" si="105">IF(ISERROR(BL12),"",IF(ROUND(BS12,$B$3)=ROUND(BS11,$B$3),BM11,$A12))</f>
        <v>1</v>
      </c>
      <c r="BN12" s="21">
        <f t="shared" ca="1" si="35"/>
        <v>1</v>
      </c>
      <c r="BO12" s="41" t="str">
        <f t="shared" ca="1" si="89"/>
        <v>=1</v>
      </c>
      <c r="BP12" s="21" t="str">
        <f t="shared" ca="1" si="36"/>
        <v>Peru</v>
      </c>
      <c r="BQ12" s="43">
        <f t="shared" ca="1" si="37"/>
        <v>75</v>
      </c>
      <c r="BR12" s="43" t="str">
        <f t="shared" ca="1" si="38"/>
        <v>+25.0</v>
      </c>
      <c r="BS12" s="38">
        <f t="shared" ca="1" si="39"/>
        <v>75</v>
      </c>
      <c r="BU12" s="38">
        <f t="shared" ca="1" si="40"/>
        <v>72.2</v>
      </c>
      <c r="BV12" s="38">
        <f t="shared" ca="1" si="41"/>
        <v>73.900000000000006</v>
      </c>
      <c r="BW12" s="38">
        <f t="shared" si="42"/>
        <v>2</v>
      </c>
      <c r="BX12" s="47" t="str">
        <f t="shared" si="90"/>
        <v>+2.0</v>
      </c>
      <c r="BY12" s="38">
        <f t="shared" ca="1" si="91"/>
        <v>72.2</v>
      </c>
      <c r="BZ12">
        <f ca="1">RANK(BY12,BY$10:BY$28)+COUNTIF(BY$10:BY12,BY12)-1</f>
        <v>2</v>
      </c>
      <c r="CA12">
        <f t="shared" ca="1" si="43"/>
        <v>12</v>
      </c>
      <c r="CB12" s="21">
        <f t="shared" ref="CB12:CB27" ca="1" si="106">IF(ISERROR(CA12),"",IF(ROUND(CH12,$B$3)=ROUND(CH11,$B$3),CB11,$A12))</f>
        <v>3</v>
      </c>
      <c r="CC12" s="21">
        <f t="shared" ca="1" si="44"/>
        <v>1</v>
      </c>
      <c r="CD12" s="41">
        <f t="shared" ca="1" si="92"/>
        <v>3</v>
      </c>
      <c r="CE12" s="21" t="str">
        <f t="shared" ca="1" si="45"/>
        <v>Mexico</v>
      </c>
      <c r="CF12" s="43">
        <f t="shared" ca="1" si="46"/>
        <v>54</v>
      </c>
      <c r="CG12" s="43" t="str">
        <f t="shared" ca="1" si="47"/>
        <v>+8.1</v>
      </c>
      <c r="CH12" s="38">
        <f t="shared" ca="1" si="48"/>
        <v>54</v>
      </c>
      <c r="CJ12" s="38">
        <f t="shared" ca="1" si="49"/>
        <v>85.4</v>
      </c>
      <c r="CK12" s="38">
        <f t="shared" ca="1" si="50"/>
        <v>93</v>
      </c>
      <c r="CL12" s="38">
        <f t="shared" si="51"/>
        <v>-0.5</v>
      </c>
      <c r="CM12" s="47" t="str">
        <f t="shared" si="93"/>
        <v>-0.5</v>
      </c>
      <c r="CN12" s="38">
        <f t="shared" ca="1" si="94"/>
        <v>85.4</v>
      </c>
      <c r="CO12">
        <f ca="1">RANK(CN12,CN$10:CN$28)+COUNTIF(CN$10:CN12,CN12)-1</f>
        <v>1</v>
      </c>
      <c r="CP12">
        <f t="shared" ca="1" si="52"/>
        <v>4</v>
      </c>
      <c r="CQ12" s="21">
        <f t="shared" ref="CQ12:CQ27" ca="1" si="107">IF(ISERROR(CP12),"",IF(ROUND(CW12,$B$3)=ROUND(CW11,$B$3),CQ11,$A12))</f>
        <v>3</v>
      </c>
      <c r="CR12" s="21">
        <f t="shared" ca="1" si="53"/>
        <v>1</v>
      </c>
      <c r="CS12" s="41">
        <f t="shared" ca="1" si="95"/>
        <v>3</v>
      </c>
      <c r="CT12" s="21" t="str">
        <f t="shared" ca="1" si="54"/>
        <v>Colombia</v>
      </c>
      <c r="CU12" s="43">
        <f t="shared" ca="1" si="55"/>
        <v>72.400000000000006</v>
      </c>
      <c r="CV12" s="43" t="str">
        <f t="shared" ca="1" si="56"/>
        <v>+0.8</v>
      </c>
      <c r="CW12" s="38">
        <f t="shared" ca="1" si="57"/>
        <v>72.400000000000006</v>
      </c>
      <c r="CY12" s="38">
        <f t="shared" ca="1" si="58"/>
        <v>97.2</v>
      </c>
      <c r="CZ12" s="38">
        <f t="shared" ca="1" si="59"/>
        <v>95.8</v>
      </c>
      <c r="DA12" s="38">
        <f t="shared" si="60"/>
        <v>0</v>
      </c>
      <c r="DB12" s="47" t="str">
        <f t="shared" si="96"/>
        <v>-</v>
      </c>
      <c r="DC12" s="38">
        <f t="shared" ca="1" si="97"/>
        <v>97.2</v>
      </c>
      <c r="DD12">
        <f ca="1">RANK(DC12,DC$10:DC$28)+COUNTIF(DC$10:DC12,DC12)-1</f>
        <v>1</v>
      </c>
      <c r="DE12">
        <f t="shared" ca="1" si="61"/>
        <v>12</v>
      </c>
      <c r="DF12" s="21">
        <f t="shared" ref="DF12:DF27" ca="1" si="108">IF(ISERROR(DE12),"",IF(ROUND(DL12,$B$3)=ROUND(DL11,$B$3),DF11,$A12))</f>
        <v>2</v>
      </c>
      <c r="DG12" s="21">
        <f t="shared" ca="1" si="62"/>
        <v>1</v>
      </c>
      <c r="DH12" s="41" t="str">
        <f t="shared" ca="1" si="98"/>
        <v>=2</v>
      </c>
      <c r="DI12" s="21" t="str">
        <f t="shared" ca="1" si="63"/>
        <v>Mexico</v>
      </c>
      <c r="DJ12" s="43">
        <f t="shared" ca="1" si="64"/>
        <v>72.2</v>
      </c>
      <c r="DK12" s="43" t="str">
        <f t="shared" ca="1" si="65"/>
        <v>+2.8</v>
      </c>
      <c r="DL12" s="38">
        <f t="shared" ca="1" si="66"/>
        <v>72.2</v>
      </c>
      <c r="DN12" s="38">
        <f t="shared" ca="1" si="67"/>
        <v>50</v>
      </c>
      <c r="DO12" s="38" t="e">
        <f t="shared" ca="1" si="68"/>
        <v>#REF!</v>
      </c>
      <c r="DP12" s="38">
        <f t="shared" si="69"/>
        <v>0</v>
      </c>
      <c r="DQ12" s="47" t="str">
        <f t="shared" si="99"/>
        <v>-</v>
      </c>
      <c r="DR12" s="38">
        <f t="shared" ca="1" si="100"/>
        <v>50</v>
      </c>
      <c r="DS12">
        <f ca="1">RANK(DR12,DR$10:DR$28)+COUNTIF(DR$10:DR12,DR12)-1</f>
        <v>3</v>
      </c>
      <c r="DT12">
        <f t="shared" ca="1" si="70"/>
        <v>3</v>
      </c>
      <c r="DU12" s="21">
        <f t="shared" ref="DU12:DU27" ca="1" si="109">IF(ISERROR(DT12),"",IF(ROUND(EA12,$B$3)=ROUND(EA11,$B$3),DU11,$A12))</f>
        <v>2</v>
      </c>
      <c r="DV12" s="21">
        <f t="shared" ca="1" si="71"/>
        <v>1</v>
      </c>
      <c r="DW12" s="41" t="str">
        <f t="shared" ca="1" si="101"/>
        <v>=2</v>
      </c>
      <c r="DX12" s="21" t="str">
        <f t="shared" ca="1" si="72"/>
        <v xml:space="preserve">Chile </v>
      </c>
      <c r="DY12" s="43">
        <f t="shared" ca="1" si="73"/>
        <v>50</v>
      </c>
      <c r="DZ12" s="43" t="str">
        <f t="shared" ca="1" si="74"/>
        <v>-</v>
      </c>
      <c r="EA12" s="38">
        <f t="shared" ca="1" si="75"/>
        <v>50</v>
      </c>
    </row>
    <row r="13" spans="1:131">
      <c r="A13">
        <v>4</v>
      </c>
      <c r="B13" t="str">
        <f>tblCountries!E9</f>
        <v>Colombia</v>
      </c>
      <c r="C13">
        <f>tblCountries!A9</f>
        <v>4</v>
      </c>
      <c r="D13">
        <f ca="1">tblCountries!F9</f>
        <v>1</v>
      </c>
      <c r="G13" s="38">
        <f t="shared" ca="1" si="0"/>
        <v>50</v>
      </c>
      <c r="H13" s="47">
        <f t="shared" ca="1" si="1"/>
        <v>2</v>
      </c>
      <c r="I13" s="38">
        <f t="shared" ca="1" si="2"/>
        <v>25</v>
      </c>
      <c r="J13" s="38">
        <f t="shared" ca="1" si="3"/>
        <v>1</v>
      </c>
      <c r="K13" s="47">
        <f t="shared" si="4"/>
        <v>25</v>
      </c>
      <c r="L13" s="47" t="str">
        <f t="shared" si="76"/>
        <v>+25.0</v>
      </c>
      <c r="M13" s="47">
        <f t="shared" si="77"/>
        <v>1</v>
      </c>
      <c r="N13" s="38">
        <f t="shared" ca="1" si="78"/>
        <v>50</v>
      </c>
      <c r="O13">
        <f ca="1">RANK(N13,N$10:N$28)+COUNTIF(N$10:N13,N13)-1</f>
        <v>6</v>
      </c>
      <c r="P13">
        <f t="shared" ca="1" si="5"/>
        <v>16</v>
      </c>
      <c r="Q13" s="21">
        <f t="shared" ca="1" si="102"/>
        <v>2</v>
      </c>
      <c r="R13" s="21">
        <f t="shared" ca="1" si="6"/>
        <v>1</v>
      </c>
      <c r="S13" s="41" t="str">
        <f t="shared" ca="1" si="79"/>
        <v>=2</v>
      </c>
      <c r="T13" s="21" t="str">
        <f t="shared" ca="1" si="7"/>
        <v>Peru</v>
      </c>
      <c r="U13" s="41" t="str">
        <f t="shared" ca="1" si="8"/>
        <v>3</v>
      </c>
      <c r="V13" s="43">
        <f t="shared" ca="1" si="9"/>
        <v>75</v>
      </c>
      <c r="W13" s="43" t="str">
        <f t="shared" ca="1" si="10"/>
        <v>-</v>
      </c>
      <c r="X13" t="str">
        <f t="shared" ca="1" si="80"/>
        <v>-</v>
      </c>
      <c r="Y13">
        <f t="shared" ca="1" si="11"/>
        <v>75</v>
      </c>
      <c r="Z13">
        <f t="shared" ca="1" si="12"/>
        <v>0</v>
      </c>
      <c r="AB13" s="38">
        <f t="shared" ca="1" si="13"/>
        <v>53.7</v>
      </c>
      <c r="AC13" s="38">
        <f t="shared" ca="1" si="14"/>
        <v>39.1</v>
      </c>
      <c r="AD13" s="38">
        <f t="shared" si="15"/>
        <v>9.3000000000000007</v>
      </c>
      <c r="AE13" s="47" t="str">
        <f t="shared" si="81"/>
        <v>+9.3</v>
      </c>
      <c r="AF13" s="38">
        <f t="shared" ca="1" si="82"/>
        <v>53.7</v>
      </c>
      <c r="AG13">
        <f ca="1">RANK(AF13,AF$10:AF$28)+COUNTIF(AF$10:AF13,AF13)-1</f>
        <v>5</v>
      </c>
      <c r="AH13">
        <f t="shared" ca="1" si="16"/>
        <v>12</v>
      </c>
      <c r="AI13" s="21">
        <f t="shared" ca="1" si="103"/>
        <v>4</v>
      </c>
      <c r="AJ13" s="21">
        <f t="shared" ca="1" si="17"/>
        <v>1</v>
      </c>
      <c r="AK13" s="41">
        <f t="shared" ca="1" si="83"/>
        <v>4</v>
      </c>
      <c r="AL13" s="21" t="str">
        <f t="shared" ca="1" si="18"/>
        <v>Mexico</v>
      </c>
      <c r="AM13" s="43">
        <f t="shared" ca="1" si="19"/>
        <v>58.1</v>
      </c>
      <c r="AN13" s="43" t="str">
        <f t="shared" ca="1" si="20"/>
        <v>+8.2</v>
      </c>
      <c r="AO13" s="38">
        <f t="shared" ca="1" si="21"/>
        <v>58.1</v>
      </c>
      <c r="AQ13" s="38">
        <f t="shared" ca="1" si="22"/>
        <v>50</v>
      </c>
      <c r="AR13" s="38">
        <f t="shared" ca="1" si="23"/>
        <v>33.299999999999997</v>
      </c>
      <c r="AS13" s="38">
        <f t="shared" si="24"/>
        <v>18.8</v>
      </c>
      <c r="AT13" s="47" t="str">
        <f t="shared" si="84"/>
        <v>+18.8</v>
      </c>
      <c r="AU13" s="38">
        <f t="shared" ca="1" si="85"/>
        <v>50</v>
      </c>
      <c r="AV13">
        <f ca="1">RANK(AU13,AU$10:AU$28)+COUNTIF(AU$10:AU13,AU13)-1</f>
        <v>6</v>
      </c>
      <c r="AW13">
        <f t="shared" ca="1" si="25"/>
        <v>12</v>
      </c>
      <c r="AX13" s="21">
        <f t="shared" ca="1" si="104"/>
        <v>4</v>
      </c>
      <c r="AY13" s="21">
        <f t="shared" ca="1" si="26"/>
        <v>1</v>
      </c>
      <c r="AZ13" s="41">
        <f t="shared" ca="1" si="86"/>
        <v>4</v>
      </c>
      <c r="BA13" s="21" t="str">
        <f t="shared" ca="1" si="27"/>
        <v>Mexico</v>
      </c>
      <c r="BB13" s="43">
        <f t="shared" ca="1" si="28"/>
        <v>56.3</v>
      </c>
      <c r="BC13" s="43" t="str">
        <f t="shared" ca="1" si="29"/>
        <v>+6.3</v>
      </c>
      <c r="BD13" s="38">
        <f t="shared" ca="1" si="30"/>
        <v>56.3</v>
      </c>
      <c r="BF13" s="38">
        <f t="shared" ca="1" si="31"/>
        <v>50</v>
      </c>
      <c r="BG13" s="38">
        <f t="shared" ca="1" si="32"/>
        <v>37.5</v>
      </c>
      <c r="BH13" s="38">
        <f t="shared" si="33"/>
        <v>16.7</v>
      </c>
      <c r="BI13" s="47" t="str">
        <f t="shared" si="87"/>
        <v>+16.7</v>
      </c>
      <c r="BJ13" s="38">
        <f t="shared" ca="1" si="88"/>
        <v>50</v>
      </c>
      <c r="BK13">
        <f ca="1">RANK(BJ13,BJ$10:BJ$28)+COUNTIF(BJ$10:BJ13,BJ13)-1</f>
        <v>5</v>
      </c>
      <c r="BL13">
        <f t="shared" ca="1" si="34"/>
        <v>12</v>
      </c>
      <c r="BM13" s="21">
        <f t="shared" ca="1" si="105"/>
        <v>4</v>
      </c>
      <c r="BN13" s="21">
        <f t="shared" ca="1" si="35"/>
        <v>1</v>
      </c>
      <c r="BO13" s="41">
        <f t="shared" ca="1" si="89"/>
        <v>4</v>
      </c>
      <c r="BP13" s="21" t="str">
        <f t="shared" ca="1" si="36"/>
        <v>Mexico</v>
      </c>
      <c r="BQ13" s="43">
        <f t="shared" ca="1" si="37"/>
        <v>58.3</v>
      </c>
      <c r="BR13" s="43" t="str">
        <f t="shared" ca="1" si="38"/>
        <v>+25.0</v>
      </c>
      <c r="BS13" s="38">
        <f t="shared" ca="1" si="39"/>
        <v>58.3</v>
      </c>
      <c r="BU13" s="38">
        <f t="shared" ca="1" si="40"/>
        <v>46.7</v>
      </c>
      <c r="BV13" s="38">
        <f t="shared" ca="1" si="41"/>
        <v>44.7</v>
      </c>
      <c r="BW13" s="38">
        <f t="shared" si="42"/>
        <v>1.5</v>
      </c>
      <c r="BX13" s="47" t="str">
        <f t="shared" si="90"/>
        <v>+1.5</v>
      </c>
      <c r="BY13" s="38">
        <f t="shared" ca="1" si="91"/>
        <v>46.7</v>
      </c>
      <c r="BZ13">
        <f ca="1">RANK(BY13,BY$10:BY$28)+COUNTIF(BY$10:BY13,BY13)-1</f>
        <v>5</v>
      </c>
      <c r="CA13">
        <f t="shared" ca="1" si="43"/>
        <v>16</v>
      </c>
      <c r="CB13" s="21">
        <f t="shared" ca="1" si="106"/>
        <v>4</v>
      </c>
      <c r="CC13" s="21">
        <f t="shared" ca="1" si="44"/>
        <v>1</v>
      </c>
      <c r="CD13" s="41">
        <f t="shared" ca="1" si="92"/>
        <v>4</v>
      </c>
      <c r="CE13" s="21" t="str">
        <f t="shared" ca="1" si="45"/>
        <v>Peru</v>
      </c>
      <c r="CF13" s="43">
        <f t="shared" ca="1" si="46"/>
        <v>53.6</v>
      </c>
      <c r="CG13" s="43" t="str">
        <f t="shared" ca="1" si="47"/>
        <v>+8.4</v>
      </c>
      <c r="CH13" s="38">
        <f t="shared" ca="1" si="48"/>
        <v>53.6</v>
      </c>
      <c r="CJ13" s="38">
        <f t="shared" ca="1" si="49"/>
        <v>72.400000000000006</v>
      </c>
      <c r="CK13" s="38">
        <f t="shared" ca="1" si="50"/>
        <v>58.6</v>
      </c>
      <c r="CL13" s="38">
        <f t="shared" si="51"/>
        <v>0.8</v>
      </c>
      <c r="CM13" s="47" t="str">
        <f t="shared" si="93"/>
        <v>+0.8</v>
      </c>
      <c r="CN13" s="38">
        <f t="shared" ca="1" si="94"/>
        <v>72.400000000000006</v>
      </c>
      <c r="CO13">
        <f ca="1">RANK(CN13,CN$10:CN$28)+COUNTIF(CN$10:CN13,CN13)-1</f>
        <v>3</v>
      </c>
      <c r="CP13">
        <f t="shared" ca="1" si="52"/>
        <v>2</v>
      </c>
      <c r="CQ13" s="21">
        <f t="shared" ca="1" si="107"/>
        <v>4</v>
      </c>
      <c r="CR13" s="21">
        <f t="shared" ca="1" si="53"/>
        <v>1</v>
      </c>
      <c r="CS13" s="41">
        <f t="shared" ca="1" si="95"/>
        <v>4</v>
      </c>
      <c r="CT13" s="21" t="str">
        <f t="shared" ca="1" si="54"/>
        <v>Brazil</v>
      </c>
      <c r="CU13" s="43">
        <f t="shared" ca="1" si="55"/>
        <v>58.8</v>
      </c>
      <c r="CV13" s="43" t="str">
        <f t="shared" ca="1" si="56"/>
        <v>-</v>
      </c>
      <c r="CW13" s="38">
        <f t="shared" ca="1" si="57"/>
        <v>58.8</v>
      </c>
      <c r="CY13" s="38">
        <f t="shared" ca="1" si="58"/>
        <v>55.6</v>
      </c>
      <c r="CZ13" s="38">
        <f t="shared" ca="1" si="59"/>
        <v>54.2</v>
      </c>
      <c r="DA13" s="38">
        <f t="shared" si="60"/>
        <v>0</v>
      </c>
      <c r="DB13" s="47" t="str">
        <f t="shared" si="96"/>
        <v>-</v>
      </c>
      <c r="DC13" s="38">
        <f t="shared" ca="1" si="97"/>
        <v>55.6</v>
      </c>
      <c r="DD13">
        <f ca="1">RANK(DC13,DC$10:DC$28)+COUNTIF(DC$10:DC13,DC13)-1</f>
        <v>7</v>
      </c>
      <c r="DE13">
        <f t="shared" ca="1" si="61"/>
        <v>14</v>
      </c>
      <c r="DF13" s="21">
        <f t="shared" ca="1" si="108"/>
        <v>4</v>
      </c>
      <c r="DG13" s="21">
        <f t="shared" ca="1" si="62"/>
        <v>1</v>
      </c>
      <c r="DH13" s="41">
        <f t="shared" ca="1" si="98"/>
        <v>4</v>
      </c>
      <c r="DI13" s="21" t="str">
        <f t="shared" ca="1" si="63"/>
        <v>Panama</v>
      </c>
      <c r="DJ13" s="43">
        <f t="shared" ca="1" si="64"/>
        <v>63.9</v>
      </c>
      <c r="DK13" s="43" t="str">
        <f t="shared" ca="1" si="65"/>
        <v>-</v>
      </c>
      <c r="DL13" s="38">
        <f t="shared" ca="1" si="66"/>
        <v>63.9</v>
      </c>
      <c r="DN13" s="38">
        <f t="shared" ca="1" si="67"/>
        <v>50</v>
      </c>
      <c r="DO13" s="38" t="e">
        <f t="shared" ca="1" si="68"/>
        <v>#REF!</v>
      </c>
      <c r="DP13" s="38">
        <f t="shared" si="69"/>
        <v>0</v>
      </c>
      <c r="DQ13" s="47" t="str">
        <f t="shared" si="99"/>
        <v>-</v>
      </c>
      <c r="DR13" s="38">
        <f t="shared" ca="1" si="100"/>
        <v>50</v>
      </c>
      <c r="DS13">
        <f ca="1">RANK(DR13,DR$10:DR$28)+COUNTIF(DR$10:DR13,DR13)-1</f>
        <v>4</v>
      </c>
      <c r="DT13">
        <f t="shared" ca="1" si="70"/>
        <v>4</v>
      </c>
      <c r="DU13" s="21">
        <f t="shared" ca="1" si="109"/>
        <v>2</v>
      </c>
      <c r="DV13" s="21">
        <f t="shared" ca="1" si="71"/>
        <v>1</v>
      </c>
      <c r="DW13" s="41" t="str">
        <f t="shared" ca="1" si="101"/>
        <v>=2</v>
      </c>
      <c r="DX13" s="21" t="str">
        <f t="shared" ca="1" si="72"/>
        <v>Colombia</v>
      </c>
      <c r="DY13" s="43">
        <f t="shared" ca="1" si="73"/>
        <v>50</v>
      </c>
      <c r="DZ13" s="43" t="str">
        <f t="shared" ca="1" si="74"/>
        <v>-</v>
      </c>
      <c r="EA13" s="38">
        <f t="shared" ca="1" si="75"/>
        <v>50</v>
      </c>
    </row>
    <row r="14" spans="1:131">
      <c r="A14">
        <v>5</v>
      </c>
      <c r="B14" t="str">
        <f>tblCountries!E10</f>
        <v>Costa Rica</v>
      </c>
      <c r="C14">
        <f>tblCountries!A10</f>
        <v>5</v>
      </c>
      <c r="D14">
        <f ca="1">tblCountries!F10</f>
        <v>1</v>
      </c>
      <c r="G14" s="38">
        <f t="shared" ca="1" si="0"/>
        <v>25</v>
      </c>
      <c r="H14" s="47">
        <f t="shared" ca="1" si="1"/>
        <v>1</v>
      </c>
      <c r="I14" s="38">
        <f t="shared" ca="1" si="2"/>
        <v>50</v>
      </c>
      <c r="J14" s="38">
        <f t="shared" ca="1" si="3"/>
        <v>2</v>
      </c>
      <c r="K14" s="47">
        <f t="shared" si="4"/>
        <v>-25</v>
      </c>
      <c r="L14" s="47" t="str">
        <f t="shared" si="76"/>
        <v>-25.0</v>
      </c>
      <c r="M14" s="47">
        <f t="shared" si="77"/>
        <v>-1</v>
      </c>
      <c r="N14" s="38">
        <f t="shared" ca="1" si="78"/>
        <v>25</v>
      </c>
      <c r="O14">
        <f ca="1">RANK(N14,N$10:N$28)+COUNTIF(N$10:N14,N14)-1</f>
        <v>9</v>
      </c>
      <c r="P14">
        <f t="shared" ca="1" si="5"/>
        <v>1</v>
      </c>
      <c r="Q14" s="21">
        <f t="shared" ca="1" si="102"/>
        <v>5</v>
      </c>
      <c r="R14" s="21">
        <f t="shared" ca="1" si="6"/>
        <v>1</v>
      </c>
      <c r="S14" s="41" t="str">
        <f t="shared" ca="1" si="79"/>
        <v>=5</v>
      </c>
      <c r="T14" s="21" t="str">
        <f t="shared" ca="1" si="7"/>
        <v>Argentina</v>
      </c>
      <c r="U14" s="41" t="str">
        <f t="shared" ca="1" si="8"/>
        <v>2</v>
      </c>
      <c r="V14" s="43">
        <f t="shared" ca="1" si="9"/>
        <v>50</v>
      </c>
      <c r="W14" s="43" t="str">
        <f t="shared" ca="1" si="10"/>
        <v>-</v>
      </c>
      <c r="X14" t="str">
        <f t="shared" ca="1" si="80"/>
        <v>-</v>
      </c>
      <c r="Y14">
        <f t="shared" ca="1" si="11"/>
        <v>50</v>
      </c>
      <c r="Z14">
        <f t="shared" ca="1" si="12"/>
        <v>0</v>
      </c>
      <c r="AB14" s="38">
        <f t="shared" ca="1" si="13"/>
        <v>32.299999999999997</v>
      </c>
      <c r="AC14" s="38">
        <f t="shared" ca="1" si="14"/>
        <v>45.1</v>
      </c>
      <c r="AD14" s="38">
        <f t="shared" si="15"/>
        <v>-4.8</v>
      </c>
      <c r="AE14" s="47" t="str">
        <f t="shared" si="81"/>
        <v>-4.8</v>
      </c>
      <c r="AF14" s="38">
        <f t="shared" ca="1" si="82"/>
        <v>32.299999999999997</v>
      </c>
      <c r="AG14">
        <f ca="1">RANK(AF14,AF$10:AF$28)+COUNTIF(AF$10:AF14,AF14)-1</f>
        <v>8</v>
      </c>
      <c r="AH14">
        <f t="shared" ca="1" si="16"/>
        <v>4</v>
      </c>
      <c r="AI14" s="21">
        <f t="shared" ca="1" si="103"/>
        <v>5</v>
      </c>
      <c r="AJ14" s="21">
        <f t="shared" ca="1" si="17"/>
        <v>1</v>
      </c>
      <c r="AK14" s="41">
        <f t="shared" ca="1" si="83"/>
        <v>5</v>
      </c>
      <c r="AL14" s="21" t="str">
        <f t="shared" ca="1" si="18"/>
        <v>Colombia</v>
      </c>
      <c r="AM14" s="43">
        <f t="shared" ca="1" si="19"/>
        <v>53.7</v>
      </c>
      <c r="AN14" s="43" t="str">
        <f t="shared" ca="1" si="20"/>
        <v>+9.3</v>
      </c>
      <c r="AO14" s="38">
        <f t="shared" ca="1" si="21"/>
        <v>53.7</v>
      </c>
      <c r="AQ14" s="38">
        <f t="shared" ca="1" si="22"/>
        <v>34.4</v>
      </c>
      <c r="AR14" s="38">
        <f t="shared" ca="1" si="23"/>
        <v>50</v>
      </c>
      <c r="AS14" s="38">
        <f t="shared" si="24"/>
        <v>-15.6</v>
      </c>
      <c r="AT14" s="47" t="str">
        <f t="shared" si="84"/>
        <v>-15.6</v>
      </c>
      <c r="AU14" s="38">
        <f t="shared" ca="1" si="85"/>
        <v>34.4</v>
      </c>
      <c r="AV14">
        <f ca="1">RANK(AU14,AU$10:AU$28)+COUNTIF(AU$10:AU14,AU14)-1</f>
        <v>8</v>
      </c>
      <c r="AW14">
        <f t="shared" ca="1" si="25"/>
        <v>9</v>
      </c>
      <c r="AX14" s="21">
        <f t="shared" ca="1" si="104"/>
        <v>5</v>
      </c>
      <c r="AY14" s="21">
        <f t="shared" ca="1" si="26"/>
        <v>1</v>
      </c>
      <c r="AZ14" s="41">
        <f t="shared" ca="1" si="86"/>
        <v>5</v>
      </c>
      <c r="BA14" s="21" t="str">
        <f t="shared" ca="1" si="27"/>
        <v>Guatemala</v>
      </c>
      <c r="BB14" s="43">
        <f t="shared" ca="1" si="28"/>
        <v>53.1</v>
      </c>
      <c r="BC14" s="43" t="str">
        <f t="shared" ca="1" si="29"/>
        <v>+34.4</v>
      </c>
      <c r="BD14" s="38">
        <f t="shared" ca="1" si="30"/>
        <v>53.1</v>
      </c>
      <c r="BF14" s="38">
        <f t="shared" ca="1" si="31"/>
        <v>25</v>
      </c>
      <c r="BG14" s="38">
        <f t="shared" ca="1" si="32"/>
        <v>25</v>
      </c>
      <c r="BH14" s="38">
        <f t="shared" si="33"/>
        <v>0</v>
      </c>
      <c r="BI14" s="47" t="str">
        <f t="shared" si="87"/>
        <v>-</v>
      </c>
      <c r="BJ14" s="38">
        <f t="shared" ca="1" si="88"/>
        <v>25</v>
      </c>
      <c r="BK14">
        <f ca="1">RANK(BJ14,BJ$10:BJ$28)+COUNTIF(BJ$10:BJ14,BJ14)-1</f>
        <v>11</v>
      </c>
      <c r="BL14">
        <f t="shared" ca="1" si="34"/>
        <v>4</v>
      </c>
      <c r="BM14" s="21">
        <f t="shared" ca="1" si="105"/>
        <v>5</v>
      </c>
      <c r="BN14" s="21">
        <f t="shared" ca="1" si="35"/>
        <v>1</v>
      </c>
      <c r="BO14" s="41" t="str">
        <f t="shared" ca="1" si="89"/>
        <v>=5</v>
      </c>
      <c r="BP14" s="21" t="str">
        <f t="shared" ca="1" si="36"/>
        <v>Colombia</v>
      </c>
      <c r="BQ14" s="43">
        <f t="shared" ca="1" si="37"/>
        <v>50</v>
      </c>
      <c r="BR14" s="43" t="str">
        <f t="shared" ca="1" si="38"/>
        <v>+16.7</v>
      </c>
      <c r="BS14" s="38">
        <f t="shared" ca="1" si="39"/>
        <v>50</v>
      </c>
      <c r="BU14" s="38">
        <f t="shared" ca="1" si="40"/>
        <v>42.1</v>
      </c>
      <c r="BV14" s="38">
        <f t="shared" ca="1" si="41"/>
        <v>55</v>
      </c>
      <c r="BW14" s="38">
        <f t="shared" si="42"/>
        <v>-2.8</v>
      </c>
      <c r="BX14" s="47" t="str">
        <f t="shared" si="90"/>
        <v>-2.8</v>
      </c>
      <c r="BY14" s="38">
        <f t="shared" ca="1" si="91"/>
        <v>42.1</v>
      </c>
      <c r="BZ14">
        <f ca="1">RANK(BY14,BY$10:BY$28)+COUNTIF(BY$10:BY14,BY14)-1</f>
        <v>6</v>
      </c>
      <c r="CA14">
        <f t="shared" ca="1" si="43"/>
        <v>4</v>
      </c>
      <c r="CB14" s="21">
        <f t="shared" ca="1" si="106"/>
        <v>5</v>
      </c>
      <c r="CC14" s="21">
        <f t="shared" ca="1" si="44"/>
        <v>1</v>
      </c>
      <c r="CD14" s="41">
        <f t="shared" ca="1" si="92"/>
        <v>5</v>
      </c>
      <c r="CE14" s="21" t="str">
        <f t="shared" ca="1" si="45"/>
        <v>Colombia</v>
      </c>
      <c r="CF14" s="43">
        <f t="shared" ca="1" si="46"/>
        <v>46.7</v>
      </c>
      <c r="CG14" s="43" t="str">
        <f t="shared" ca="1" si="47"/>
        <v>+1.5</v>
      </c>
      <c r="CH14" s="38">
        <f t="shared" ca="1" si="48"/>
        <v>46.7</v>
      </c>
      <c r="CJ14" s="38">
        <f t="shared" ca="1" si="49"/>
        <v>40.700000000000003</v>
      </c>
      <c r="CK14" s="38">
        <f t="shared" ca="1" si="50"/>
        <v>61.3</v>
      </c>
      <c r="CL14" s="38">
        <f t="shared" si="51"/>
        <v>0</v>
      </c>
      <c r="CM14" s="47" t="str">
        <f t="shared" si="93"/>
        <v>-</v>
      </c>
      <c r="CN14" s="38">
        <f t="shared" ca="1" si="94"/>
        <v>40.700000000000003</v>
      </c>
      <c r="CO14">
        <f ca="1">RANK(CN14,CN$10:CN$28)+COUNTIF(CN$10:CN14,CN14)-1</f>
        <v>11</v>
      </c>
      <c r="CP14">
        <f t="shared" ca="1" si="52"/>
        <v>14</v>
      </c>
      <c r="CQ14" s="21">
        <f t="shared" ca="1" si="107"/>
        <v>5</v>
      </c>
      <c r="CR14" s="21">
        <f t="shared" ca="1" si="53"/>
        <v>1</v>
      </c>
      <c r="CS14" s="41">
        <f t="shared" ca="1" si="95"/>
        <v>5</v>
      </c>
      <c r="CT14" s="21" t="str">
        <f t="shared" ca="1" si="54"/>
        <v>Panama</v>
      </c>
      <c r="CU14" s="43">
        <f t="shared" ca="1" si="55"/>
        <v>58.1</v>
      </c>
      <c r="CV14" s="43" t="str">
        <f t="shared" ca="1" si="56"/>
        <v>-1</v>
      </c>
      <c r="CW14" s="38">
        <f t="shared" ca="1" si="57"/>
        <v>58.1</v>
      </c>
      <c r="CY14" s="38">
        <f t="shared" ca="1" si="58"/>
        <v>41.7</v>
      </c>
      <c r="CZ14" s="38">
        <f t="shared" ca="1" si="59"/>
        <v>41.7</v>
      </c>
      <c r="DA14" s="38">
        <f t="shared" si="60"/>
        <v>0</v>
      </c>
      <c r="DB14" s="47" t="str">
        <f t="shared" si="96"/>
        <v>-</v>
      </c>
      <c r="DC14" s="38">
        <f t="shared" ca="1" si="97"/>
        <v>41.7</v>
      </c>
      <c r="DD14">
        <f ca="1">RANK(DC14,DC$10:DC$28)+COUNTIF(DC$10:DC14,DC14)-1</f>
        <v>9</v>
      </c>
      <c r="DE14">
        <f t="shared" ca="1" si="61"/>
        <v>16</v>
      </c>
      <c r="DF14" s="21">
        <f t="shared" ca="1" si="108"/>
        <v>5</v>
      </c>
      <c r="DG14" s="21">
        <f t="shared" ca="1" si="62"/>
        <v>1</v>
      </c>
      <c r="DH14" s="41">
        <f t="shared" ca="1" si="98"/>
        <v>5</v>
      </c>
      <c r="DI14" s="21" t="str">
        <f t="shared" ca="1" si="63"/>
        <v>Peru</v>
      </c>
      <c r="DJ14" s="43">
        <f t="shared" ca="1" si="64"/>
        <v>61.1</v>
      </c>
      <c r="DK14" s="43" t="str">
        <f t="shared" ca="1" si="65"/>
        <v>+2.8</v>
      </c>
      <c r="DL14" s="38">
        <f t="shared" ca="1" si="66"/>
        <v>61.1</v>
      </c>
      <c r="DN14" s="38">
        <f t="shared" ca="1" si="67"/>
        <v>0</v>
      </c>
      <c r="DO14" s="38" t="e">
        <f t="shared" ca="1" si="68"/>
        <v>#REF!</v>
      </c>
      <c r="DP14" s="38">
        <f t="shared" si="69"/>
        <v>0</v>
      </c>
      <c r="DQ14" s="47" t="str">
        <f t="shared" si="99"/>
        <v>-</v>
      </c>
      <c r="DR14" s="38">
        <f t="shared" ca="1" si="100"/>
        <v>0</v>
      </c>
      <c r="DS14">
        <f ca="1">RANK(DR14,DR$10:DR$28)+COUNTIF(DR$10:DR14,DR14)-1</f>
        <v>14</v>
      </c>
      <c r="DT14">
        <f t="shared" ca="1" si="70"/>
        <v>12</v>
      </c>
      <c r="DU14" s="21">
        <f t="shared" ca="1" si="109"/>
        <v>2</v>
      </c>
      <c r="DV14" s="21">
        <f t="shared" ca="1" si="71"/>
        <v>1</v>
      </c>
      <c r="DW14" s="41" t="str">
        <f t="shared" ca="1" si="101"/>
        <v>=2</v>
      </c>
      <c r="DX14" s="21" t="str">
        <f t="shared" ca="1" si="72"/>
        <v>Mexico</v>
      </c>
      <c r="DY14" s="43">
        <f t="shared" ca="1" si="73"/>
        <v>50</v>
      </c>
      <c r="DZ14" s="43" t="str">
        <f t="shared" ca="1" si="74"/>
        <v>-</v>
      </c>
      <c r="EA14" s="38">
        <f t="shared" ca="1" si="75"/>
        <v>50</v>
      </c>
    </row>
    <row r="15" spans="1:131">
      <c r="A15">
        <v>6</v>
      </c>
      <c r="B15" t="str">
        <f>tblCountries!E11</f>
        <v>Dominican Rep.</v>
      </c>
      <c r="C15">
        <f>tblCountries!A11</f>
        <v>6</v>
      </c>
      <c r="D15">
        <f ca="1">tblCountries!F11</f>
        <v>1</v>
      </c>
      <c r="G15" s="38">
        <f t="shared" ca="1" si="0"/>
        <v>25</v>
      </c>
      <c r="H15" s="47">
        <f t="shared" ca="1" si="1"/>
        <v>1</v>
      </c>
      <c r="I15" s="38">
        <f t="shared" ca="1" si="2"/>
        <v>25</v>
      </c>
      <c r="J15" s="38">
        <f t="shared" ca="1" si="3"/>
        <v>1</v>
      </c>
      <c r="K15" s="47">
        <f t="shared" si="4"/>
        <v>0</v>
      </c>
      <c r="L15" s="47" t="str">
        <f t="shared" si="76"/>
        <v>-</v>
      </c>
      <c r="M15" s="47">
        <f t="shared" si="77"/>
        <v>0</v>
      </c>
      <c r="N15" s="38">
        <f t="shared" ca="1" si="78"/>
        <v>25</v>
      </c>
      <c r="O15">
        <f ca="1">RANK(N15,N$10:N$28)+COUNTIF(N$10:N15,N15)-1</f>
        <v>10</v>
      </c>
      <c r="P15">
        <f t="shared" ca="1" si="5"/>
        <v>4</v>
      </c>
      <c r="Q15" s="21">
        <f t="shared" ca="1" si="102"/>
        <v>5</v>
      </c>
      <c r="R15" s="21">
        <f t="shared" ca="1" si="6"/>
        <v>1</v>
      </c>
      <c r="S15" s="41" t="str">
        <f t="shared" ca="1" si="79"/>
        <v>=5</v>
      </c>
      <c r="T15" s="21" t="str">
        <f t="shared" ca="1" si="7"/>
        <v>Colombia</v>
      </c>
      <c r="U15" s="41" t="str">
        <f t="shared" ca="1" si="8"/>
        <v>2</v>
      </c>
      <c r="V15" s="43">
        <f t="shared" ca="1" si="9"/>
        <v>50</v>
      </c>
      <c r="W15" s="43" t="str">
        <f t="shared" ca="1" si="10"/>
        <v>+25.0</v>
      </c>
      <c r="X15" t="str">
        <f t="shared" ca="1" si="80"/>
        <v>+25.0</v>
      </c>
      <c r="Y15">
        <f t="shared" ca="1" si="11"/>
        <v>50</v>
      </c>
      <c r="Z15">
        <f t="shared" ca="1" si="12"/>
        <v>1</v>
      </c>
      <c r="AB15" s="38">
        <f t="shared" ca="1" si="13"/>
        <v>23.7</v>
      </c>
      <c r="AC15" s="38">
        <f t="shared" ca="1" si="14"/>
        <v>25.2</v>
      </c>
      <c r="AD15" s="38">
        <f t="shared" si="15"/>
        <v>-4.4000000000000004</v>
      </c>
      <c r="AE15" s="47" t="str">
        <f t="shared" si="81"/>
        <v>-4.4</v>
      </c>
      <c r="AF15" s="38">
        <f t="shared" ca="1" si="82"/>
        <v>23.7</v>
      </c>
      <c r="AG15">
        <f ca="1">RANK(AF15,AF$10:AF$28)+COUNTIF(AF$10:AF15,AF15)-1</f>
        <v>16</v>
      </c>
      <c r="AH15">
        <f t="shared" ca="1" si="16"/>
        <v>9</v>
      </c>
      <c r="AI15" s="21">
        <f t="shared" ca="1" si="103"/>
        <v>6</v>
      </c>
      <c r="AJ15" s="21">
        <f t="shared" ca="1" si="17"/>
        <v>1</v>
      </c>
      <c r="AK15" s="41">
        <f t="shared" ca="1" si="83"/>
        <v>6</v>
      </c>
      <c r="AL15" s="21" t="str">
        <f t="shared" ca="1" si="18"/>
        <v>Guatemala</v>
      </c>
      <c r="AM15" s="43">
        <f t="shared" ca="1" si="19"/>
        <v>42.4</v>
      </c>
      <c r="AN15" s="43" t="str">
        <f t="shared" ca="1" si="20"/>
        <v>+20.7</v>
      </c>
      <c r="AO15" s="38">
        <f t="shared" ca="1" si="21"/>
        <v>42.4</v>
      </c>
      <c r="AQ15" s="38">
        <f t="shared" ca="1" si="22"/>
        <v>21.9</v>
      </c>
      <c r="AR15" s="38">
        <f t="shared" ca="1" si="23"/>
        <v>16.7</v>
      </c>
      <c r="AS15" s="38">
        <f t="shared" si="24"/>
        <v>3.1</v>
      </c>
      <c r="AT15" s="47" t="str">
        <f t="shared" si="84"/>
        <v>+3.1</v>
      </c>
      <c r="AU15" s="38">
        <f t="shared" ca="1" si="85"/>
        <v>21.9</v>
      </c>
      <c r="AV15">
        <f ca="1">RANK(AU15,AU$10:AU$28)+COUNTIF(AU$10:AU15,AU15)-1</f>
        <v>15</v>
      </c>
      <c r="AW15">
        <f t="shared" ca="1" si="25"/>
        <v>4</v>
      </c>
      <c r="AX15" s="21">
        <f t="shared" ca="1" si="104"/>
        <v>6</v>
      </c>
      <c r="AY15" s="21">
        <f t="shared" ca="1" si="26"/>
        <v>1</v>
      </c>
      <c r="AZ15" s="41">
        <f t="shared" ca="1" si="86"/>
        <v>6</v>
      </c>
      <c r="BA15" s="21" t="str">
        <f t="shared" ca="1" si="27"/>
        <v>Colombia</v>
      </c>
      <c r="BB15" s="43">
        <f t="shared" ca="1" si="28"/>
        <v>50</v>
      </c>
      <c r="BC15" s="43" t="str">
        <f t="shared" ca="1" si="29"/>
        <v>+18.8</v>
      </c>
      <c r="BD15" s="38">
        <f t="shared" ca="1" si="30"/>
        <v>50</v>
      </c>
      <c r="BF15" s="38">
        <f t="shared" ca="1" si="31"/>
        <v>8.3000000000000007</v>
      </c>
      <c r="BG15" s="38">
        <f t="shared" ca="1" si="32"/>
        <v>25</v>
      </c>
      <c r="BH15" s="38">
        <f t="shared" si="33"/>
        <v>-16.7</v>
      </c>
      <c r="BI15" s="47" t="str">
        <f t="shared" si="87"/>
        <v>-16.7</v>
      </c>
      <c r="BJ15" s="38">
        <f t="shared" ca="1" si="88"/>
        <v>8.3000000000000007</v>
      </c>
      <c r="BK15">
        <f ca="1">RANK(BJ15,BJ$10:BJ$28)+COUNTIF(BJ$10:BJ15,BJ15)-1</f>
        <v>17</v>
      </c>
      <c r="BL15">
        <f t="shared" ca="1" si="34"/>
        <v>9</v>
      </c>
      <c r="BM15" s="21">
        <f t="shared" ca="1" si="105"/>
        <v>5</v>
      </c>
      <c r="BN15" s="21">
        <f t="shared" ca="1" si="35"/>
        <v>1</v>
      </c>
      <c r="BO15" s="41" t="str">
        <f t="shared" ca="1" si="89"/>
        <v>=5</v>
      </c>
      <c r="BP15" s="21" t="str">
        <f t="shared" ca="1" si="36"/>
        <v>Guatemala</v>
      </c>
      <c r="BQ15" s="43">
        <f t="shared" ca="1" si="37"/>
        <v>50</v>
      </c>
      <c r="BR15" s="43" t="str">
        <f t="shared" ca="1" si="38"/>
        <v>+25.0</v>
      </c>
      <c r="BS15" s="38">
        <f t="shared" ca="1" si="39"/>
        <v>50</v>
      </c>
      <c r="BU15" s="38">
        <f t="shared" ca="1" si="40"/>
        <v>14</v>
      </c>
      <c r="BV15" s="38">
        <f t="shared" ca="1" si="41"/>
        <v>38.6</v>
      </c>
      <c r="BW15" s="38">
        <f t="shared" si="42"/>
        <v>-18.899999999999999</v>
      </c>
      <c r="BX15" s="47" t="str">
        <f t="shared" si="90"/>
        <v>-18.9</v>
      </c>
      <c r="BY15" s="38">
        <f t="shared" ca="1" si="91"/>
        <v>14</v>
      </c>
      <c r="BZ15">
        <f ca="1">RANK(BY15,BY$10:BY$28)+COUNTIF(BY$10:BY15,BY15)-1</f>
        <v>15</v>
      </c>
      <c r="CA15">
        <f t="shared" ca="1" si="43"/>
        <v>5</v>
      </c>
      <c r="CB15" s="21">
        <f t="shared" ca="1" si="106"/>
        <v>6</v>
      </c>
      <c r="CC15" s="21">
        <f t="shared" ca="1" si="44"/>
        <v>1</v>
      </c>
      <c r="CD15" s="41">
        <f t="shared" ca="1" si="92"/>
        <v>6</v>
      </c>
      <c r="CE15" s="21" t="str">
        <f t="shared" ca="1" si="45"/>
        <v>Costa Rica</v>
      </c>
      <c r="CF15" s="43">
        <f t="shared" ca="1" si="46"/>
        <v>42.1</v>
      </c>
      <c r="CG15" s="43" t="str">
        <f t="shared" ca="1" si="47"/>
        <v>-2.8</v>
      </c>
      <c r="CH15" s="38">
        <f t="shared" ca="1" si="48"/>
        <v>42.1</v>
      </c>
      <c r="CJ15" s="38">
        <f t="shared" ca="1" si="49"/>
        <v>49.1</v>
      </c>
      <c r="CK15" s="38">
        <f t="shared" ca="1" si="50"/>
        <v>35.799999999999997</v>
      </c>
      <c r="CL15" s="38">
        <f t="shared" si="51"/>
        <v>1.4</v>
      </c>
      <c r="CM15" s="47" t="str">
        <f t="shared" si="93"/>
        <v>+1.4</v>
      </c>
      <c r="CN15" s="38">
        <f t="shared" ca="1" si="94"/>
        <v>49.1</v>
      </c>
      <c r="CO15">
        <f ca="1">RANK(CN15,CN$10:CN$28)+COUNTIF(CN$10:CN15,CN15)-1</f>
        <v>8</v>
      </c>
      <c r="CP15">
        <f t="shared" ca="1" si="52"/>
        <v>12</v>
      </c>
      <c r="CQ15" s="21">
        <f t="shared" ca="1" si="107"/>
        <v>6</v>
      </c>
      <c r="CR15" s="21">
        <f t="shared" ca="1" si="53"/>
        <v>1</v>
      </c>
      <c r="CS15" s="41">
        <f t="shared" ca="1" si="95"/>
        <v>6</v>
      </c>
      <c r="CT15" s="21" t="str">
        <f t="shared" ca="1" si="54"/>
        <v>Mexico</v>
      </c>
      <c r="CU15" s="43">
        <f t="shared" ca="1" si="55"/>
        <v>56.1</v>
      </c>
      <c r="CV15" s="43" t="str">
        <f t="shared" ca="1" si="56"/>
        <v>-5.7</v>
      </c>
      <c r="CW15" s="38">
        <f t="shared" ca="1" si="57"/>
        <v>56.1</v>
      </c>
      <c r="CY15" s="38">
        <f t="shared" ca="1" si="58"/>
        <v>30.6</v>
      </c>
      <c r="CZ15" s="38">
        <f t="shared" ca="1" si="59"/>
        <v>20.8</v>
      </c>
      <c r="DA15" s="38">
        <f t="shared" si="60"/>
        <v>8.3000000000000007</v>
      </c>
      <c r="DB15" s="47" t="str">
        <f t="shared" si="96"/>
        <v>+8.3</v>
      </c>
      <c r="DC15" s="38">
        <f t="shared" ca="1" si="97"/>
        <v>30.6</v>
      </c>
      <c r="DD15">
        <f ca="1">RANK(DC15,DC$10:DC$28)+COUNTIF(DC$10:DC15,DC15)-1</f>
        <v>11</v>
      </c>
      <c r="DE15">
        <f t="shared" ca="1" si="61"/>
        <v>17</v>
      </c>
      <c r="DF15" s="21">
        <f t="shared" ca="1" si="108"/>
        <v>6</v>
      </c>
      <c r="DG15" s="21">
        <f t="shared" ca="1" si="62"/>
        <v>1</v>
      </c>
      <c r="DH15" s="41">
        <f t="shared" ca="1" si="98"/>
        <v>6</v>
      </c>
      <c r="DI15" s="21" t="str">
        <f t="shared" ca="1" si="63"/>
        <v>Trinidad &amp; Tobago</v>
      </c>
      <c r="DJ15" s="43">
        <f t="shared" ca="1" si="64"/>
        <v>58.3</v>
      </c>
      <c r="DK15" s="43" t="str">
        <f t="shared" ca="1" si="65"/>
        <v>-</v>
      </c>
      <c r="DL15" s="38">
        <f t="shared" ca="1" si="66"/>
        <v>58.3</v>
      </c>
      <c r="DN15" s="38">
        <f t="shared" ca="1" si="67"/>
        <v>25</v>
      </c>
      <c r="DO15" s="38" t="e">
        <f t="shared" ca="1" si="68"/>
        <v>#REF!</v>
      </c>
      <c r="DP15" s="38">
        <f t="shared" si="69"/>
        <v>0</v>
      </c>
      <c r="DQ15" s="47" t="str">
        <f t="shared" si="99"/>
        <v>-</v>
      </c>
      <c r="DR15" s="38">
        <f t="shared" ca="1" si="100"/>
        <v>25</v>
      </c>
      <c r="DS15">
        <f ca="1">RANK(DR15,DR$10:DR$28)+COUNTIF(DR$10:DR15,DR15)-1</f>
        <v>7</v>
      </c>
      <c r="DT15">
        <f t="shared" ca="1" si="70"/>
        <v>16</v>
      </c>
      <c r="DU15" s="21">
        <f t="shared" ca="1" si="109"/>
        <v>2</v>
      </c>
      <c r="DV15" s="21">
        <f t="shared" ca="1" si="71"/>
        <v>1</v>
      </c>
      <c r="DW15" s="41" t="str">
        <f t="shared" ca="1" si="101"/>
        <v>=2</v>
      </c>
      <c r="DX15" s="21" t="str">
        <f t="shared" ca="1" si="72"/>
        <v>Peru</v>
      </c>
      <c r="DY15" s="43">
        <f t="shared" ca="1" si="73"/>
        <v>50</v>
      </c>
      <c r="DZ15" s="43" t="str">
        <f t="shared" ca="1" si="74"/>
        <v>-</v>
      </c>
      <c r="EA15" s="38">
        <f t="shared" ca="1" si="75"/>
        <v>50</v>
      </c>
    </row>
    <row r="16" spans="1:131">
      <c r="A16">
        <v>7</v>
      </c>
      <c r="B16" t="str">
        <f>tblCountries!E12</f>
        <v>Ecuador</v>
      </c>
      <c r="C16">
        <f>tblCountries!A12</f>
        <v>7</v>
      </c>
      <c r="D16">
        <f ca="1">tblCountries!F12</f>
        <v>1</v>
      </c>
      <c r="G16" s="38">
        <f t="shared" ca="1" si="0"/>
        <v>0</v>
      </c>
      <c r="H16" s="47">
        <f t="shared" ca="1" si="1"/>
        <v>0</v>
      </c>
      <c r="I16" s="38">
        <f t="shared" ca="1" si="2"/>
        <v>0</v>
      </c>
      <c r="J16" s="38">
        <f t="shared" ca="1" si="3"/>
        <v>0</v>
      </c>
      <c r="K16" s="47">
        <f t="shared" si="4"/>
        <v>0</v>
      </c>
      <c r="L16" s="47" t="str">
        <f t="shared" si="76"/>
        <v>-</v>
      </c>
      <c r="M16" s="47">
        <f t="shared" si="77"/>
        <v>0</v>
      </c>
      <c r="N16" s="38">
        <f t="shared" ca="1" si="78"/>
        <v>0</v>
      </c>
      <c r="O16">
        <f ca="1">RANK(N16,N$10:N$28)+COUNTIF(N$10:N16,N16)-1</f>
        <v>18</v>
      </c>
      <c r="P16">
        <f t="shared" ca="1" si="5"/>
        <v>12</v>
      </c>
      <c r="Q16" s="21">
        <f t="shared" ca="1" si="102"/>
        <v>5</v>
      </c>
      <c r="R16" s="21">
        <f t="shared" ca="1" si="6"/>
        <v>1</v>
      </c>
      <c r="S16" s="41" t="str">
        <f t="shared" ca="1" si="79"/>
        <v>=5</v>
      </c>
      <c r="T16" s="21" t="str">
        <f t="shared" ca="1" si="7"/>
        <v>Mexico</v>
      </c>
      <c r="U16" s="41" t="str">
        <f t="shared" ca="1" si="8"/>
        <v>2</v>
      </c>
      <c r="V16" s="43">
        <f t="shared" ca="1" si="9"/>
        <v>50</v>
      </c>
      <c r="W16" s="43" t="str">
        <f t="shared" ca="1" si="10"/>
        <v>-</v>
      </c>
      <c r="X16" t="str">
        <f t="shared" ca="1" si="80"/>
        <v>-</v>
      </c>
      <c r="Y16">
        <f t="shared" ca="1" si="11"/>
        <v>50</v>
      </c>
      <c r="Z16">
        <f t="shared" ca="1" si="12"/>
        <v>0</v>
      </c>
      <c r="AB16" s="38">
        <f t="shared" ca="1" si="13"/>
        <v>14.2</v>
      </c>
      <c r="AC16" s="38">
        <f t="shared" ca="1" si="14"/>
        <v>14.5</v>
      </c>
      <c r="AD16" s="38">
        <f t="shared" si="15"/>
        <v>-0.3</v>
      </c>
      <c r="AE16" s="47" t="str">
        <f t="shared" si="81"/>
        <v>-0.3</v>
      </c>
      <c r="AF16" s="38">
        <f t="shared" ca="1" si="82"/>
        <v>14.2</v>
      </c>
      <c r="AG16">
        <f ca="1">RANK(AF16,AF$10:AF$28)+COUNTIF(AF$10:AF16,AF16)-1</f>
        <v>18</v>
      </c>
      <c r="AH16">
        <f t="shared" ca="1" si="16"/>
        <v>14</v>
      </c>
      <c r="AI16" s="21">
        <f t="shared" ca="1" si="103"/>
        <v>7</v>
      </c>
      <c r="AJ16" s="21">
        <f t="shared" ca="1" si="17"/>
        <v>1</v>
      </c>
      <c r="AK16" s="41">
        <f t="shared" ca="1" si="83"/>
        <v>7</v>
      </c>
      <c r="AL16" s="21" t="str">
        <f t="shared" ca="1" si="18"/>
        <v>Panama</v>
      </c>
      <c r="AM16" s="43">
        <f t="shared" ca="1" si="19"/>
        <v>34.6</v>
      </c>
      <c r="AN16" s="43" t="str">
        <f t="shared" ca="1" si="20"/>
        <v>+8.0</v>
      </c>
      <c r="AO16" s="38">
        <f t="shared" ca="1" si="21"/>
        <v>34.6</v>
      </c>
      <c r="AQ16" s="38">
        <f t="shared" ca="1" si="22"/>
        <v>6.3</v>
      </c>
      <c r="AR16" s="38">
        <f t="shared" ca="1" si="23"/>
        <v>5.6</v>
      </c>
      <c r="AS16" s="38">
        <f t="shared" si="24"/>
        <v>0</v>
      </c>
      <c r="AT16" s="47" t="str">
        <f t="shared" si="84"/>
        <v>-</v>
      </c>
      <c r="AU16" s="38">
        <f t="shared" ca="1" si="85"/>
        <v>6.3</v>
      </c>
      <c r="AV16">
        <f ca="1">RANK(AU16,AU$10:AU$28)+COUNTIF(AU$10:AU16,AU16)-1</f>
        <v>18</v>
      </c>
      <c r="AW16">
        <f t="shared" ca="1" si="25"/>
        <v>14</v>
      </c>
      <c r="AX16" s="21">
        <f t="shared" ca="1" si="104"/>
        <v>7</v>
      </c>
      <c r="AY16" s="21">
        <f t="shared" ca="1" si="26"/>
        <v>1</v>
      </c>
      <c r="AZ16" s="41">
        <f t="shared" ca="1" si="86"/>
        <v>7</v>
      </c>
      <c r="BA16" s="21" t="str">
        <f t="shared" ca="1" si="27"/>
        <v>Panama</v>
      </c>
      <c r="BB16" s="43">
        <f t="shared" ca="1" si="28"/>
        <v>37.5</v>
      </c>
      <c r="BC16" s="43" t="str">
        <f t="shared" ca="1" si="29"/>
        <v>+12.5</v>
      </c>
      <c r="BD16" s="38">
        <f t="shared" ca="1" si="30"/>
        <v>37.5</v>
      </c>
      <c r="BF16" s="38">
        <f t="shared" ca="1" si="31"/>
        <v>0</v>
      </c>
      <c r="BG16" s="38">
        <f t="shared" ca="1" si="32"/>
        <v>0</v>
      </c>
      <c r="BH16" s="38">
        <f t="shared" si="33"/>
        <v>0</v>
      </c>
      <c r="BI16" s="47" t="str">
        <f t="shared" si="87"/>
        <v>-</v>
      </c>
      <c r="BJ16" s="38">
        <f t="shared" ca="1" si="88"/>
        <v>0</v>
      </c>
      <c r="BK16">
        <f ca="1">RANK(BJ16,BJ$10:BJ$28)+COUNTIF(BJ$10:BJ16,BJ16)-1</f>
        <v>18</v>
      </c>
      <c r="BL16">
        <f t="shared" ca="1" si="34"/>
        <v>1</v>
      </c>
      <c r="BM16" s="21">
        <f t="shared" ca="1" si="105"/>
        <v>7</v>
      </c>
      <c r="BN16" s="21">
        <f t="shared" ca="1" si="35"/>
        <v>1</v>
      </c>
      <c r="BO16" s="41" t="str">
        <f t="shared" ca="1" si="89"/>
        <v>=7</v>
      </c>
      <c r="BP16" s="21" t="str">
        <f t="shared" ca="1" si="36"/>
        <v>Argentina</v>
      </c>
      <c r="BQ16" s="43">
        <f t="shared" ca="1" si="37"/>
        <v>33.299999999999997</v>
      </c>
      <c r="BR16" s="43" t="str">
        <f t="shared" ca="1" si="38"/>
        <v>+16.7</v>
      </c>
      <c r="BS16" s="38">
        <f t="shared" ca="1" si="39"/>
        <v>33.299999999999997</v>
      </c>
      <c r="BU16" s="38">
        <f t="shared" ca="1" si="40"/>
        <v>33</v>
      </c>
      <c r="BV16" s="38">
        <f t="shared" ca="1" si="41"/>
        <v>39.4</v>
      </c>
      <c r="BW16" s="38">
        <f t="shared" si="42"/>
        <v>-1.1000000000000001</v>
      </c>
      <c r="BX16" s="47" t="str">
        <f t="shared" si="90"/>
        <v>-1.1</v>
      </c>
      <c r="BY16" s="38">
        <f t="shared" ca="1" si="91"/>
        <v>33</v>
      </c>
      <c r="BZ16">
        <f ca="1">RANK(BY16,BY$10:BY$28)+COUNTIF(BY$10:BY16,BY16)-1</f>
        <v>9</v>
      </c>
      <c r="CA16">
        <f t="shared" ca="1" si="43"/>
        <v>9</v>
      </c>
      <c r="CB16" s="21">
        <f t="shared" ca="1" si="106"/>
        <v>7</v>
      </c>
      <c r="CC16" s="21">
        <f t="shared" ca="1" si="44"/>
        <v>1</v>
      </c>
      <c r="CD16" s="41">
        <f t="shared" ca="1" si="92"/>
        <v>7</v>
      </c>
      <c r="CE16" s="21" t="str">
        <f t="shared" ca="1" si="45"/>
        <v>Guatemala</v>
      </c>
      <c r="CF16" s="43">
        <f t="shared" ca="1" si="46"/>
        <v>35.4</v>
      </c>
      <c r="CG16" s="43" t="str">
        <f t="shared" ca="1" si="47"/>
        <v>+28.7</v>
      </c>
      <c r="CH16" s="38">
        <f t="shared" ca="1" si="48"/>
        <v>35.4</v>
      </c>
      <c r="CJ16" s="38">
        <f t="shared" ca="1" si="49"/>
        <v>17.899999999999999</v>
      </c>
      <c r="CK16" s="38">
        <f t="shared" ca="1" si="50"/>
        <v>38.4</v>
      </c>
      <c r="CL16" s="38">
        <f t="shared" si="51"/>
        <v>2.1</v>
      </c>
      <c r="CM16" s="47" t="str">
        <f t="shared" si="93"/>
        <v>+2.1</v>
      </c>
      <c r="CN16" s="38">
        <f t="shared" ca="1" si="94"/>
        <v>17.899999999999999</v>
      </c>
      <c r="CO16">
        <f ca="1">RANK(CN16,CN$10:CN$28)+COUNTIF(CN$10:CN16,CN16)-1</f>
        <v>17</v>
      </c>
      <c r="CP16">
        <f t="shared" ca="1" si="52"/>
        <v>9</v>
      </c>
      <c r="CQ16" s="21">
        <f t="shared" ca="1" si="107"/>
        <v>7</v>
      </c>
      <c r="CR16" s="21">
        <f t="shared" ca="1" si="53"/>
        <v>1</v>
      </c>
      <c r="CS16" s="41">
        <f t="shared" ca="1" si="95"/>
        <v>7</v>
      </c>
      <c r="CT16" s="21" t="str">
        <f t="shared" ca="1" si="54"/>
        <v>Guatemala</v>
      </c>
      <c r="CU16" s="43">
        <f t="shared" ca="1" si="55"/>
        <v>52.9</v>
      </c>
      <c r="CV16" s="43" t="str">
        <f t="shared" ca="1" si="56"/>
        <v>+5.0</v>
      </c>
      <c r="CW16" s="38">
        <f t="shared" ca="1" si="57"/>
        <v>52.9</v>
      </c>
      <c r="CY16" s="38">
        <f t="shared" ca="1" si="58"/>
        <v>16.7</v>
      </c>
      <c r="CZ16" s="38">
        <f t="shared" ca="1" si="59"/>
        <v>16.7</v>
      </c>
      <c r="DA16" s="38">
        <f t="shared" si="60"/>
        <v>-2.8</v>
      </c>
      <c r="DB16" s="47" t="str">
        <f t="shared" si="96"/>
        <v>-2.8</v>
      </c>
      <c r="DC16" s="38">
        <f t="shared" ca="1" si="97"/>
        <v>16.7</v>
      </c>
      <c r="DD16">
        <f ca="1">RANK(DC16,DC$10:DC$28)+COUNTIF(DC$10:DC16,DC16)-1</f>
        <v>15</v>
      </c>
      <c r="DE16">
        <f t="shared" ca="1" si="61"/>
        <v>4</v>
      </c>
      <c r="DF16" s="21">
        <f t="shared" ca="1" si="108"/>
        <v>7</v>
      </c>
      <c r="DG16" s="21">
        <f t="shared" ca="1" si="62"/>
        <v>1</v>
      </c>
      <c r="DH16" s="41">
        <f t="shared" ca="1" si="98"/>
        <v>7</v>
      </c>
      <c r="DI16" s="21" t="str">
        <f t="shared" ca="1" si="63"/>
        <v>Colombia</v>
      </c>
      <c r="DJ16" s="43">
        <f t="shared" ca="1" si="64"/>
        <v>55.6</v>
      </c>
      <c r="DK16" s="43" t="str">
        <f t="shared" ca="1" si="65"/>
        <v>-</v>
      </c>
      <c r="DL16" s="38">
        <f t="shared" ca="1" si="66"/>
        <v>55.6</v>
      </c>
      <c r="DN16" s="38">
        <f t="shared" ca="1" si="67"/>
        <v>25</v>
      </c>
      <c r="DO16" s="38" t="e">
        <f t="shared" ca="1" si="68"/>
        <v>#REF!</v>
      </c>
      <c r="DP16" s="38">
        <f t="shared" si="69"/>
        <v>0</v>
      </c>
      <c r="DQ16" s="47" t="str">
        <f t="shared" si="99"/>
        <v>-</v>
      </c>
      <c r="DR16" s="38">
        <f t="shared" ca="1" si="100"/>
        <v>25</v>
      </c>
      <c r="DS16">
        <f ca="1">RANK(DR16,DR$10:DR$28)+COUNTIF(DR$10:DR16,DR16)-1</f>
        <v>8</v>
      </c>
      <c r="DT16">
        <f t="shared" ca="1" si="70"/>
        <v>6</v>
      </c>
      <c r="DU16" s="21">
        <f t="shared" ca="1" si="109"/>
        <v>7</v>
      </c>
      <c r="DV16" s="21">
        <f t="shared" ca="1" si="71"/>
        <v>1</v>
      </c>
      <c r="DW16" s="41" t="str">
        <f t="shared" ca="1" si="101"/>
        <v>=7</v>
      </c>
      <c r="DX16" s="21" t="str">
        <f t="shared" ca="1" si="72"/>
        <v>Dominican Rep.</v>
      </c>
      <c r="DY16" s="43">
        <f t="shared" ca="1" si="73"/>
        <v>25</v>
      </c>
      <c r="DZ16" s="43" t="str">
        <f t="shared" ca="1" si="74"/>
        <v>-</v>
      </c>
      <c r="EA16" s="38">
        <f t="shared" ca="1" si="75"/>
        <v>25</v>
      </c>
    </row>
    <row r="17" spans="1:131">
      <c r="A17">
        <v>8</v>
      </c>
      <c r="B17" t="str">
        <f>tblCountries!E13</f>
        <v>El Salvador</v>
      </c>
      <c r="C17">
        <f>tblCountries!A13</f>
        <v>8</v>
      </c>
      <c r="D17">
        <f ca="1">tblCountries!F13</f>
        <v>1</v>
      </c>
      <c r="G17" s="38">
        <f t="shared" ca="1" si="0"/>
        <v>25</v>
      </c>
      <c r="H17" s="47">
        <f t="shared" ca="1" si="1"/>
        <v>1</v>
      </c>
      <c r="I17" s="38">
        <f t="shared" ca="1" si="2"/>
        <v>0</v>
      </c>
      <c r="J17" s="38">
        <f t="shared" ca="1" si="3"/>
        <v>0</v>
      </c>
      <c r="K17" s="47">
        <f t="shared" si="4"/>
        <v>25</v>
      </c>
      <c r="L17" s="47" t="str">
        <f t="shared" si="76"/>
        <v>+25.0</v>
      </c>
      <c r="M17" s="47">
        <f t="shared" si="77"/>
        <v>1</v>
      </c>
      <c r="N17" s="38">
        <f t="shared" ca="1" si="78"/>
        <v>25</v>
      </c>
      <c r="O17">
        <f ca="1">RANK(N17,N$10:N$28)+COUNTIF(N$10:N17,N17)-1</f>
        <v>11</v>
      </c>
      <c r="P17">
        <f t="shared" ca="1" si="5"/>
        <v>14</v>
      </c>
      <c r="Q17" s="21">
        <f t="shared" ca="1" si="102"/>
        <v>5</v>
      </c>
      <c r="R17" s="21">
        <f t="shared" ca="1" si="6"/>
        <v>1</v>
      </c>
      <c r="S17" s="41" t="str">
        <f t="shared" ca="1" si="79"/>
        <v>=5</v>
      </c>
      <c r="T17" s="21" t="str">
        <f t="shared" ca="1" si="7"/>
        <v>Panama</v>
      </c>
      <c r="U17" s="41" t="str">
        <f t="shared" ca="1" si="8"/>
        <v>2</v>
      </c>
      <c r="V17" s="43">
        <f t="shared" ca="1" si="9"/>
        <v>50</v>
      </c>
      <c r="W17" s="43" t="str">
        <f t="shared" ca="1" si="10"/>
        <v>+25.0</v>
      </c>
      <c r="X17" t="str">
        <f t="shared" ca="1" si="80"/>
        <v>+25.0</v>
      </c>
      <c r="Y17">
        <f t="shared" ca="1" si="11"/>
        <v>50</v>
      </c>
      <c r="Z17">
        <f t="shared" ca="1" si="12"/>
        <v>1</v>
      </c>
      <c r="AB17" s="38">
        <f t="shared" ca="1" si="13"/>
        <v>30.6</v>
      </c>
      <c r="AC17" s="38">
        <f t="shared" ca="1" si="14"/>
        <v>23.9</v>
      </c>
      <c r="AD17" s="38">
        <f t="shared" si="15"/>
        <v>5.8</v>
      </c>
      <c r="AE17" s="47" t="str">
        <f t="shared" si="81"/>
        <v>+5.8</v>
      </c>
      <c r="AF17" s="38">
        <f t="shared" ca="1" si="82"/>
        <v>30.6</v>
      </c>
      <c r="AG17">
        <f ca="1">RANK(AF17,AF$10:AF$28)+COUNTIF(AF$10:AF17,AF17)-1</f>
        <v>10</v>
      </c>
      <c r="AH17">
        <f t="shared" ca="1" si="16"/>
        <v>5</v>
      </c>
      <c r="AI17" s="21">
        <f t="shared" ca="1" si="103"/>
        <v>8</v>
      </c>
      <c r="AJ17" s="21">
        <f t="shared" ca="1" si="17"/>
        <v>1</v>
      </c>
      <c r="AK17" s="41">
        <f t="shared" ca="1" si="83"/>
        <v>8</v>
      </c>
      <c r="AL17" s="21" t="str">
        <f t="shared" ca="1" si="18"/>
        <v>Costa Rica</v>
      </c>
      <c r="AM17" s="43">
        <f t="shared" ca="1" si="19"/>
        <v>32.299999999999997</v>
      </c>
      <c r="AN17" s="43" t="str">
        <f t="shared" ca="1" si="20"/>
        <v>-4.8</v>
      </c>
      <c r="AO17" s="38">
        <f t="shared" ca="1" si="21"/>
        <v>32.299999999999997</v>
      </c>
      <c r="AQ17" s="38">
        <f t="shared" ca="1" si="22"/>
        <v>28.1</v>
      </c>
      <c r="AR17" s="38">
        <f t="shared" ca="1" si="23"/>
        <v>19.399999999999999</v>
      </c>
      <c r="AS17" s="38">
        <f t="shared" si="24"/>
        <v>9.4</v>
      </c>
      <c r="AT17" s="47" t="str">
        <f t="shared" si="84"/>
        <v>+9.4</v>
      </c>
      <c r="AU17" s="38">
        <f t="shared" ca="1" si="85"/>
        <v>28.1</v>
      </c>
      <c r="AV17">
        <f ca="1">RANK(AU17,AU$10:AU$28)+COUNTIF(AU$10:AU17,AU17)-1</f>
        <v>10</v>
      </c>
      <c r="AW17">
        <f t="shared" ca="1" si="25"/>
        <v>5</v>
      </c>
      <c r="AX17" s="21">
        <f t="shared" ca="1" si="104"/>
        <v>8</v>
      </c>
      <c r="AY17" s="21">
        <f t="shared" ca="1" si="26"/>
        <v>1</v>
      </c>
      <c r="AZ17" s="41" t="str">
        <f t="shared" ca="1" si="86"/>
        <v>=8</v>
      </c>
      <c r="BA17" s="21" t="str">
        <f t="shared" ca="1" si="27"/>
        <v>Costa Rica</v>
      </c>
      <c r="BB17" s="43">
        <f t="shared" ca="1" si="28"/>
        <v>34.4</v>
      </c>
      <c r="BC17" s="43" t="str">
        <f t="shared" ca="1" si="29"/>
        <v>-15.6</v>
      </c>
      <c r="BD17" s="38">
        <f t="shared" ca="1" si="30"/>
        <v>34.4</v>
      </c>
      <c r="BF17" s="38">
        <f t="shared" ca="1" si="31"/>
        <v>33.299999999999997</v>
      </c>
      <c r="BG17" s="38">
        <f t="shared" ca="1" si="32"/>
        <v>25</v>
      </c>
      <c r="BH17" s="38">
        <f t="shared" si="33"/>
        <v>16.7</v>
      </c>
      <c r="BI17" s="47" t="str">
        <f t="shared" si="87"/>
        <v>+16.7</v>
      </c>
      <c r="BJ17" s="38">
        <f t="shared" ca="1" si="88"/>
        <v>33.299999999999997</v>
      </c>
      <c r="BK17">
        <f ca="1">RANK(BJ17,BJ$10:BJ$28)+COUNTIF(BJ$10:BJ17,BJ17)-1</f>
        <v>8</v>
      </c>
      <c r="BL17">
        <f t="shared" ca="1" si="34"/>
        <v>8</v>
      </c>
      <c r="BM17" s="21">
        <f t="shared" ca="1" si="105"/>
        <v>7</v>
      </c>
      <c r="BN17" s="21">
        <f t="shared" ca="1" si="35"/>
        <v>1</v>
      </c>
      <c r="BO17" s="41" t="str">
        <f t="shared" ca="1" si="89"/>
        <v>=7</v>
      </c>
      <c r="BP17" s="21" t="str">
        <f t="shared" ca="1" si="36"/>
        <v>El Salvador</v>
      </c>
      <c r="BQ17" s="43">
        <f t="shared" ca="1" si="37"/>
        <v>33.299999999999997</v>
      </c>
      <c r="BR17" s="43" t="str">
        <f t="shared" ca="1" si="38"/>
        <v>+16.7</v>
      </c>
      <c r="BS17" s="38">
        <f t="shared" ca="1" si="39"/>
        <v>33.299999999999997</v>
      </c>
      <c r="BU17" s="38">
        <f t="shared" ca="1" si="40"/>
        <v>25.1</v>
      </c>
      <c r="BV17" s="38">
        <f t="shared" ca="1" si="41"/>
        <v>20.8</v>
      </c>
      <c r="BW17" s="38">
        <f t="shared" si="42"/>
        <v>3.3</v>
      </c>
      <c r="BX17" s="47" t="str">
        <f t="shared" si="90"/>
        <v>+3.3</v>
      </c>
      <c r="BY17" s="38">
        <f t="shared" ca="1" si="91"/>
        <v>25.1</v>
      </c>
      <c r="BZ17">
        <f ca="1">RANK(BY17,BY$10:BY$28)+COUNTIF(BY$10:BY17,BY17)-1</f>
        <v>11</v>
      </c>
      <c r="CA17">
        <f t="shared" ca="1" si="43"/>
        <v>10</v>
      </c>
      <c r="CB17" s="21">
        <f t="shared" ca="1" si="106"/>
        <v>8</v>
      </c>
      <c r="CC17" s="21">
        <f t="shared" ca="1" si="44"/>
        <v>1</v>
      </c>
      <c r="CD17" s="41">
        <f t="shared" ca="1" si="92"/>
        <v>8</v>
      </c>
      <c r="CE17" s="21" t="str">
        <f t="shared" ca="1" si="45"/>
        <v>Honduras</v>
      </c>
      <c r="CF17" s="43">
        <f t="shared" ca="1" si="46"/>
        <v>35.1</v>
      </c>
      <c r="CG17" s="43" t="str">
        <f t="shared" ca="1" si="47"/>
        <v>+15.6</v>
      </c>
      <c r="CH17" s="38">
        <f t="shared" ca="1" si="48"/>
        <v>35.1</v>
      </c>
      <c r="CJ17" s="38">
        <f t="shared" ca="1" si="49"/>
        <v>40.299999999999997</v>
      </c>
      <c r="CK17" s="38">
        <f t="shared" ca="1" si="50"/>
        <v>58.4</v>
      </c>
      <c r="CL17" s="38">
        <f t="shared" si="51"/>
        <v>-6.6</v>
      </c>
      <c r="CM17" s="47" t="str">
        <f t="shared" si="93"/>
        <v>-6.6</v>
      </c>
      <c r="CN17" s="38">
        <f t="shared" ca="1" si="94"/>
        <v>40.299999999999997</v>
      </c>
      <c r="CO17">
        <f ca="1">RANK(CN17,CN$10:CN$28)+COUNTIF(CN$10:CN17,CN17)-1</f>
        <v>12</v>
      </c>
      <c r="CP17">
        <f t="shared" ca="1" si="52"/>
        <v>6</v>
      </c>
      <c r="CQ17" s="21">
        <f t="shared" ca="1" si="107"/>
        <v>8</v>
      </c>
      <c r="CR17" s="21">
        <f t="shared" ca="1" si="53"/>
        <v>1</v>
      </c>
      <c r="CS17" s="41">
        <f t="shared" ca="1" si="95"/>
        <v>8</v>
      </c>
      <c r="CT17" s="21" t="str">
        <f t="shared" ca="1" si="54"/>
        <v>Dominican Rep.</v>
      </c>
      <c r="CU17" s="43">
        <f t="shared" ca="1" si="55"/>
        <v>49.1</v>
      </c>
      <c r="CV17" s="43" t="str">
        <f t="shared" ca="1" si="56"/>
        <v>+1.4</v>
      </c>
      <c r="CW17" s="38">
        <f t="shared" ca="1" si="57"/>
        <v>49.1</v>
      </c>
      <c r="CY17" s="38">
        <f t="shared" ca="1" si="58"/>
        <v>47.2</v>
      </c>
      <c r="CZ17" s="38">
        <f t="shared" ca="1" si="59"/>
        <v>45.8</v>
      </c>
      <c r="DA17" s="38">
        <f t="shared" si="60"/>
        <v>0</v>
      </c>
      <c r="DB17" s="47" t="str">
        <f t="shared" si="96"/>
        <v>-</v>
      </c>
      <c r="DC17" s="38">
        <f t="shared" ca="1" si="97"/>
        <v>47.2</v>
      </c>
      <c r="DD17">
        <f ca="1">RANK(DC17,DC$10:DC$28)+COUNTIF(DC$10:DC17,DC17)-1</f>
        <v>8</v>
      </c>
      <c r="DE17">
        <f t="shared" ca="1" si="61"/>
        <v>8</v>
      </c>
      <c r="DF17" s="21">
        <f t="shared" ca="1" si="108"/>
        <v>8</v>
      </c>
      <c r="DG17" s="21">
        <f t="shared" ca="1" si="62"/>
        <v>1</v>
      </c>
      <c r="DH17" s="41">
        <f t="shared" ca="1" si="98"/>
        <v>8</v>
      </c>
      <c r="DI17" s="21" t="str">
        <f t="shared" ca="1" si="63"/>
        <v>El Salvador</v>
      </c>
      <c r="DJ17" s="43">
        <f t="shared" ca="1" si="64"/>
        <v>47.2</v>
      </c>
      <c r="DK17" s="43" t="str">
        <f t="shared" ca="1" si="65"/>
        <v>-</v>
      </c>
      <c r="DL17" s="38">
        <f t="shared" ca="1" si="66"/>
        <v>47.2</v>
      </c>
      <c r="DN17" s="38">
        <f t="shared" ca="1" si="67"/>
        <v>0</v>
      </c>
      <c r="DO17" s="38" t="e">
        <f t="shared" ca="1" si="68"/>
        <v>#REF!</v>
      </c>
      <c r="DP17" s="38">
        <f t="shared" si="69"/>
        <v>0</v>
      </c>
      <c r="DQ17" s="47" t="str">
        <f t="shared" si="99"/>
        <v>-</v>
      </c>
      <c r="DR17" s="38">
        <f t="shared" ca="1" si="100"/>
        <v>0</v>
      </c>
      <c r="DS17">
        <f ca="1">RANK(DR17,DR$10:DR$28)+COUNTIF(DR$10:DR17,DR17)-1</f>
        <v>15</v>
      </c>
      <c r="DT17">
        <f t="shared" ca="1" si="70"/>
        <v>7</v>
      </c>
      <c r="DU17" s="21">
        <f t="shared" ca="1" si="109"/>
        <v>7</v>
      </c>
      <c r="DV17" s="21">
        <f t="shared" ca="1" si="71"/>
        <v>1</v>
      </c>
      <c r="DW17" s="41" t="str">
        <f t="shared" ca="1" si="101"/>
        <v>=7</v>
      </c>
      <c r="DX17" s="21" t="str">
        <f t="shared" ca="1" si="72"/>
        <v>Ecuador</v>
      </c>
      <c r="DY17" s="43">
        <f t="shared" ca="1" si="73"/>
        <v>25</v>
      </c>
      <c r="DZ17" s="43" t="str">
        <f t="shared" ca="1" si="74"/>
        <v>-</v>
      </c>
      <c r="EA17" s="38">
        <f t="shared" ca="1" si="75"/>
        <v>25</v>
      </c>
    </row>
    <row r="18" spans="1:131">
      <c r="A18">
        <v>9</v>
      </c>
      <c r="B18" t="str">
        <f>tblCountries!E14</f>
        <v>Guatemala</v>
      </c>
      <c r="C18">
        <f>tblCountries!A14</f>
        <v>9</v>
      </c>
      <c r="D18">
        <f ca="1">tblCountries!F14</f>
        <v>1</v>
      </c>
      <c r="G18" s="38">
        <f t="shared" ca="1" si="0"/>
        <v>75</v>
      </c>
      <c r="H18" s="47">
        <f t="shared" ca="1" si="1"/>
        <v>3</v>
      </c>
      <c r="I18" s="38">
        <f t="shared" ca="1" si="2"/>
        <v>25</v>
      </c>
      <c r="J18" s="38">
        <f t="shared" ca="1" si="3"/>
        <v>1</v>
      </c>
      <c r="K18" s="47">
        <f t="shared" si="4"/>
        <v>50</v>
      </c>
      <c r="L18" s="47" t="str">
        <f t="shared" si="76"/>
        <v>+50.0</v>
      </c>
      <c r="M18" s="47">
        <f t="shared" si="77"/>
        <v>1</v>
      </c>
      <c r="N18" s="38">
        <f t="shared" ca="1" si="78"/>
        <v>75</v>
      </c>
      <c r="O18">
        <f ca="1">RANK(N18,N$10:N$28)+COUNTIF(N$10:N18,N18)-1</f>
        <v>3</v>
      </c>
      <c r="P18">
        <f t="shared" ca="1" si="5"/>
        <v>5</v>
      </c>
      <c r="Q18" s="21">
        <f t="shared" ca="1" si="102"/>
        <v>9</v>
      </c>
      <c r="R18" s="21">
        <f t="shared" ca="1" si="6"/>
        <v>1</v>
      </c>
      <c r="S18" s="41" t="str">
        <f t="shared" ca="1" si="79"/>
        <v>=9</v>
      </c>
      <c r="T18" s="21" t="str">
        <f t="shared" ca="1" si="7"/>
        <v>Costa Rica</v>
      </c>
      <c r="U18" s="41" t="str">
        <f t="shared" ca="1" si="8"/>
        <v>1</v>
      </c>
      <c r="V18" s="43">
        <f t="shared" ca="1" si="9"/>
        <v>25</v>
      </c>
      <c r="W18" s="43" t="str">
        <f t="shared" ca="1" si="10"/>
        <v>-25.0</v>
      </c>
      <c r="X18" t="str">
        <f t="shared" ca="1" si="80"/>
        <v>-25.0</v>
      </c>
      <c r="Y18">
        <f t="shared" ca="1" si="11"/>
        <v>25</v>
      </c>
      <c r="Z18">
        <f t="shared" ca="1" si="12"/>
        <v>-1</v>
      </c>
      <c r="AB18" s="38">
        <f t="shared" ca="1" si="13"/>
        <v>42.4</v>
      </c>
      <c r="AC18" s="38">
        <f t="shared" ca="1" si="14"/>
        <v>18</v>
      </c>
      <c r="AD18" s="38">
        <f t="shared" si="15"/>
        <v>20.7</v>
      </c>
      <c r="AE18" s="47" t="str">
        <f t="shared" si="81"/>
        <v>+20.7</v>
      </c>
      <c r="AF18" s="38">
        <f t="shared" ca="1" si="82"/>
        <v>42.4</v>
      </c>
      <c r="AG18">
        <f ca="1">RANK(AF18,AF$10:AF$28)+COUNTIF(AF$10:AF18,AF18)-1</f>
        <v>6</v>
      </c>
      <c r="AH18">
        <f t="shared" ca="1" si="16"/>
        <v>18</v>
      </c>
      <c r="AI18" s="21">
        <f t="shared" ca="1" si="103"/>
        <v>9</v>
      </c>
      <c r="AJ18" s="21">
        <f t="shared" ca="1" si="17"/>
        <v>1</v>
      </c>
      <c r="AK18" s="41">
        <f t="shared" ca="1" si="83"/>
        <v>9</v>
      </c>
      <c r="AL18" s="21" t="str">
        <f t="shared" ca="1" si="18"/>
        <v>Uruguay</v>
      </c>
      <c r="AM18" s="43">
        <f t="shared" ca="1" si="19"/>
        <v>31.8</v>
      </c>
      <c r="AN18" s="43" t="str">
        <f t="shared" ca="1" si="20"/>
        <v>+4.7</v>
      </c>
      <c r="AO18" s="38">
        <f t="shared" ca="1" si="21"/>
        <v>31.8</v>
      </c>
      <c r="AQ18" s="38">
        <f t="shared" ca="1" si="22"/>
        <v>53.1</v>
      </c>
      <c r="AR18" s="38">
        <f t="shared" ca="1" si="23"/>
        <v>16.7</v>
      </c>
      <c r="AS18" s="38">
        <f t="shared" si="24"/>
        <v>34.4</v>
      </c>
      <c r="AT18" s="47" t="str">
        <f t="shared" si="84"/>
        <v>+34.4</v>
      </c>
      <c r="AU18" s="38">
        <f t="shared" ca="1" si="85"/>
        <v>53.1</v>
      </c>
      <c r="AV18">
        <f ca="1">RANK(AU18,AU$10:AU$28)+COUNTIF(AU$10:AU18,AU18)-1</f>
        <v>5</v>
      </c>
      <c r="AW18">
        <f t="shared" ca="1" si="25"/>
        <v>18</v>
      </c>
      <c r="AX18" s="21">
        <f t="shared" ca="1" si="104"/>
        <v>8</v>
      </c>
      <c r="AY18" s="21">
        <f t="shared" ca="1" si="26"/>
        <v>1</v>
      </c>
      <c r="AZ18" s="41" t="str">
        <f t="shared" ca="1" si="86"/>
        <v>=8</v>
      </c>
      <c r="BA18" s="21" t="str">
        <f t="shared" ca="1" si="27"/>
        <v>Uruguay</v>
      </c>
      <c r="BB18" s="43">
        <f t="shared" ca="1" si="28"/>
        <v>34.4</v>
      </c>
      <c r="BC18" s="43" t="str">
        <f t="shared" ca="1" si="29"/>
        <v>+9.4</v>
      </c>
      <c r="BD18" s="38">
        <f t="shared" ca="1" si="30"/>
        <v>34.4</v>
      </c>
      <c r="BF18" s="38">
        <f t="shared" ca="1" si="31"/>
        <v>50</v>
      </c>
      <c r="BG18" s="38">
        <f t="shared" ca="1" si="32"/>
        <v>25</v>
      </c>
      <c r="BH18" s="38">
        <f t="shared" si="33"/>
        <v>25</v>
      </c>
      <c r="BI18" s="47" t="str">
        <f t="shared" si="87"/>
        <v>+25.0</v>
      </c>
      <c r="BJ18" s="38">
        <f t="shared" ca="1" si="88"/>
        <v>50</v>
      </c>
      <c r="BK18">
        <f ca="1">RANK(BJ18,BJ$10:BJ$28)+COUNTIF(BJ$10:BJ18,BJ18)-1</f>
        <v>6</v>
      </c>
      <c r="BL18">
        <f t="shared" ca="1" si="34"/>
        <v>10</v>
      </c>
      <c r="BM18" s="21">
        <f t="shared" ca="1" si="105"/>
        <v>7</v>
      </c>
      <c r="BN18" s="21">
        <f t="shared" ca="1" si="35"/>
        <v>1</v>
      </c>
      <c r="BO18" s="41" t="str">
        <f t="shared" ca="1" si="89"/>
        <v>=7</v>
      </c>
      <c r="BP18" s="21" t="str">
        <f t="shared" ca="1" si="36"/>
        <v>Honduras</v>
      </c>
      <c r="BQ18" s="43">
        <f t="shared" ca="1" si="37"/>
        <v>33.299999999999997</v>
      </c>
      <c r="BR18" s="43" t="str">
        <f t="shared" ca="1" si="38"/>
        <v>-</v>
      </c>
      <c r="BS18" s="38">
        <f t="shared" ca="1" si="39"/>
        <v>33.299999999999997</v>
      </c>
      <c r="BU18" s="38">
        <f t="shared" ca="1" si="40"/>
        <v>35.4</v>
      </c>
      <c r="BV18" s="38">
        <f t="shared" ca="1" si="41"/>
        <v>8.6999999999999993</v>
      </c>
      <c r="BW18" s="38">
        <f t="shared" si="42"/>
        <v>28.7</v>
      </c>
      <c r="BX18" s="47" t="str">
        <f t="shared" si="90"/>
        <v>+28.7</v>
      </c>
      <c r="BY18" s="38">
        <f t="shared" ca="1" si="91"/>
        <v>35.4</v>
      </c>
      <c r="BZ18">
        <f ca="1">RANK(BY18,BY$10:BY$28)+COUNTIF(BY$10:BY18,BY18)-1</f>
        <v>7</v>
      </c>
      <c r="CA18">
        <f t="shared" ca="1" si="43"/>
        <v>7</v>
      </c>
      <c r="CB18" s="21">
        <f t="shared" ca="1" si="106"/>
        <v>9</v>
      </c>
      <c r="CC18" s="21">
        <f t="shared" ca="1" si="44"/>
        <v>1</v>
      </c>
      <c r="CD18" s="41">
        <f t="shared" ca="1" si="92"/>
        <v>9</v>
      </c>
      <c r="CE18" s="21" t="str">
        <f t="shared" ca="1" si="45"/>
        <v>Ecuador</v>
      </c>
      <c r="CF18" s="43">
        <f t="shared" ca="1" si="46"/>
        <v>33</v>
      </c>
      <c r="CG18" s="43" t="str">
        <f t="shared" ca="1" si="47"/>
        <v>-1.1</v>
      </c>
      <c r="CH18" s="38">
        <f t="shared" ca="1" si="48"/>
        <v>33</v>
      </c>
      <c r="CJ18" s="38">
        <f t="shared" ca="1" si="49"/>
        <v>52.9</v>
      </c>
      <c r="CK18" s="38">
        <f t="shared" ca="1" si="50"/>
        <v>33.4</v>
      </c>
      <c r="CL18" s="38">
        <f t="shared" si="51"/>
        <v>5</v>
      </c>
      <c r="CM18" s="47" t="str">
        <f t="shared" si="93"/>
        <v>+5.0</v>
      </c>
      <c r="CN18" s="38">
        <f t="shared" ca="1" si="94"/>
        <v>52.9</v>
      </c>
      <c r="CO18">
        <f ca="1">RANK(CN18,CN$10:CN$28)+COUNTIF(CN$10:CN18,CN18)-1</f>
        <v>7</v>
      </c>
      <c r="CP18">
        <f t="shared" ca="1" si="52"/>
        <v>10</v>
      </c>
      <c r="CQ18" s="21">
        <f t="shared" ca="1" si="107"/>
        <v>9</v>
      </c>
      <c r="CR18" s="21">
        <f t="shared" ca="1" si="53"/>
        <v>1</v>
      </c>
      <c r="CS18" s="41">
        <f t="shared" ca="1" si="95"/>
        <v>9</v>
      </c>
      <c r="CT18" s="21" t="str">
        <f t="shared" ca="1" si="54"/>
        <v>Honduras</v>
      </c>
      <c r="CU18" s="43">
        <f t="shared" ca="1" si="55"/>
        <v>47.1</v>
      </c>
      <c r="CV18" s="43" t="str">
        <f t="shared" ca="1" si="56"/>
        <v>-1.8</v>
      </c>
      <c r="CW18" s="38">
        <f t="shared" ca="1" si="57"/>
        <v>47.1</v>
      </c>
      <c r="CY18" s="38">
        <f t="shared" ca="1" si="58"/>
        <v>22.2</v>
      </c>
      <c r="CZ18" s="38">
        <f t="shared" ca="1" si="59"/>
        <v>29.2</v>
      </c>
      <c r="DA18" s="38">
        <f t="shared" si="60"/>
        <v>0</v>
      </c>
      <c r="DB18" s="47" t="str">
        <f t="shared" si="96"/>
        <v>-</v>
      </c>
      <c r="DC18" s="38">
        <f t="shared" ca="1" si="97"/>
        <v>22.2</v>
      </c>
      <c r="DD18">
        <f ca="1">RANK(DC18,DC$10:DC$28)+COUNTIF(DC$10:DC18,DC18)-1</f>
        <v>14</v>
      </c>
      <c r="DE18">
        <f t="shared" ca="1" si="61"/>
        <v>5</v>
      </c>
      <c r="DF18" s="21">
        <f t="shared" ca="1" si="108"/>
        <v>9</v>
      </c>
      <c r="DG18" s="21">
        <f t="shared" ca="1" si="62"/>
        <v>1</v>
      </c>
      <c r="DH18" s="41">
        <f t="shared" ca="1" si="98"/>
        <v>9</v>
      </c>
      <c r="DI18" s="21" t="str">
        <f t="shared" ca="1" si="63"/>
        <v>Costa Rica</v>
      </c>
      <c r="DJ18" s="43">
        <f t="shared" ca="1" si="64"/>
        <v>41.7</v>
      </c>
      <c r="DK18" s="43" t="str">
        <f t="shared" ca="1" si="65"/>
        <v>-</v>
      </c>
      <c r="DL18" s="38">
        <f t="shared" ca="1" si="66"/>
        <v>41.7</v>
      </c>
      <c r="DN18" s="38">
        <f t="shared" ca="1" si="67"/>
        <v>25</v>
      </c>
      <c r="DO18" s="38" t="e">
        <f t="shared" ca="1" si="68"/>
        <v>#REF!</v>
      </c>
      <c r="DP18" s="38">
        <f t="shared" si="69"/>
        <v>0</v>
      </c>
      <c r="DQ18" s="47" t="str">
        <f t="shared" si="99"/>
        <v>-</v>
      </c>
      <c r="DR18" s="38">
        <f t="shared" ca="1" si="100"/>
        <v>25</v>
      </c>
      <c r="DS18">
        <f ca="1">RANK(DR18,DR$10:DR$28)+COUNTIF(DR$10:DR18,DR18)-1</f>
        <v>9</v>
      </c>
      <c r="DT18">
        <f t="shared" ca="1" si="70"/>
        <v>9</v>
      </c>
      <c r="DU18" s="21">
        <f t="shared" ca="1" si="109"/>
        <v>7</v>
      </c>
      <c r="DV18" s="21">
        <f t="shared" ca="1" si="71"/>
        <v>1</v>
      </c>
      <c r="DW18" s="41" t="str">
        <f t="shared" ca="1" si="101"/>
        <v>=7</v>
      </c>
      <c r="DX18" s="21" t="str">
        <f t="shared" ca="1" si="72"/>
        <v>Guatemala</v>
      </c>
      <c r="DY18" s="43">
        <f t="shared" ca="1" si="73"/>
        <v>25</v>
      </c>
      <c r="DZ18" s="43" t="str">
        <f t="shared" ca="1" si="74"/>
        <v>-</v>
      </c>
      <c r="EA18" s="38">
        <f t="shared" ca="1" si="75"/>
        <v>25</v>
      </c>
    </row>
    <row r="19" spans="1:131">
      <c r="A19">
        <v>10</v>
      </c>
      <c r="B19" t="str">
        <f>tblCountries!E15</f>
        <v>Honduras</v>
      </c>
      <c r="C19">
        <f>tblCountries!A15</f>
        <v>10</v>
      </c>
      <c r="D19">
        <f ca="1">tblCountries!F15</f>
        <v>1</v>
      </c>
      <c r="G19" s="38">
        <f t="shared" ca="1" si="0"/>
        <v>25</v>
      </c>
      <c r="H19" s="47">
        <f t="shared" ca="1" si="1"/>
        <v>1</v>
      </c>
      <c r="I19" s="38">
        <f t="shared" ca="1" si="2"/>
        <v>0</v>
      </c>
      <c r="J19" s="38">
        <f t="shared" ca="1" si="3"/>
        <v>0</v>
      </c>
      <c r="K19" s="47">
        <f t="shared" si="4"/>
        <v>25</v>
      </c>
      <c r="L19" s="47" t="str">
        <f t="shared" si="76"/>
        <v>+25.0</v>
      </c>
      <c r="M19" s="47">
        <f t="shared" si="77"/>
        <v>1</v>
      </c>
      <c r="N19" s="38">
        <f t="shared" ca="1" si="78"/>
        <v>25</v>
      </c>
      <c r="O19">
        <f ca="1">RANK(N19,N$10:N$28)+COUNTIF(N$10:N19,N19)-1</f>
        <v>12</v>
      </c>
      <c r="P19">
        <f t="shared" ca="1" si="5"/>
        <v>6</v>
      </c>
      <c r="Q19" s="21">
        <f t="shared" ca="1" si="102"/>
        <v>9</v>
      </c>
      <c r="R19" s="21">
        <f t="shared" ca="1" si="6"/>
        <v>1</v>
      </c>
      <c r="S19" s="41" t="str">
        <f t="shared" ca="1" si="79"/>
        <v>=9</v>
      </c>
      <c r="T19" s="21" t="str">
        <f t="shared" ca="1" si="7"/>
        <v>Dominican Rep.</v>
      </c>
      <c r="U19" s="41" t="str">
        <f t="shared" ca="1" si="8"/>
        <v>1</v>
      </c>
      <c r="V19" s="43">
        <f t="shared" ca="1" si="9"/>
        <v>25</v>
      </c>
      <c r="W19" s="43" t="str">
        <f t="shared" ca="1" si="10"/>
        <v>-</v>
      </c>
      <c r="X19" t="str">
        <f t="shared" ca="1" si="80"/>
        <v>-</v>
      </c>
      <c r="Y19">
        <f t="shared" ca="1" si="11"/>
        <v>25</v>
      </c>
      <c r="Z19">
        <f t="shared" ca="1" si="12"/>
        <v>0</v>
      </c>
      <c r="AB19" s="38">
        <f t="shared" ca="1" si="13"/>
        <v>24.6</v>
      </c>
      <c r="AC19" s="38">
        <f t="shared" ca="1" si="14"/>
        <v>23.7</v>
      </c>
      <c r="AD19" s="38">
        <f t="shared" si="15"/>
        <v>2.8</v>
      </c>
      <c r="AE19" s="47" t="str">
        <f t="shared" si="81"/>
        <v>+2.8</v>
      </c>
      <c r="AF19" s="38">
        <f t="shared" ca="1" si="82"/>
        <v>24.6</v>
      </c>
      <c r="AG19">
        <f ca="1">RANK(AF19,AF$10:AF$28)+COUNTIF(AF$10:AF19,AF19)-1</f>
        <v>14</v>
      </c>
      <c r="AH19">
        <f t="shared" ca="1" si="16"/>
        <v>8</v>
      </c>
      <c r="AI19" s="21">
        <f t="shared" ca="1" si="103"/>
        <v>10</v>
      </c>
      <c r="AJ19" s="21">
        <f t="shared" ca="1" si="17"/>
        <v>1</v>
      </c>
      <c r="AK19" s="41">
        <f t="shared" ca="1" si="83"/>
        <v>10</v>
      </c>
      <c r="AL19" s="21" t="str">
        <f t="shared" ca="1" si="18"/>
        <v>El Salvador</v>
      </c>
      <c r="AM19" s="43">
        <f t="shared" ca="1" si="19"/>
        <v>30.6</v>
      </c>
      <c r="AN19" s="43" t="str">
        <f t="shared" ca="1" si="20"/>
        <v>+5.8</v>
      </c>
      <c r="AO19" s="38">
        <f t="shared" ca="1" si="21"/>
        <v>30.6</v>
      </c>
      <c r="AQ19" s="38">
        <f t="shared" ca="1" si="22"/>
        <v>15.6</v>
      </c>
      <c r="AR19" s="38">
        <f t="shared" ca="1" si="23"/>
        <v>16.7</v>
      </c>
      <c r="AS19" s="38">
        <f t="shared" si="24"/>
        <v>0</v>
      </c>
      <c r="AT19" s="47" t="str">
        <f t="shared" si="84"/>
        <v>-</v>
      </c>
      <c r="AU19" s="38">
        <f t="shared" ca="1" si="85"/>
        <v>15.6</v>
      </c>
      <c r="AV19">
        <f ca="1">RANK(AU19,AU$10:AU$28)+COUNTIF(AU$10:AU19,AU19)-1</f>
        <v>17</v>
      </c>
      <c r="AW19">
        <f t="shared" ca="1" si="25"/>
        <v>8</v>
      </c>
      <c r="AX19" s="21">
        <f t="shared" ca="1" si="104"/>
        <v>10</v>
      </c>
      <c r="AY19" s="21">
        <f t="shared" ca="1" si="26"/>
        <v>1</v>
      </c>
      <c r="AZ19" s="41">
        <f t="shared" ca="1" si="86"/>
        <v>10</v>
      </c>
      <c r="BA19" s="21" t="str">
        <f t="shared" ca="1" si="27"/>
        <v>El Salvador</v>
      </c>
      <c r="BB19" s="43">
        <f t="shared" ca="1" si="28"/>
        <v>28.1</v>
      </c>
      <c r="BC19" s="43" t="str">
        <f t="shared" ca="1" si="29"/>
        <v>+9.4</v>
      </c>
      <c r="BD19" s="38">
        <f t="shared" ca="1" si="30"/>
        <v>28.1</v>
      </c>
      <c r="BF19" s="38">
        <f t="shared" ca="1" si="31"/>
        <v>33.299999999999997</v>
      </c>
      <c r="BG19" s="38">
        <f t="shared" ca="1" si="32"/>
        <v>37.5</v>
      </c>
      <c r="BH19" s="38">
        <f t="shared" si="33"/>
        <v>0</v>
      </c>
      <c r="BI19" s="47" t="str">
        <f t="shared" si="87"/>
        <v>-</v>
      </c>
      <c r="BJ19" s="38">
        <f t="shared" ca="1" si="88"/>
        <v>33.299999999999997</v>
      </c>
      <c r="BK19">
        <f ca="1">RANK(BJ19,BJ$10:BJ$28)+COUNTIF(BJ$10:BJ19,BJ19)-1</f>
        <v>9</v>
      </c>
      <c r="BL19">
        <f t="shared" ca="1" si="34"/>
        <v>18</v>
      </c>
      <c r="BM19" s="21">
        <f t="shared" ca="1" si="105"/>
        <v>7</v>
      </c>
      <c r="BN19" s="21">
        <f t="shared" ca="1" si="35"/>
        <v>1</v>
      </c>
      <c r="BO19" s="41" t="str">
        <f t="shared" ca="1" si="89"/>
        <v>=7</v>
      </c>
      <c r="BP19" s="21" t="str">
        <f t="shared" ca="1" si="36"/>
        <v>Uruguay</v>
      </c>
      <c r="BQ19" s="43">
        <f t="shared" ca="1" si="37"/>
        <v>33.299999999999997</v>
      </c>
      <c r="BR19" s="43" t="str">
        <f t="shared" ca="1" si="38"/>
        <v>-</v>
      </c>
      <c r="BS19" s="38">
        <f t="shared" ca="1" si="39"/>
        <v>33.299999999999997</v>
      </c>
      <c r="BU19" s="38">
        <f t="shared" ca="1" si="40"/>
        <v>35.1</v>
      </c>
      <c r="BV19" s="38">
        <f t="shared" ca="1" si="41"/>
        <v>21.3</v>
      </c>
      <c r="BW19" s="38">
        <f t="shared" si="42"/>
        <v>15.6</v>
      </c>
      <c r="BX19" s="47" t="str">
        <f t="shared" si="90"/>
        <v>+15.6</v>
      </c>
      <c r="BY19" s="38">
        <f t="shared" ca="1" si="91"/>
        <v>35.1</v>
      </c>
      <c r="BZ19">
        <f ca="1">RANK(BY19,BY$10:BY$28)+COUNTIF(BY$10:BY19,BY19)-1</f>
        <v>8</v>
      </c>
      <c r="CA19">
        <f t="shared" ca="1" si="43"/>
        <v>11</v>
      </c>
      <c r="CB19" s="21">
        <f t="shared" ca="1" si="106"/>
        <v>10</v>
      </c>
      <c r="CC19" s="21">
        <f t="shared" ca="1" si="44"/>
        <v>1</v>
      </c>
      <c r="CD19" s="41">
        <f t="shared" ca="1" si="92"/>
        <v>10</v>
      </c>
      <c r="CE19" s="21" t="str">
        <f t="shared" ca="1" si="45"/>
        <v>Jamaica</v>
      </c>
      <c r="CF19" s="43">
        <f t="shared" ca="1" si="46"/>
        <v>25.3</v>
      </c>
      <c r="CG19" s="43" t="str">
        <f t="shared" ca="1" si="47"/>
        <v>+9.2</v>
      </c>
      <c r="CH19" s="38">
        <f t="shared" ca="1" si="48"/>
        <v>25.3</v>
      </c>
      <c r="CJ19" s="38">
        <f t="shared" ca="1" si="49"/>
        <v>47.1</v>
      </c>
      <c r="CK19" s="38">
        <f t="shared" ca="1" si="50"/>
        <v>39.799999999999997</v>
      </c>
      <c r="CL19" s="38">
        <f t="shared" si="51"/>
        <v>-1.8</v>
      </c>
      <c r="CM19" s="47" t="str">
        <f t="shared" si="93"/>
        <v>-1.8</v>
      </c>
      <c r="CN19" s="38">
        <f t="shared" ca="1" si="94"/>
        <v>47.1</v>
      </c>
      <c r="CO19">
        <f ca="1">RANK(CN19,CN$10:CN$28)+COUNTIF(CN$10:CN19,CN19)-1</f>
        <v>9</v>
      </c>
      <c r="CP19">
        <f t="shared" ca="1" si="52"/>
        <v>18</v>
      </c>
      <c r="CQ19" s="21">
        <f t="shared" ca="1" si="107"/>
        <v>10</v>
      </c>
      <c r="CR19" s="21">
        <f t="shared" ca="1" si="53"/>
        <v>1</v>
      </c>
      <c r="CS19" s="41">
        <f t="shared" ca="1" si="95"/>
        <v>10</v>
      </c>
      <c r="CT19" s="21" t="str">
        <f t="shared" ca="1" si="54"/>
        <v>Uruguay</v>
      </c>
      <c r="CU19" s="43">
        <f t="shared" ca="1" si="55"/>
        <v>43.7</v>
      </c>
      <c r="CV19" s="43" t="str">
        <f t="shared" ca="1" si="56"/>
        <v>+1.5</v>
      </c>
      <c r="CW19" s="38">
        <f t="shared" ca="1" si="57"/>
        <v>43.7</v>
      </c>
      <c r="CY19" s="38">
        <f t="shared" ca="1" si="58"/>
        <v>11.1</v>
      </c>
      <c r="CZ19" s="38">
        <f t="shared" ca="1" si="59"/>
        <v>8.3000000000000007</v>
      </c>
      <c r="DA19" s="38">
        <f t="shared" si="60"/>
        <v>2.8</v>
      </c>
      <c r="DB19" s="47" t="str">
        <f t="shared" si="96"/>
        <v>+2.8</v>
      </c>
      <c r="DC19" s="38">
        <f t="shared" ca="1" si="97"/>
        <v>11.1</v>
      </c>
      <c r="DD19">
        <f ca="1">RANK(DC19,DC$10:DC$28)+COUNTIF(DC$10:DC19,DC19)-1</f>
        <v>18</v>
      </c>
      <c r="DE19">
        <f t="shared" ca="1" si="61"/>
        <v>1</v>
      </c>
      <c r="DF19" s="21">
        <f t="shared" ca="1" si="108"/>
        <v>10</v>
      </c>
      <c r="DG19" s="21">
        <f t="shared" ca="1" si="62"/>
        <v>1</v>
      </c>
      <c r="DH19" s="41">
        <f t="shared" ca="1" si="98"/>
        <v>10</v>
      </c>
      <c r="DI19" s="21" t="str">
        <f t="shared" ca="1" si="63"/>
        <v>Argentina</v>
      </c>
      <c r="DJ19" s="43">
        <f t="shared" ca="1" si="64"/>
        <v>33.299999999999997</v>
      </c>
      <c r="DK19" s="43" t="str">
        <f t="shared" ca="1" si="65"/>
        <v>+5.6</v>
      </c>
      <c r="DL19" s="38">
        <f t="shared" ca="1" si="66"/>
        <v>33.299999999999997</v>
      </c>
      <c r="DN19" s="38">
        <f t="shared" ca="1" si="67"/>
        <v>0</v>
      </c>
      <c r="DO19" s="38" t="e">
        <f t="shared" ca="1" si="68"/>
        <v>#REF!</v>
      </c>
      <c r="DP19" s="38">
        <f t="shared" si="69"/>
        <v>0</v>
      </c>
      <c r="DQ19" s="47" t="str">
        <f t="shared" si="99"/>
        <v>-</v>
      </c>
      <c r="DR19" s="38">
        <f t="shared" ca="1" si="100"/>
        <v>0</v>
      </c>
      <c r="DS19">
        <f ca="1">RANK(DR19,DR$10:DR$28)+COUNTIF(DR$10:DR19,DR19)-1</f>
        <v>16</v>
      </c>
      <c r="DT19">
        <f t="shared" ca="1" si="70"/>
        <v>11</v>
      </c>
      <c r="DU19" s="21">
        <f t="shared" ca="1" si="109"/>
        <v>7</v>
      </c>
      <c r="DV19" s="21">
        <f t="shared" ca="1" si="71"/>
        <v>1</v>
      </c>
      <c r="DW19" s="41" t="str">
        <f t="shared" ca="1" si="101"/>
        <v>=7</v>
      </c>
      <c r="DX19" s="21" t="str">
        <f t="shared" ca="1" si="72"/>
        <v>Jamaica</v>
      </c>
      <c r="DY19" s="43">
        <f t="shared" ca="1" si="73"/>
        <v>25</v>
      </c>
      <c r="DZ19" s="43" t="str">
        <f t="shared" ca="1" si="74"/>
        <v>-</v>
      </c>
      <c r="EA19" s="38">
        <f t="shared" ca="1" si="75"/>
        <v>25</v>
      </c>
    </row>
    <row r="20" spans="1:131">
      <c r="A20">
        <v>11</v>
      </c>
      <c r="B20" t="str">
        <f>tblCountries!E16</f>
        <v>Jamaica</v>
      </c>
      <c r="C20">
        <f>tblCountries!A16</f>
        <v>11</v>
      </c>
      <c r="D20">
        <f ca="1">tblCountries!F16</f>
        <v>1</v>
      </c>
      <c r="G20" s="38">
        <f t="shared" ca="1" si="0"/>
        <v>25</v>
      </c>
      <c r="H20" s="47">
        <f t="shared" ca="1" si="1"/>
        <v>1</v>
      </c>
      <c r="I20" s="38">
        <f t="shared" ca="1" si="2"/>
        <v>25</v>
      </c>
      <c r="J20" s="38">
        <f t="shared" ca="1" si="3"/>
        <v>1</v>
      </c>
      <c r="K20" s="47">
        <f t="shared" si="4"/>
        <v>0</v>
      </c>
      <c r="L20" s="47" t="str">
        <f t="shared" si="76"/>
        <v>-</v>
      </c>
      <c r="M20" s="47">
        <f t="shared" si="77"/>
        <v>0</v>
      </c>
      <c r="N20" s="38">
        <f t="shared" ca="1" si="78"/>
        <v>25</v>
      </c>
      <c r="O20">
        <f ca="1">RANK(N20,N$10:N$28)+COUNTIF(N$10:N20,N20)-1</f>
        <v>13</v>
      </c>
      <c r="P20">
        <f t="shared" ca="1" si="5"/>
        <v>8</v>
      </c>
      <c r="Q20" s="21">
        <f t="shared" ca="1" si="102"/>
        <v>9</v>
      </c>
      <c r="R20" s="21">
        <f t="shared" ca="1" si="6"/>
        <v>1</v>
      </c>
      <c r="S20" s="41" t="str">
        <f t="shared" ca="1" si="79"/>
        <v>=9</v>
      </c>
      <c r="T20" s="21" t="str">
        <f t="shared" ca="1" si="7"/>
        <v>El Salvador</v>
      </c>
      <c r="U20" s="41" t="str">
        <f t="shared" ca="1" si="8"/>
        <v>1</v>
      </c>
      <c r="V20" s="43">
        <f t="shared" ca="1" si="9"/>
        <v>25</v>
      </c>
      <c r="W20" s="43" t="str">
        <f t="shared" ca="1" si="10"/>
        <v>+25.0</v>
      </c>
      <c r="X20" t="str">
        <f t="shared" ca="1" si="80"/>
        <v>+25.0</v>
      </c>
      <c r="Y20">
        <f t="shared" ca="1" si="11"/>
        <v>25</v>
      </c>
      <c r="Z20">
        <f t="shared" ca="1" si="12"/>
        <v>1</v>
      </c>
      <c r="AB20" s="38">
        <f t="shared" ca="1" si="13"/>
        <v>25.4</v>
      </c>
      <c r="AC20" s="38">
        <f t="shared" ca="1" si="14"/>
        <v>25.1</v>
      </c>
      <c r="AD20" s="38">
        <f t="shared" si="15"/>
        <v>-1.8</v>
      </c>
      <c r="AE20" s="47" t="str">
        <f t="shared" si="81"/>
        <v>-1.8</v>
      </c>
      <c r="AF20" s="38">
        <f t="shared" ca="1" si="82"/>
        <v>25.4</v>
      </c>
      <c r="AG20">
        <f ca="1">RANK(AF20,AF$10:AF$28)+COUNTIF(AF$10:AF20,AF20)-1</f>
        <v>13</v>
      </c>
      <c r="AH20">
        <f t="shared" ca="1" si="16"/>
        <v>17</v>
      </c>
      <c r="AI20" s="21">
        <f t="shared" ca="1" si="103"/>
        <v>11</v>
      </c>
      <c r="AJ20" s="21">
        <f t="shared" ca="1" si="17"/>
        <v>1</v>
      </c>
      <c r="AK20" s="41">
        <f t="shared" ca="1" si="83"/>
        <v>11</v>
      </c>
      <c r="AL20" s="21" t="str">
        <f t="shared" ca="1" si="18"/>
        <v>Trinidad &amp; Tobago</v>
      </c>
      <c r="AM20" s="43">
        <f t="shared" ca="1" si="19"/>
        <v>29.9</v>
      </c>
      <c r="AN20" s="43" t="str">
        <f t="shared" ca="1" si="20"/>
        <v>+0.4</v>
      </c>
      <c r="AO20" s="38">
        <f t="shared" ca="1" si="21"/>
        <v>29.9</v>
      </c>
      <c r="AQ20" s="38">
        <f t="shared" ca="1" si="22"/>
        <v>25</v>
      </c>
      <c r="AR20" s="38">
        <f t="shared" ca="1" si="23"/>
        <v>25</v>
      </c>
      <c r="AS20" s="38">
        <f t="shared" si="24"/>
        <v>0</v>
      </c>
      <c r="AT20" s="47" t="str">
        <f t="shared" si="84"/>
        <v>-</v>
      </c>
      <c r="AU20" s="38">
        <f t="shared" ca="1" si="85"/>
        <v>25</v>
      </c>
      <c r="AV20">
        <f ca="1">RANK(AU20,AU$10:AU$28)+COUNTIF(AU$10:AU20,AU20)-1</f>
        <v>11</v>
      </c>
      <c r="AW20">
        <f t="shared" ca="1" si="25"/>
        <v>11</v>
      </c>
      <c r="AX20" s="21">
        <f t="shared" ca="1" si="104"/>
        <v>11</v>
      </c>
      <c r="AY20" s="21">
        <f t="shared" ca="1" si="26"/>
        <v>1</v>
      </c>
      <c r="AZ20" s="41" t="str">
        <f t="shared" ca="1" si="86"/>
        <v>=11</v>
      </c>
      <c r="BA20" s="21" t="str">
        <f t="shared" ca="1" si="27"/>
        <v>Jamaica</v>
      </c>
      <c r="BB20" s="43">
        <f t="shared" ca="1" si="28"/>
        <v>25</v>
      </c>
      <c r="BC20" s="43" t="str">
        <f t="shared" ca="1" si="29"/>
        <v>-</v>
      </c>
      <c r="BD20" s="38">
        <f t="shared" ca="1" si="30"/>
        <v>25</v>
      </c>
      <c r="BF20" s="38">
        <f t="shared" ca="1" si="31"/>
        <v>25</v>
      </c>
      <c r="BG20" s="38">
        <f t="shared" ca="1" si="32"/>
        <v>37.5</v>
      </c>
      <c r="BH20" s="38">
        <f t="shared" si="33"/>
        <v>-16.7</v>
      </c>
      <c r="BI20" s="47" t="str">
        <f t="shared" si="87"/>
        <v>-16.7</v>
      </c>
      <c r="BJ20" s="38">
        <f t="shared" ca="1" si="88"/>
        <v>25</v>
      </c>
      <c r="BK20">
        <f ca="1">RANK(BJ20,BJ$10:BJ$28)+COUNTIF(BJ$10:BJ20,BJ20)-1</f>
        <v>12</v>
      </c>
      <c r="BL20">
        <f t="shared" ca="1" si="34"/>
        <v>5</v>
      </c>
      <c r="BM20" s="21">
        <f t="shared" ca="1" si="105"/>
        <v>11</v>
      </c>
      <c r="BN20" s="21">
        <f t="shared" ca="1" si="35"/>
        <v>1</v>
      </c>
      <c r="BO20" s="41" t="str">
        <f t="shared" ca="1" si="89"/>
        <v>=11</v>
      </c>
      <c r="BP20" s="21" t="str">
        <f t="shared" ca="1" si="36"/>
        <v>Costa Rica</v>
      </c>
      <c r="BQ20" s="43">
        <f t="shared" ca="1" si="37"/>
        <v>25</v>
      </c>
      <c r="BR20" s="43" t="str">
        <f t="shared" ca="1" si="38"/>
        <v>-</v>
      </c>
      <c r="BS20" s="38">
        <f t="shared" ca="1" si="39"/>
        <v>25</v>
      </c>
      <c r="BU20" s="38">
        <f t="shared" ca="1" si="40"/>
        <v>25.3</v>
      </c>
      <c r="BV20" s="38">
        <f t="shared" ca="1" si="41"/>
        <v>17</v>
      </c>
      <c r="BW20" s="38">
        <f t="shared" si="42"/>
        <v>9.1999999999999993</v>
      </c>
      <c r="BX20" s="47" t="str">
        <f t="shared" si="90"/>
        <v>+9.2</v>
      </c>
      <c r="BY20" s="38">
        <f t="shared" ca="1" si="91"/>
        <v>25.3</v>
      </c>
      <c r="BZ20">
        <f ca="1">RANK(BY20,BY$10:BY$28)+COUNTIF(BY$10:BY20,BY20)-1</f>
        <v>10</v>
      </c>
      <c r="CA20">
        <f t="shared" ca="1" si="43"/>
        <v>8</v>
      </c>
      <c r="CB20" s="21">
        <f t="shared" ca="1" si="106"/>
        <v>11</v>
      </c>
      <c r="CC20" s="21">
        <f t="shared" ca="1" si="44"/>
        <v>1</v>
      </c>
      <c r="CD20" s="41">
        <f t="shared" ca="1" si="92"/>
        <v>11</v>
      </c>
      <c r="CE20" s="21" t="str">
        <f t="shared" ca="1" si="45"/>
        <v>El Salvador</v>
      </c>
      <c r="CF20" s="43">
        <f t="shared" ca="1" si="46"/>
        <v>25.1</v>
      </c>
      <c r="CG20" s="43" t="str">
        <f t="shared" ca="1" si="47"/>
        <v>+3.3</v>
      </c>
      <c r="CH20" s="38">
        <f t="shared" ca="1" si="48"/>
        <v>25.1</v>
      </c>
      <c r="CJ20" s="38">
        <f t="shared" ca="1" si="49"/>
        <v>35.9</v>
      </c>
      <c r="CK20" s="38">
        <f t="shared" ca="1" si="50"/>
        <v>13.3</v>
      </c>
      <c r="CL20" s="38">
        <f t="shared" si="51"/>
        <v>-0.7</v>
      </c>
      <c r="CM20" s="47" t="str">
        <f t="shared" si="93"/>
        <v>-0.7</v>
      </c>
      <c r="CN20" s="38">
        <f t="shared" ca="1" si="94"/>
        <v>35.9</v>
      </c>
      <c r="CO20">
        <f ca="1">RANK(CN20,CN$10:CN$28)+COUNTIF(CN$10:CN20,CN20)-1</f>
        <v>14</v>
      </c>
      <c r="CP20">
        <f t="shared" ca="1" si="52"/>
        <v>5</v>
      </c>
      <c r="CQ20" s="21">
        <f t="shared" ca="1" si="107"/>
        <v>11</v>
      </c>
      <c r="CR20" s="21">
        <f t="shared" ca="1" si="53"/>
        <v>1</v>
      </c>
      <c r="CS20" s="41">
        <f t="shared" ca="1" si="95"/>
        <v>11</v>
      </c>
      <c r="CT20" s="21" t="str">
        <f t="shared" ca="1" si="54"/>
        <v>Costa Rica</v>
      </c>
      <c r="CU20" s="43">
        <f t="shared" ca="1" si="55"/>
        <v>40.700000000000003</v>
      </c>
      <c r="CV20" s="43" t="str">
        <f t="shared" ca="1" si="56"/>
        <v>-</v>
      </c>
      <c r="CW20" s="38">
        <f t="shared" ca="1" si="57"/>
        <v>40.700000000000003</v>
      </c>
      <c r="CY20" s="38">
        <f t="shared" ca="1" si="58"/>
        <v>16.7</v>
      </c>
      <c r="CZ20" s="38">
        <f t="shared" ca="1" si="59"/>
        <v>12.5</v>
      </c>
      <c r="DA20" s="38">
        <f t="shared" si="60"/>
        <v>2.8</v>
      </c>
      <c r="DB20" s="47" t="str">
        <f t="shared" si="96"/>
        <v>+2.8</v>
      </c>
      <c r="DC20" s="38">
        <f t="shared" ca="1" si="97"/>
        <v>16.7</v>
      </c>
      <c r="DD20">
        <f ca="1">RANK(DC20,DC$10:DC$28)+COUNTIF(DC$10:DC20,DC20)-1</f>
        <v>16</v>
      </c>
      <c r="DE20">
        <f t="shared" ca="1" si="61"/>
        <v>6</v>
      </c>
      <c r="DF20" s="21">
        <f t="shared" ca="1" si="108"/>
        <v>11</v>
      </c>
      <c r="DG20" s="21">
        <f t="shared" ca="1" si="62"/>
        <v>1</v>
      </c>
      <c r="DH20" s="41" t="str">
        <f t="shared" ca="1" si="98"/>
        <v>=11</v>
      </c>
      <c r="DI20" s="21" t="str">
        <f t="shared" ca="1" si="63"/>
        <v>Dominican Rep.</v>
      </c>
      <c r="DJ20" s="43">
        <f t="shared" ca="1" si="64"/>
        <v>30.6</v>
      </c>
      <c r="DK20" s="43" t="str">
        <f t="shared" ca="1" si="65"/>
        <v>+8.3</v>
      </c>
      <c r="DL20" s="38">
        <f t="shared" ca="1" si="66"/>
        <v>30.6</v>
      </c>
      <c r="DN20" s="38">
        <f t="shared" ca="1" si="67"/>
        <v>25</v>
      </c>
      <c r="DO20" s="38" t="e">
        <f t="shared" ca="1" si="68"/>
        <v>#REF!</v>
      </c>
      <c r="DP20" s="38">
        <f t="shared" si="69"/>
        <v>0</v>
      </c>
      <c r="DQ20" s="47" t="str">
        <f t="shared" si="99"/>
        <v>-</v>
      </c>
      <c r="DR20" s="38">
        <f t="shared" ca="1" si="100"/>
        <v>25</v>
      </c>
      <c r="DS20">
        <f ca="1">RANK(DR20,DR$10:DR$28)+COUNTIF(DR$10:DR20,DR20)-1</f>
        <v>10</v>
      </c>
      <c r="DT20">
        <f t="shared" ca="1" si="70"/>
        <v>15</v>
      </c>
      <c r="DU20" s="21">
        <f t="shared" ca="1" si="109"/>
        <v>7</v>
      </c>
      <c r="DV20" s="21">
        <f t="shared" ca="1" si="71"/>
        <v>1</v>
      </c>
      <c r="DW20" s="41" t="str">
        <f t="shared" ca="1" si="101"/>
        <v>=7</v>
      </c>
      <c r="DX20" s="21" t="str">
        <f t="shared" ca="1" si="72"/>
        <v>Paraguay</v>
      </c>
      <c r="DY20" s="43">
        <f t="shared" ca="1" si="73"/>
        <v>25</v>
      </c>
      <c r="DZ20" s="43" t="str">
        <f t="shared" ca="1" si="74"/>
        <v>-</v>
      </c>
      <c r="EA20" s="38">
        <f t="shared" ca="1" si="75"/>
        <v>25</v>
      </c>
    </row>
    <row r="21" spans="1:131">
      <c r="A21">
        <v>12</v>
      </c>
      <c r="B21" t="str">
        <f>tblCountries!E17</f>
        <v>Mexico</v>
      </c>
      <c r="C21">
        <f>tblCountries!A17</f>
        <v>12</v>
      </c>
      <c r="D21">
        <f ca="1">tblCountries!F17</f>
        <v>1</v>
      </c>
      <c r="G21" s="38">
        <f t="shared" ca="1" si="0"/>
        <v>50</v>
      </c>
      <c r="H21" s="47">
        <f t="shared" ca="1" si="1"/>
        <v>2</v>
      </c>
      <c r="I21" s="38">
        <f t="shared" ca="1" si="2"/>
        <v>50</v>
      </c>
      <c r="J21" s="38">
        <f t="shared" ca="1" si="3"/>
        <v>2</v>
      </c>
      <c r="K21" s="47">
        <f t="shared" si="4"/>
        <v>0</v>
      </c>
      <c r="L21" s="47" t="str">
        <f t="shared" si="76"/>
        <v>-</v>
      </c>
      <c r="M21" s="47">
        <f t="shared" si="77"/>
        <v>0</v>
      </c>
      <c r="N21" s="38">
        <f t="shared" ca="1" si="78"/>
        <v>50</v>
      </c>
      <c r="O21">
        <f ca="1">RANK(N21,N$10:N$28)+COUNTIF(N$10:N21,N21)-1</f>
        <v>7</v>
      </c>
      <c r="P21">
        <f t="shared" ca="1" si="5"/>
        <v>10</v>
      </c>
      <c r="Q21" s="21">
        <f t="shared" ca="1" si="102"/>
        <v>9</v>
      </c>
      <c r="R21" s="21">
        <f t="shared" ca="1" si="6"/>
        <v>1</v>
      </c>
      <c r="S21" s="41" t="str">
        <f t="shared" ca="1" si="79"/>
        <v>=9</v>
      </c>
      <c r="T21" s="21" t="str">
        <f t="shared" ca="1" si="7"/>
        <v>Honduras</v>
      </c>
      <c r="U21" s="41" t="str">
        <f t="shared" ca="1" si="8"/>
        <v>1</v>
      </c>
      <c r="V21" s="43">
        <f t="shared" ca="1" si="9"/>
        <v>25</v>
      </c>
      <c r="W21" s="43" t="str">
        <f t="shared" ca="1" si="10"/>
        <v>+25.0</v>
      </c>
      <c r="X21" t="str">
        <f t="shared" ca="1" si="80"/>
        <v>+25.0</v>
      </c>
      <c r="Y21">
        <f t="shared" ca="1" si="11"/>
        <v>25</v>
      </c>
      <c r="Z21">
        <f t="shared" ca="1" si="12"/>
        <v>1</v>
      </c>
      <c r="AB21" s="38">
        <f t="shared" ca="1" si="13"/>
        <v>58.1</v>
      </c>
      <c r="AC21" s="38">
        <f t="shared" ca="1" si="14"/>
        <v>47.5</v>
      </c>
      <c r="AD21" s="38">
        <f t="shared" si="15"/>
        <v>8.1999999999999993</v>
      </c>
      <c r="AE21" s="47" t="str">
        <f t="shared" si="81"/>
        <v>+8.2</v>
      </c>
      <c r="AF21" s="38">
        <f t="shared" ca="1" si="82"/>
        <v>58.1</v>
      </c>
      <c r="AG21">
        <f ca="1">RANK(AF21,AF$10:AF$28)+COUNTIF(AF$10:AF21,AF21)-1</f>
        <v>4</v>
      </c>
      <c r="AH21">
        <f t="shared" ca="1" si="16"/>
        <v>1</v>
      </c>
      <c r="AI21" s="21">
        <f t="shared" ca="1" si="103"/>
        <v>12</v>
      </c>
      <c r="AJ21" s="21">
        <f t="shared" ca="1" si="17"/>
        <v>1</v>
      </c>
      <c r="AK21" s="41">
        <f t="shared" ca="1" si="83"/>
        <v>12</v>
      </c>
      <c r="AL21" s="21" t="str">
        <f t="shared" ca="1" si="18"/>
        <v>Argentina</v>
      </c>
      <c r="AM21" s="43">
        <f t="shared" ca="1" si="19"/>
        <v>27.5</v>
      </c>
      <c r="AN21" s="43" t="str">
        <f t="shared" ca="1" si="20"/>
        <v>+0.9</v>
      </c>
      <c r="AO21" s="38">
        <f t="shared" ca="1" si="21"/>
        <v>27.5</v>
      </c>
      <c r="AQ21" s="38">
        <f t="shared" ca="1" si="22"/>
        <v>56.3</v>
      </c>
      <c r="AR21" s="38">
        <f t="shared" ca="1" si="23"/>
        <v>50</v>
      </c>
      <c r="AS21" s="38">
        <f t="shared" si="24"/>
        <v>6.3</v>
      </c>
      <c r="AT21" s="47" t="str">
        <f t="shared" si="84"/>
        <v>+6.3</v>
      </c>
      <c r="AU21" s="38">
        <f t="shared" ca="1" si="85"/>
        <v>56.3</v>
      </c>
      <c r="AV21">
        <f ca="1">RANK(AU21,AU$10:AU$28)+COUNTIF(AU$10:AU21,AU21)-1</f>
        <v>4</v>
      </c>
      <c r="AW21">
        <f t="shared" ca="1" si="25"/>
        <v>15</v>
      </c>
      <c r="AX21" s="21">
        <f t="shared" ca="1" si="104"/>
        <v>11</v>
      </c>
      <c r="AY21" s="21">
        <f t="shared" ca="1" si="26"/>
        <v>1</v>
      </c>
      <c r="AZ21" s="41" t="str">
        <f t="shared" ca="1" si="86"/>
        <v>=11</v>
      </c>
      <c r="BA21" s="21" t="str">
        <f t="shared" ca="1" si="27"/>
        <v>Paraguay</v>
      </c>
      <c r="BB21" s="43">
        <f t="shared" ca="1" si="28"/>
        <v>25</v>
      </c>
      <c r="BC21" s="43" t="str">
        <f t="shared" ca="1" si="29"/>
        <v>-</v>
      </c>
      <c r="BD21" s="38">
        <f t="shared" ca="1" si="30"/>
        <v>25</v>
      </c>
      <c r="BF21" s="38">
        <f t="shared" ca="1" si="31"/>
        <v>58.3</v>
      </c>
      <c r="BG21" s="38">
        <f t="shared" ca="1" si="32"/>
        <v>37.5</v>
      </c>
      <c r="BH21" s="38">
        <f t="shared" si="33"/>
        <v>25</v>
      </c>
      <c r="BI21" s="47" t="str">
        <f t="shared" si="87"/>
        <v>+25.0</v>
      </c>
      <c r="BJ21" s="38">
        <f t="shared" ca="1" si="88"/>
        <v>58.3</v>
      </c>
      <c r="BK21">
        <f ca="1">RANK(BJ21,BJ$10:BJ$28)+COUNTIF(BJ$10:BJ21,BJ21)-1</f>
        <v>4</v>
      </c>
      <c r="BL21">
        <f t="shared" ca="1" si="34"/>
        <v>11</v>
      </c>
      <c r="BM21" s="21">
        <f t="shared" ca="1" si="105"/>
        <v>11</v>
      </c>
      <c r="BN21" s="21">
        <f t="shared" ca="1" si="35"/>
        <v>1</v>
      </c>
      <c r="BO21" s="41" t="str">
        <f t="shared" ca="1" si="89"/>
        <v>=11</v>
      </c>
      <c r="BP21" s="21" t="str">
        <f t="shared" ca="1" si="36"/>
        <v>Jamaica</v>
      </c>
      <c r="BQ21" s="43">
        <f t="shared" ca="1" si="37"/>
        <v>25</v>
      </c>
      <c r="BR21" s="43" t="str">
        <f t="shared" ca="1" si="38"/>
        <v>-16.7</v>
      </c>
      <c r="BS21" s="38">
        <f t="shared" ca="1" si="39"/>
        <v>25</v>
      </c>
      <c r="BU21" s="38">
        <f t="shared" ca="1" si="40"/>
        <v>54</v>
      </c>
      <c r="BV21" s="38">
        <f t="shared" ca="1" si="41"/>
        <v>47.3</v>
      </c>
      <c r="BW21" s="38">
        <f t="shared" si="42"/>
        <v>8.1</v>
      </c>
      <c r="BX21" s="47" t="str">
        <f t="shared" si="90"/>
        <v>+8.1</v>
      </c>
      <c r="BY21" s="38">
        <f t="shared" ca="1" si="91"/>
        <v>54</v>
      </c>
      <c r="BZ21">
        <f ca="1">RANK(BY21,BY$10:BY$28)+COUNTIF(BY$10:BY21,BY21)-1</f>
        <v>3</v>
      </c>
      <c r="CA21">
        <f t="shared" ca="1" si="43"/>
        <v>18</v>
      </c>
      <c r="CB21" s="21">
        <f t="shared" ca="1" si="106"/>
        <v>12</v>
      </c>
      <c r="CC21" s="21">
        <f t="shared" ca="1" si="44"/>
        <v>1</v>
      </c>
      <c r="CD21" s="41">
        <f t="shared" ca="1" si="92"/>
        <v>12</v>
      </c>
      <c r="CE21" s="21" t="str">
        <f t="shared" ca="1" si="45"/>
        <v>Uruguay</v>
      </c>
      <c r="CF21" s="43">
        <f t="shared" ca="1" si="46"/>
        <v>19.3</v>
      </c>
      <c r="CG21" s="43" t="str">
        <f t="shared" ca="1" si="47"/>
        <v>+5.6</v>
      </c>
      <c r="CH21" s="38">
        <f t="shared" ca="1" si="48"/>
        <v>19.3</v>
      </c>
      <c r="CJ21" s="38">
        <f t="shared" ca="1" si="49"/>
        <v>56.1</v>
      </c>
      <c r="CK21" s="38">
        <f t="shared" ca="1" si="50"/>
        <v>65.099999999999994</v>
      </c>
      <c r="CL21" s="38">
        <f t="shared" si="51"/>
        <v>-5.7</v>
      </c>
      <c r="CM21" s="47" t="str">
        <f t="shared" si="93"/>
        <v>-5.7</v>
      </c>
      <c r="CN21" s="38">
        <f t="shared" ca="1" si="94"/>
        <v>56.1</v>
      </c>
      <c r="CO21">
        <f ca="1">RANK(CN21,CN$10:CN$28)+COUNTIF(CN$10:CN21,CN21)-1</f>
        <v>6</v>
      </c>
      <c r="CP21">
        <f t="shared" ca="1" si="52"/>
        <v>8</v>
      </c>
      <c r="CQ21" s="21">
        <f t="shared" ca="1" si="107"/>
        <v>12</v>
      </c>
      <c r="CR21" s="21">
        <f t="shared" ca="1" si="53"/>
        <v>1</v>
      </c>
      <c r="CS21" s="41">
        <f t="shared" ca="1" si="95"/>
        <v>12</v>
      </c>
      <c r="CT21" s="21" t="str">
        <f t="shared" ca="1" si="54"/>
        <v>El Salvador</v>
      </c>
      <c r="CU21" s="43">
        <f t="shared" ca="1" si="55"/>
        <v>40.299999999999997</v>
      </c>
      <c r="CV21" s="43" t="str">
        <f t="shared" ca="1" si="56"/>
        <v>-6.6</v>
      </c>
      <c r="CW21" s="38">
        <f t="shared" ca="1" si="57"/>
        <v>40.299999999999997</v>
      </c>
      <c r="CY21" s="38">
        <f t="shared" ca="1" si="58"/>
        <v>72.2</v>
      </c>
      <c r="CZ21" s="38">
        <f t="shared" ca="1" si="59"/>
        <v>66.7</v>
      </c>
      <c r="DA21" s="38">
        <f t="shared" si="60"/>
        <v>2.8</v>
      </c>
      <c r="DB21" s="47" t="str">
        <f t="shared" si="96"/>
        <v>+2.8</v>
      </c>
      <c r="DC21" s="38">
        <f t="shared" ca="1" si="97"/>
        <v>72.2</v>
      </c>
      <c r="DD21">
        <f ca="1">RANK(DC21,DC$10:DC$28)+COUNTIF(DC$10:DC21,DC21)-1</f>
        <v>3</v>
      </c>
      <c r="DE21">
        <f t="shared" ca="1" si="61"/>
        <v>18</v>
      </c>
      <c r="DF21" s="21">
        <f t="shared" ca="1" si="108"/>
        <v>11</v>
      </c>
      <c r="DG21" s="21">
        <f t="shared" ca="1" si="62"/>
        <v>1</v>
      </c>
      <c r="DH21" s="41" t="str">
        <f t="shared" ca="1" si="98"/>
        <v>=11</v>
      </c>
      <c r="DI21" s="21" t="str">
        <f t="shared" ca="1" si="63"/>
        <v>Uruguay</v>
      </c>
      <c r="DJ21" s="43">
        <f t="shared" ca="1" si="64"/>
        <v>30.6</v>
      </c>
      <c r="DK21" s="43" t="str">
        <f t="shared" ca="1" si="65"/>
        <v>+5.6</v>
      </c>
      <c r="DL21" s="38">
        <f t="shared" ca="1" si="66"/>
        <v>30.6</v>
      </c>
      <c r="DN21" s="38">
        <f t="shared" ca="1" si="67"/>
        <v>50</v>
      </c>
      <c r="DO21" s="38" t="e">
        <f t="shared" ca="1" si="68"/>
        <v>#REF!</v>
      </c>
      <c r="DP21" s="38">
        <f t="shared" si="69"/>
        <v>0</v>
      </c>
      <c r="DQ21" s="47" t="str">
        <f t="shared" si="99"/>
        <v>-</v>
      </c>
      <c r="DR21" s="38">
        <f t="shared" ca="1" si="100"/>
        <v>50</v>
      </c>
      <c r="DS21">
        <f ca="1">RANK(DR21,DR$10:DR$28)+COUNTIF(DR$10:DR21,DR21)-1</f>
        <v>5</v>
      </c>
      <c r="DT21">
        <f t="shared" ca="1" si="70"/>
        <v>17</v>
      </c>
      <c r="DU21" s="21">
        <f t="shared" ca="1" si="109"/>
        <v>7</v>
      </c>
      <c r="DV21" s="21">
        <f t="shared" ca="1" si="71"/>
        <v>1</v>
      </c>
      <c r="DW21" s="41" t="str">
        <f t="shared" ca="1" si="101"/>
        <v>=7</v>
      </c>
      <c r="DX21" s="21" t="str">
        <f t="shared" ca="1" si="72"/>
        <v>Trinidad &amp; Tobago</v>
      </c>
      <c r="DY21" s="43">
        <f t="shared" ca="1" si="73"/>
        <v>25</v>
      </c>
      <c r="DZ21" s="43" t="str">
        <f t="shared" ca="1" si="74"/>
        <v>-</v>
      </c>
      <c r="EA21" s="38">
        <f t="shared" ca="1" si="75"/>
        <v>25</v>
      </c>
    </row>
    <row r="22" spans="1:131">
      <c r="A22">
        <v>13</v>
      </c>
      <c r="B22" t="str">
        <f>tblCountries!E18</f>
        <v>Nicaragua</v>
      </c>
      <c r="C22">
        <f>tblCountries!A18</f>
        <v>13</v>
      </c>
      <c r="D22">
        <f ca="1">tblCountries!F18</f>
        <v>1</v>
      </c>
      <c r="G22" s="38">
        <f t="shared" ca="1" si="0"/>
        <v>25</v>
      </c>
      <c r="H22" s="47">
        <f t="shared" ca="1" si="1"/>
        <v>1</v>
      </c>
      <c r="I22" s="38">
        <f t="shared" ca="1" si="2"/>
        <v>0</v>
      </c>
      <c r="J22" s="38">
        <f t="shared" ca="1" si="3"/>
        <v>0</v>
      </c>
      <c r="K22" s="47">
        <f t="shared" si="4"/>
        <v>25</v>
      </c>
      <c r="L22" s="47" t="str">
        <f t="shared" si="76"/>
        <v>+25.0</v>
      </c>
      <c r="M22" s="47">
        <f t="shared" si="77"/>
        <v>1</v>
      </c>
      <c r="N22" s="38">
        <f t="shared" ca="1" si="78"/>
        <v>25</v>
      </c>
      <c r="O22">
        <f ca="1">RANK(N22,N$10:N$28)+COUNTIF(N$10:N22,N22)-1</f>
        <v>14</v>
      </c>
      <c r="P22">
        <f t="shared" ca="1" si="5"/>
        <v>11</v>
      </c>
      <c r="Q22" s="21">
        <f t="shared" ca="1" si="102"/>
        <v>9</v>
      </c>
      <c r="R22" s="21">
        <f t="shared" ca="1" si="6"/>
        <v>1</v>
      </c>
      <c r="S22" s="41" t="str">
        <f t="shared" ca="1" si="79"/>
        <v>=9</v>
      </c>
      <c r="T22" s="21" t="str">
        <f t="shared" ca="1" si="7"/>
        <v>Jamaica</v>
      </c>
      <c r="U22" s="41" t="str">
        <f t="shared" ca="1" si="8"/>
        <v>1</v>
      </c>
      <c r="V22" s="43">
        <f t="shared" ca="1" si="9"/>
        <v>25</v>
      </c>
      <c r="W22" s="43" t="str">
        <f t="shared" ca="1" si="10"/>
        <v>-</v>
      </c>
      <c r="X22" t="str">
        <f t="shared" ca="1" si="80"/>
        <v>-</v>
      </c>
      <c r="Y22">
        <f t="shared" ca="1" si="11"/>
        <v>25</v>
      </c>
      <c r="Z22">
        <f t="shared" ca="1" si="12"/>
        <v>0</v>
      </c>
      <c r="AB22" s="38">
        <f t="shared" ca="1" si="13"/>
        <v>16</v>
      </c>
      <c r="AC22" s="38">
        <f t="shared" ca="1" si="14"/>
        <v>10</v>
      </c>
      <c r="AD22" s="38">
        <f t="shared" si="15"/>
        <v>9.5</v>
      </c>
      <c r="AE22" s="47" t="str">
        <f t="shared" si="81"/>
        <v>+9.5</v>
      </c>
      <c r="AF22" s="38">
        <f t="shared" ca="1" si="82"/>
        <v>16</v>
      </c>
      <c r="AG22">
        <f ca="1">RANK(AF22,AF$10:AF$28)+COUNTIF(AF$10:AF22,AF22)-1</f>
        <v>17</v>
      </c>
      <c r="AH22">
        <f t="shared" ca="1" si="16"/>
        <v>11</v>
      </c>
      <c r="AI22" s="21">
        <f t="shared" ca="1" si="103"/>
        <v>13</v>
      </c>
      <c r="AJ22" s="21">
        <f t="shared" ca="1" si="17"/>
        <v>1</v>
      </c>
      <c r="AK22" s="41">
        <f t="shared" ca="1" si="83"/>
        <v>13</v>
      </c>
      <c r="AL22" s="21" t="str">
        <f t="shared" ca="1" si="18"/>
        <v>Jamaica</v>
      </c>
      <c r="AM22" s="43">
        <f t="shared" ca="1" si="19"/>
        <v>25.4</v>
      </c>
      <c r="AN22" s="43" t="str">
        <f t="shared" ca="1" si="20"/>
        <v>-1.8</v>
      </c>
      <c r="AO22" s="38">
        <f t="shared" ca="1" si="21"/>
        <v>25.4</v>
      </c>
      <c r="AQ22" s="38">
        <f t="shared" ca="1" si="22"/>
        <v>21.9</v>
      </c>
      <c r="AR22" s="38">
        <f t="shared" ca="1" si="23"/>
        <v>5.6</v>
      </c>
      <c r="AS22" s="38">
        <f t="shared" si="24"/>
        <v>15.6</v>
      </c>
      <c r="AT22" s="47" t="str">
        <f t="shared" si="84"/>
        <v>+15.6</v>
      </c>
      <c r="AU22" s="38">
        <f t="shared" ca="1" si="85"/>
        <v>21.9</v>
      </c>
      <c r="AV22">
        <f ca="1">RANK(AU22,AU$10:AU$28)+COUNTIF(AU$10:AU22,AU22)-1</f>
        <v>16</v>
      </c>
      <c r="AW22">
        <f t="shared" ca="1" si="25"/>
        <v>17</v>
      </c>
      <c r="AX22" s="21">
        <f t="shared" ca="1" si="104"/>
        <v>11</v>
      </c>
      <c r="AY22" s="21">
        <f t="shared" ca="1" si="26"/>
        <v>1</v>
      </c>
      <c r="AZ22" s="41" t="str">
        <f t="shared" ca="1" si="86"/>
        <v>=11</v>
      </c>
      <c r="BA22" s="21" t="str">
        <f t="shared" ca="1" si="27"/>
        <v>Trinidad &amp; Tobago</v>
      </c>
      <c r="BB22" s="43">
        <f t="shared" ca="1" si="28"/>
        <v>25</v>
      </c>
      <c r="BC22" s="43" t="str">
        <f t="shared" ca="1" si="29"/>
        <v>-</v>
      </c>
      <c r="BD22" s="38">
        <f t="shared" ca="1" si="30"/>
        <v>25</v>
      </c>
      <c r="BF22" s="38">
        <f t="shared" ca="1" si="31"/>
        <v>25</v>
      </c>
      <c r="BG22" s="38">
        <f t="shared" ca="1" si="32"/>
        <v>12.5</v>
      </c>
      <c r="BH22" s="38">
        <f t="shared" si="33"/>
        <v>16.7</v>
      </c>
      <c r="BI22" s="47" t="str">
        <f t="shared" si="87"/>
        <v>+16.7</v>
      </c>
      <c r="BJ22" s="38">
        <f t="shared" ca="1" si="88"/>
        <v>25</v>
      </c>
      <c r="BK22">
        <f ca="1">RANK(BJ22,BJ$10:BJ$28)+COUNTIF(BJ$10:BJ22,BJ22)-1</f>
        <v>13</v>
      </c>
      <c r="BL22">
        <f t="shared" ca="1" si="34"/>
        <v>13</v>
      </c>
      <c r="BM22" s="21">
        <f t="shared" ca="1" si="105"/>
        <v>11</v>
      </c>
      <c r="BN22" s="21">
        <f t="shared" ca="1" si="35"/>
        <v>1</v>
      </c>
      <c r="BO22" s="41" t="str">
        <f t="shared" ca="1" si="89"/>
        <v>=11</v>
      </c>
      <c r="BP22" s="21" t="str">
        <f t="shared" ca="1" si="36"/>
        <v>Nicaragua</v>
      </c>
      <c r="BQ22" s="43">
        <f t="shared" ca="1" si="37"/>
        <v>25</v>
      </c>
      <c r="BR22" s="43" t="str">
        <f t="shared" ca="1" si="38"/>
        <v>+16.7</v>
      </c>
      <c r="BS22" s="38">
        <f t="shared" ca="1" si="39"/>
        <v>25</v>
      </c>
      <c r="BU22" s="38">
        <f t="shared" ca="1" si="40"/>
        <v>13.1</v>
      </c>
      <c r="BV22" s="38">
        <f t="shared" ca="1" si="41"/>
        <v>8.5</v>
      </c>
      <c r="BW22" s="38">
        <f t="shared" si="42"/>
        <v>6.6</v>
      </c>
      <c r="BX22" s="47" t="str">
        <f t="shared" si="90"/>
        <v>+6.6</v>
      </c>
      <c r="BY22" s="38">
        <f t="shared" ca="1" si="91"/>
        <v>13.1</v>
      </c>
      <c r="BZ22">
        <f ca="1">RANK(BY22,BY$10:BY$28)+COUNTIF(BY$10:BY22,BY22)-1</f>
        <v>16</v>
      </c>
      <c r="CA22">
        <f t="shared" ca="1" si="43"/>
        <v>1</v>
      </c>
      <c r="CB22" s="21">
        <f t="shared" ca="1" si="106"/>
        <v>13</v>
      </c>
      <c r="CC22" s="21">
        <f t="shared" ca="1" si="44"/>
        <v>1</v>
      </c>
      <c r="CD22" s="41">
        <f t="shared" ca="1" si="92"/>
        <v>13</v>
      </c>
      <c r="CE22" s="21" t="str">
        <f t="shared" ca="1" si="45"/>
        <v>Argentina</v>
      </c>
      <c r="CF22" s="43">
        <f t="shared" ca="1" si="46"/>
        <v>16.7</v>
      </c>
      <c r="CG22" s="43" t="str">
        <f t="shared" ca="1" si="47"/>
        <v>-5.4</v>
      </c>
      <c r="CH22" s="38">
        <f t="shared" ca="1" si="48"/>
        <v>16.7</v>
      </c>
      <c r="CJ22" s="38">
        <f t="shared" ca="1" si="49"/>
        <v>15.6</v>
      </c>
      <c r="CK22" s="38">
        <f t="shared" ca="1" si="50"/>
        <v>53.7</v>
      </c>
      <c r="CL22" s="38">
        <f t="shared" si="51"/>
        <v>-0.8</v>
      </c>
      <c r="CM22" s="47" t="str">
        <f t="shared" si="93"/>
        <v>-0.8</v>
      </c>
      <c r="CN22" s="38">
        <f t="shared" ca="1" si="94"/>
        <v>15.6</v>
      </c>
      <c r="CO22">
        <f ca="1">RANK(CN22,CN$10:CN$28)+COUNTIF(CN$10:CN22,CN22)-1</f>
        <v>18</v>
      </c>
      <c r="CP22">
        <f t="shared" ca="1" si="52"/>
        <v>17</v>
      </c>
      <c r="CQ22" s="21">
        <f t="shared" ca="1" si="107"/>
        <v>13</v>
      </c>
      <c r="CR22" s="21">
        <f t="shared" ca="1" si="53"/>
        <v>1</v>
      </c>
      <c r="CS22" s="41">
        <f t="shared" ca="1" si="95"/>
        <v>13</v>
      </c>
      <c r="CT22" s="21" t="str">
        <f t="shared" ca="1" si="54"/>
        <v>Trinidad &amp; Tobago</v>
      </c>
      <c r="CU22" s="43">
        <f t="shared" ca="1" si="55"/>
        <v>39.9</v>
      </c>
      <c r="CV22" s="43" t="str">
        <f t="shared" ca="1" si="56"/>
        <v>-3.9</v>
      </c>
      <c r="CW22" s="38">
        <f t="shared" ca="1" si="57"/>
        <v>39.9</v>
      </c>
      <c r="CY22" s="38">
        <f t="shared" ca="1" si="58"/>
        <v>8.3000000000000007</v>
      </c>
      <c r="CZ22" s="38">
        <f t="shared" ca="1" si="59"/>
        <v>4.2</v>
      </c>
      <c r="DA22" s="38">
        <f t="shared" si="60"/>
        <v>2.8</v>
      </c>
      <c r="DB22" s="47" t="str">
        <f t="shared" si="96"/>
        <v>+2.8</v>
      </c>
      <c r="DC22" s="38">
        <f t="shared" ca="1" si="97"/>
        <v>8.3000000000000007</v>
      </c>
      <c r="DD22">
        <f ca="1">RANK(DC22,DC$10:DC$28)+COUNTIF(DC$10:DC22,DC22)-1</f>
        <v>19</v>
      </c>
      <c r="DE22">
        <f t="shared" ca="1" si="61"/>
        <v>15</v>
      </c>
      <c r="DF22" s="21">
        <f t="shared" ca="1" si="108"/>
        <v>13</v>
      </c>
      <c r="DG22" s="21">
        <f t="shared" ca="1" si="62"/>
        <v>1</v>
      </c>
      <c r="DH22" s="41">
        <f t="shared" ca="1" si="98"/>
        <v>13</v>
      </c>
      <c r="DI22" s="21" t="str">
        <f t="shared" ca="1" si="63"/>
        <v>Paraguay</v>
      </c>
      <c r="DJ22" s="43">
        <f t="shared" ca="1" si="64"/>
        <v>25</v>
      </c>
      <c r="DK22" s="43" t="str">
        <f t="shared" ca="1" si="65"/>
        <v>-</v>
      </c>
      <c r="DL22" s="38">
        <f t="shared" ca="1" si="66"/>
        <v>25</v>
      </c>
      <c r="DN22" s="38">
        <f t="shared" ca="1" si="67"/>
        <v>0</v>
      </c>
      <c r="DO22" s="38" t="e">
        <f t="shared" ca="1" si="68"/>
        <v>#REF!</v>
      </c>
      <c r="DP22" s="38">
        <f t="shared" si="69"/>
        <v>0</v>
      </c>
      <c r="DQ22" s="47" t="str">
        <f t="shared" si="99"/>
        <v>-</v>
      </c>
      <c r="DR22" s="38">
        <f t="shared" ca="1" si="100"/>
        <v>0</v>
      </c>
      <c r="DS22">
        <f ca="1">RANK(DR22,DR$10:DR$28)+COUNTIF(DR$10:DR22,DR22)-1</f>
        <v>17</v>
      </c>
      <c r="DT22">
        <f t="shared" ca="1" si="70"/>
        <v>18</v>
      </c>
      <c r="DU22" s="21">
        <f t="shared" ca="1" si="109"/>
        <v>7</v>
      </c>
      <c r="DV22" s="21">
        <f t="shared" ca="1" si="71"/>
        <v>1</v>
      </c>
      <c r="DW22" s="41" t="str">
        <f t="shared" ca="1" si="101"/>
        <v>=7</v>
      </c>
      <c r="DX22" s="21" t="str">
        <f t="shared" ca="1" si="72"/>
        <v>Uruguay</v>
      </c>
      <c r="DY22" s="43">
        <f t="shared" ca="1" si="73"/>
        <v>25</v>
      </c>
      <c r="DZ22" s="43" t="str">
        <f t="shared" ca="1" si="74"/>
        <v>-</v>
      </c>
      <c r="EA22" s="38">
        <f t="shared" ca="1" si="75"/>
        <v>25</v>
      </c>
    </row>
    <row r="23" spans="1:131">
      <c r="A23">
        <v>14</v>
      </c>
      <c r="B23" t="str">
        <f>tblCountries!E19</f>
        <v>Panama</v>
      </c>
      <c r="C23">
        <f>tblCountries!A19</f>
        <v>14</v>
      </c>
      <c r="D23">
        <f ca="1">tblCountries!F19</f>
        <v>1</v>
      </c>
      <c r="G23" s="38">
        <f t="shared" ca="1" si="0"/>
        <v>50</v>
      </c>
      <c r="H23" s="47">
        <f t="shared" ca="1" si="1"/>
        <v>2</v>
      </c>
      <c r="I23" s="38">
        <f t="shared" ca="1" si="2"/>
        <v>25</v>
      </c>
      <c r="J23" s="38">
        <f t="shared" ca="1" si="3"/>
        <v>1</v>
      </c>
      <c r="K23" s="47">
        <f t="shared" si="4"/>
        <v>25</v>
      </c>
      <c r="L23" s="47" t="str">
        <f t="shared" si="76"/>
        <v>+25.0</v>
      </c>
      <c r="M23" s="47">
        <f t="shared" si="77"/>
        <v>1</v>
      </c>
      <c r="N23" s="38">
        <f t="shared" ca="1" si="78"/>
        <v>50</v>
      </c>
      <c r="O23">
        <f ca="1">RANK(N23,N$10:N$28)+COUNTIF(N$10:N23,N23)-1</f>
        <v>8</v>
      </c>
      <c r="P23">
        <f t="shared" ca="1" si="5"/>
        <v>13</v>
      </c>
      <c r="Q23" s="21">
        <f t="shared" ca="1" si="102"/>
        <v>9</v>
      </c>
      <c r="R23" s="21">
        <f t="shared" ca="1" si="6"/>
        <v>1</v>
      </c>
      <c r="S23" s="41" t="str">
        <f t="shared" ca="1" si="79"/>
        <v>=9</v>
      </c>
      <c r="T23" s="21" t="str">
        <f t="shared" ca="1" si="7"/>
        <v>Nicaragua</v>
      </c>
      <c r="U23" s="41" t="str">
        <f t="shared" ca="1" si="8"/>
        <v>1</v>
      </c>
      <c r="V23" s="43">
        <f t="shared" ca="1" si="9"/>
        <v>25</v>
      </c>
      <c r="W23" s="43" t="str">
        <f t="shared" ca="1" si="10"/>
        <v>+25.0</v>
      </c>
      <c r="X23" t="str">
        <f t="shared" ca="1" si="80"/>
        <v>+25.0</v>
      </c>
      <c r="Y23">
        <f t="shared" ca="1" si="11"/>
        <v>25</v>
      </c>
      <c r="Z23">
        <f t="shared" ca="1" si="12"/>
        <v>1</v>
      </c>
      <c r="AB23" s="38">
        <f t="shared" ca="1" si="13"/>
        <v>34.6</v>
      </c>
      <c r="AC23" s="38">
        <f t="shared" ca="1" si="14"/>
        <v>21</v>
      </c>
      <c r="AD23" s="38">
        <f t="shared" si="15"/>
        <v>8</v>
      </c>
      <c r="AE23" s="47" t="str">
        <f t="shared" si="81"/>
        <v>+8.0</v>
      </c>
      <c r="AF23" s="38">
        <f t="shared" ca="1" si="82"/>
        <v>34.6</v>
      </c>
      <c r="AG23">
        <f ca="1">RANK(AF23,AF$10:AF$28)+COUNTIF(AF$10:AF23,AF23)-1</f>
        <v>7</v>
      </c>
      <c r="AH23">
        <f t="shared" ca="1" si="16"/>
        <v>10</v>
      </c>
      <c r="AI23" s="21">
        <f t="shared" ca="1" si="103"/>
        <v>14</v>
      </c>
      <c r="AJ23" s="21">
        <f t="shared" ca="1" si="17"/>
        <v>1</v>
      </c>
      <c r="AK23" s="41">
        <f t="shared" ca="1" si="83"/>
        <v>14</v>
      </c>
      <c r="AL23" s="21" t="str">
        <f t="shared" ca="1" si="18"/>
        <v>Honduras</v>
      </c>
      <c r="AM23" s="43">
        <f t="shared" ca="1" si="19"/>
        <v>24.6</v>
      </c>
      <c r="AN23" s="43" t="str">
        <f t="shared" ca="1" si="20"/>
        <v>+2.8</v>
      </c>
      <c r="AO23" s="38">
        <f t="shared" ca="1" si="21"/>
        <v>24.6</v>
      </c>
      <c r="AQ23" s="38">
        <f t="shared" ca="1" si="22"/>
        <v>37.5</v>
      </c>
      <c r="AR23" s="38">
        <f t="shared" ca="1" si="23"/>
        <v>25</v>
      </c>
      <c r="AS23" s="38">
        <f t="shared" si="24"/>
        <v>12.5</v>
      </c>
      <c r="AT23" s="47" t="str">
        <f t="shared" si="84"/>
        <v>+12.5</v>
      </c>
      <c r="AU23" s="38">
        <f t="shared" ca="1" si="85"/>
        <v>37.5</v>
      </c>
      <c r="AV23">
        <f ca="1">RANK(AU23,AU$10:AU$28)+COUNTIF(AU$10:AU23,AU23)-1</f>
        <v>7</v>
      </c>
      <c r="AW23">
        <f t="shared" ca="1" si="25"/>
        <v>1</v>
      </c>
      <c r="AX23" s="21">
        <f t="shared" ca="1" si="104"/>
        <v>14</v>
      </c>
      <c r="AY23" s="21">
        <f t="shared" ca="1" si="26"/>
        <v>1</v>
      </c>
      <c r="AZ23" s="41" t="str">
        <f t="shared" ca="1" si="86"/>
        <v>=14</v>
      </c>
      <c r="BA23" s="21" t="str">
        <f t="shared" ca="1" si="27"/>
        <v>Argentina</v>
      </c>
      <c r="BB23" s="43">
        <f t="shared" ca="1" si="28"/>
        <v>21.9</v>
      </c>
      <c r="BC23" s="43" t="str">
        <f t="shared" ca="1" si="29"/>
        <v>-6.3</v>
      </c>
      <c r="BD23" s="38">
        <f t="shared" ca="1" si="30"/>
        <v>21.9</v>
      </c>
      <c r="BF23" s="38">
        <f t="shared" ca="1" si="31"/>
        <v>25</v>
      </c>
      <c r="BG23" s="38">
        <f t="shared" ca="1" si="32"/>
        <v>12.5</v>
      </c>
      <c r="BH23" s="38">
        <f t="shared" si="33"/>
        <v>16.7</v>
      </c>
      <c r="BI23" s="47" t="str">
        <f t="shared" si="87"/>
        <v>+16.7</v>
      </c>
      <c r="BJ23" s="38">
        <f t="shared" ca="1" si="88"/>
        <v>25</v>
      </c>
      <c r="BK23">
        <f ca="1">RANK(BJ23,BJ$10:BJ$28)+COUNTIF(BJ$10:BJ23,BJ23)-1</f>
        <v>14</v>
      </c>
      <c r="BL23">
        <f t="shared" ca="1" si="34"/>
        <v>14</v>
      </c>
      <c r="BM23" s="21">
        <f t="shared" ca="1" si="105"/>
        <v>11</v>
      </c>
      <c r="BN23" s="21">
        <f t="shared" ca="1" si="35"/>
        <v>1</v>
      </c>
      <c r="BO23" s="41" t="str">
        <f t="shared" ca="1" si="89"/>
        <v>=11</v>
      </c>
      <c r="BP23" s="21" t="str">
        <f t="shared" ca="1" si="36"/>
        <v>Panama</v>
      </c>
      <c r="BQ23" s="43">
        <f t="shared" ca="1" si="37"/>
        <v>25</v>
      </c>
      <c r="BR23" s="43" t="str">
        <f t="shared" ca="1" si="38"/>
        <v>+16.7</v>
      </c>
      <c r="BS23" s="38">
        <f t="shared" ca="1" si="39"/>
        <v>25</v>
      </c>
      <c r="BU23" s="38">
        <f t="shared" ca="1" si="40"/>
        <v>13.1</v>
      </c>
      <c r="BV23" s="38">
        <f t="shared" ca="1" si="41"/>
        <v>8.8000000000000007</v>
      </c>
      <c r="BW23" s="38">
        <f t="shared" si="42"/>
        <v>6.1</v>
      </c>
      <c r="BX23" s="47" t="str">
        <f t="shared" si="90"/>
        <v>+6.1</v>
      </c>
      <c r="BY23" s="38">
        <f t="shared" ca="1" si="91"/>
        <v>13.1</v>
      </c>
      <c r="BZ23">
        <f ca="1">RANK(BY23,BY$10:BY$28)+COUNTIF(BY$10:BY23,BY23)-1</f>
        <v>17</v>
      </c>
      <c r="CA23">
        <f t="shared" ca="1" si="43"/>
        <v>15</v>
      </c>
      <c r="CB23" s="21">
        <f t="shared" ca="1" si="106"/>
        <v>14</v>
      </c>
      <c r="CC23" s="21">
        <f t="shared" ca="1" si="44"/>
        <v>1</v>
      </c>
      <c r="CD23" s="41">
        <f t="shared" ca="1" si="92"/>
        <v>14</v>
      </c>
      <c r="CE23" s="21" t="str">
        <f t="shared" ca="1" si="45"/>
        <v>Paraguay</v>
      </c>
      <c r="CF23" s="43">
        <f t="shared" ca="1" si="46"/>
        <v>15.6</v>
      </c>
      <c r="CG23" s="43" t="str">
        <f t="shared" ca="1" si="47"/>
        <v>+9.1</v>
      </c>
      <c r="CH23" s="38">
        <f t="shared" ca="1" si="48"/>
        <v>15.6</v>
      </c>
      <c r="CJ23" s="38">
        <f t="shared" ca="1" si="49"/>
        <v>58.1</v>
      </c>
      <c r="CK23" s="38">
        <f t="shared" ca="1" si="50"/>
        <v>62.8</v>
      </c>
      <c r="CL23" s="38">
        <f t="shared" si="51"/>
        <v>-1</v>
      </c>
      <c r="CM23" s="47" t="str">
        <f t="shared" si="93"/>
        <v>-1</v>
      </c>
      <c r="CN23" s="38">
        <f t="shared" ca="1" si="94"/>
        <v>58.1</v>
      </c>
      <c r="CO23">
        <f ca="1">RANK(CN23,CN$10:CN$28)+COUNTIF(CN$10:CN23,CN23)-1</f>
        <v>5</v>
      </c>
      <c r="CP23">
        <f t="shared" ca="1" si="52"/>
        <v>11</v>
      </c>
      <c r="CQ23" s="21">
        <f t="shared" ca="1" si="107"/>
        <v>14</v>
      </c>
      <c r="CR23" s="21">
        <f t="shared" ca="1" si="53"/>
        <v>1</v>
      </c>
      <c r="CS23" s="41">
        <f t="shared" ca="1" si="95"/>
        <v>14</v>
      </c>
      <c r="CT23" s="21" t="str">
        <f t="shared" ca="1" si="54"/>
        <v>Jamaica</v>
      </c>
      <c r="CU23" s="43">
        <f t="shared" ca="1" si="55"/>
        <v>35.9</v>
      </c>
      <c r="CV23" s="43" t="str">
        <f t="shared" ca="1" si="56"/>
        <v>-0.7</v>
      </c>
      <c r="CW23" s="38">
        <f t="shared" ca="1" si="57"/>
        <v>35.9</v>
      </c>
      <c r="CY23" s="38">
        <f t="shared" ca="1" si="58"/>
        <v>63.9</v>
      </c>
      <c r="CZ23" s="38">
        <f t="shared" ca="1" si="59"/>
        <v>62.5</v>
      </c>
      <c r="DA23" s="38">
        <f t="shared" si="60"/>
        <v>0</v>
      </c>
      <c r="DB23" s="47" t="str">
        <f t="shared" si="96"/>
        <v>-</v>
      </c>
      <c r="DC23" s="38">
        <f t="shared" ca="1" si="97"/>
        <v>63.9</v>
      </c>
      <c r="DD23">
        <f ca="1">RANK(DC23,DC$10:DC$28)+COUNTIF(DC$10:DC23,DC23)-1</f>
        <v>4</v>
      </c>
      <c r="DE23">
        <f t="shared" ca="1" si="61"/>
        <v>9</v>
      </c>
      <c r="DF23" s="21">
        <f t="shared" ca="1" si="108"/>
        <v>14</v>
      </c>
      <c r="DG23" s="21">
        <f t="shared" ca="1" si="62"/>
        <v>1</v>
      </c>
      <c r="DH23" s="41">
        <f t="shared" ca="1" si="98"/>
        <v>14</v>
      </c>
      <c r="DI23" s="21" t="str">
        <f t="shared" ca="1" si="63"/>
        <v>Guatemala</v>
      </c>
      <c r="DJ23" s="43">
        <f t="shared" ca="1" si="64"/>
        <v>22.2</v>
      </c>
      <c r="DK23" s="43" t="str">
        <f t="shared" ca="1" si="65"/>
        <v>-</v>
      </c>
      <c r="DL23" s="38">
        <f t="shared" ca="1" si="66"/>
        <v>22.2</v>
      </c>
      <c r="DN23" s="38">
        <f t="shared" ca="1" si="67"/>
        <v>0</v>
      </c>
      <c r="DO23" s="38" t="e">
        <f t="shared" ca="1" si="68"/>
        <v>#REF!</v>
      </c>
      <c r="DP23" s="38">
        <f t="shared" si="69"/>
        <v>0</v>
      </c>
      <c r="DQ23" s="47" t="str">
        <f t="shared" si="99"/>
        <v>-</v>
      </c>
      <c r="DR23" s="38">
        <f t="shared" ca="1" si="100"/>
        <v>0</v>
      </c>
      <c r="DS23">
        <f ca="1">RANK(DR23,DR$10:DR$28)+COUNTIF(DR$10:DR23,DR23)-1</f>
        <v>18</v>
      </c>
      <c r="DT23">
        <f t="shared" ca="1" si="70"/>
        <v>5</v>
      </c>
      <c r="DU23" s="21">
        <f t="shared" ca="1" si="109"/>
        <v>14</v>
      </c>
      <c r="DV23" s="21">
        <f t="shared" ca="1" si="71"/>
        <v>1</v>
      </c>
      <c r="DW23" s="41" t="str">
        <f t="shared" ca="1" si="101"/>
        <v>=14</v>
      </c>
      <c r="DX23" s="21" t="str">
        <f t="shared" ca="1" si="72"/>
        <v>Costa Rica</v>
      </c>
      <c r="DY23" s="43">
        <f t="shared" ca="1" si="73"/>
        <v>0</v>
      </c>
      <c r="DZ23" s="43" t="str">
        <f t="shared" ca="1" si="74"/>
        <v>-</v>
      </c>
      <c r="EA23" s="38">
        <f t="shared" ca="1" si="75"/>
        <v>0</v>
      </c>
    </row>
    <row r="24" spans="1:131">
      <c r="A24">
        <v>15</v>
      </c>
      <c r="B24" t="str">
        <f>tblCountries!E20</f>
        <v>Paraguay</v>
      </c>
      <c r="C24">
        <f>tblCountries!A20</f>
        <v>15</v>
      </c>
      <c r="D24">
        <f ca="1">tblCountries!F20</f>
        <v>1</v>
      </c>
      <c r="G24" s="38">
        <f t="shared" ca="1" si="0"/>
        <v>25</v>
      </c>
      <c r="H24" s="47">
        <f t="shared" ca="1" si="1"/>
        <v>1</v>
      </c>
      <c r="I24" s="38">
        <f t="shared" ca="1" si="2"/>
        <v>25</v>
      </c>
      <c r="J24" s="38">
        <f t="shared" ca="1" si="3"/>
        <v>1</v>
      </c>
      <c r="K24" s="47">
        <f t="shared" si="4"/>
        <v>0</v>
      </c>
      <c r="L24" s="47" t="str">
        <f t="shared" si="76"/>
        <v>-</v>
      </c>
      <c r="M24" s="47">
        <f t="shared" si="77"/>
        <v>0</v>
      </c>
      <c r="N24" s="38">
        <f t="shared" ca="1" si="78"/>
        <v>25</v>
      </c>
      <c r="O24">
        <f ca="1">RANK(N24,N$10:N$28)+COUNTIF(N$10:N24,N24)-1</f>
        <v>15</v>
      </c>
      <c r="P24">
        <f t="shared" ca="1" si="5"/>
        <v>15</v>
      </c>
      <c r="Q24" s="21">
        <f t="shared" ca="1" si="102"/>
        <v>9</v>
      </c>
      <c r="R24" s="21">
        <f t="shared" ca="1" si="6"/>
        <v>1</v>
      </c>
      <c r="S24" s="41" t="str">
        <f t="shared" ca="1" si="79"/>
        <v>=9</v>
      </c>
      <c r="T24" s="21" t="str">
        <f t="shared" ca="1" si="7"/>
        <v>Paraguay</v>
      </c>
      <c r="U24" s="41" t="str">
        <f t="shared" ca="1" si="8"/>
        <v>1</v>
      </c>
      <c r="V24" s="43">
        <f t="shared" ca="1" si="9"/>
        <v>25</v>
      </c>
      <c r="W24" s="43" t="str">
        <f t="shared" ca="1" si="10"/>
        <v>-</v>
      </c>
      <c r="X24" t="str">
        <f t="shared" ca="1" si="80"/>
        <v>-</v>
      </c>
      <c r="Y24">
        <f t="shared" ca="1" si="11"/>
        <v>25</v>
      </c>
      <c r="Z24">
        <f t="shared" ca="1" si="12"/>
        <v>0</v>
      </c>
      <c r="AB24" s="38">
        <f t="shared" ca="1" si="13"/>
        <v>24.5</v>
      </c>
      <c r="AC24" s="38">
        <f t="shared" ca="1" si="14"/>
        <v>22.3</v>
      </c>
      <c r="AD24" s="38">
        <f t="shared" si="15"/>
        <v>0.9</v>
      </c>
      <c r="AE24" s="47" t="str">
        <f t="shared" si="81"/>
        <v>+0.9</v>
      </c>
      <c r="AF24" s="38">
        <f t="shared" ca="1" si="82"/>
        <v>24.5</v>
      </c>
      <c r="AG24">
        <f ca="1">RANK(AF24,AF$10:AF$28)+COUNTIF(AF$10:AF24,AF24)-1</f>
        <v>15</v>
      </c>
      <c r="AH24">
        <f t="shared" ca="1" si="16"/>
        <v>15</v>
      </c>
      <c r="AI24" s="21">
        <f t="shared" ca="1" si="103"/>
        <v>15</v>
      </c>
      <c r="AJ24" s="21">
        <f t="shared" ca="1" si="17"/>
        <v>1</v>
      </c>
      <c r="AK24" s="41">
        <f t="shared" ca="1" si="83"/>
        <v>15</v>
      </c>
      <c r="AL24" s="21" t="str">
        <f t="shared" ca="1" si="18"/>
        <v>Paraguay</v>
      </c>
      <c r="AM24" s="43">
        <f t="shared" ca="1" si="19"/>
        <v>24.5</v>
      </c>
      <c r="AN24" s="43" t="str">
        <f t="shared" ca="1" si="20"/>
        <v>+0.9</v>
      </c>
      <c r="AO24" s="38">
        <f t="shared" ca="1" si="21"/>
        <v>24.5</v>
      </c>
      <c r="AQ24" s="38">
        <f t="shared" ca="1" si="22"/>
        <v>25</v>
      </c>
      <c r="AR24" s="38">
        <f t="shared" ca="1" si="23"/>
        <v>25</v>
      </c>
      <c r="AS24" s="38">
        <f t="shared" si="24"/>
        <v>0</v>
      </c>
      <c r="AT24" s="47" t="str">
        <f t="shared" si="84"/>
        <v>-</v>
      </c>
      <c r="AU24" s="38">
        <f t="shared" ca="1" si="85"/>
        <v>25</v>
      </c>
      <c r="AV24">
        <f ca="1">RANK(AU24,AU$10:AU$28)+COUNTIF(AU$10:AU24,AU24)-1</f>
        <v>12</v>
      </c>
      <c r="AW24">
        <f t="shared" ca="1" si="25"/>
        <v>6</v>
      </c>
      <c r="AX24" s="21">
        <f t="shared" ca="1" si="104"/>
        <v>14</v>
      </c>
      <c r="AY24" s="21">
        <f t="shared" ca="1" si="26"/>
        <v>1</v>
      </c>
      <c r="AZ24" s="41" t="str">
        <f t="shared" ca="1" si="86"/>
        <v>=14</v>
      </c>
      <c r="BA24" s="21" t="str">
        <f t="shared" ca="1" si="27"/>
        <v>Dominican Rep.</v>
      </c>
      <c r="BB24" s="43">
        <f t="shared" ca="1" si="28"/>
        <v>21.9</v>
      </c>
      <c r="BC24" s="43" t="str">
        <f t="shared" ca="1" si="29"/>
        <v>+3.1</v>
      </c>
      <c r="BD24" s="38">
        <f t="shared" ca="1" si="30"/>
        <v>21.9</v>
      </c>
      <c r="BF24" s="38">
        <f t="shared" ca="1" si="31"/>
        <v>25</v>
      </c>
      <c r="BG24" s="38">
        <f t="shared" ca="1" si="32"/>
        <v>25</v>
      </c>
      <c r="BH24" s="38">
        <f t="shared" si="33"/>
        <v>0</v>
      </c>
      <c r="BI24" s="47" t="str">
        <f t="shared" si="87"/>
        <v>-</v>
      </c>
      <c r="BJ24" s="38">
        <f t="shared" ca="1" si="88"/>
        <v>25</v>
      </c>
      <c r="BK24">
        <f ca="1">RANK(BJ24,BJ$10:BJ$28)+COUNTIF(BJ$10:BJ24,BJ24)-1</f>
        <v>15</v>
      </c>
      <c r="BL24">
        <f t="shared" ca="1" si="34"/>
        <v>15</v>
      </c>
      <c r="BM24" s="21">
        <f t="shared" ca="1" si="105"/>
        <v>11</v>
      </c>
      <c r="BN24" s="21">
        <f t="shared" ca="1" si="35"/>
        <v>1</v>
      </c>
      <c r="BO24" s="41" t="str">
        <f t="shared" ca="1" si="89"/>
        <v>=11</v>
      </c>
      <c r="BP24" s="21" t="str">
        <f t="shared" ca="1" si="36"/>
        <v>Paraguay</v>
      </c>
      <c r="BQ24" s="43">
        <f t="shared" ca="1" si="37"/>
        <v>25</v>
      </c>
      <c r="BR24" s="43" t="str">
        <f t="shared" ca="1" si="38"/>
        <v>-</v>
      </c>
      <c r="BS24" s="38">
        <f t="shared" ca="1" si="39"/>
        <v>25</v>
      </c>
      <c r="BU24" s="38">
        <f t="shared" ca="1" si="40"/>
        <v>15.6</v>
      </c>
      <c r="BV24" s="38">
        <f t="shared" ca="1" si="41"/>
        <v>8.5</v>
      </c>
      <c r="BW24" s="38">
        <f t="shared" si="42"/>
        <v>9.1</v>
      </c>
      <c r="BX24" s="47" t="str">
        <f t="shared" si="90"/>
        <v>+9.1</v>
      </c>
      <c r="BY24" s="38">
        <f t="shared" ca="1" si="91"/>
        <v>15.6</v>
      </c>
      <c r="BZ24">
        <f ca="1">RANK(BY24,BY$10:BY$28)+COUNTIF(BY$10:BY24,BY24)-1</f>
        <v>14</v>
      </c>
      <c r="CA24">
        <f t="shared" ca="1" si="43"/>
        <v>6</v>
      </c>
      <c r="CB24" s="21">
        <f t="shared" ca="1" si="106"/>
        <v>15</v>
      </c>
      <c r="CC24" s="21">
        <f t="shared" ca="1" si="44"/>
        <v>1</v>
      </c>
      <c r="CD24" s="41">
        <f t="shared" ca="1" si="92"/>
        <v>15</v>
      </c>
      <c r="CE24" s="21" t="str">
        <f t="shared" ca="1" si="45"/>
        <v>Dominican Rep.</v>
      </c>
      <c r="CF24" s="43">
        <f t="shared" ca="1" si="46"/>
        <v>14</v>
      </c>
      <c r="CG24" s="43" t="str">
        <f t="shared" ca="1" si="47"/>
        <v>-18.9</v>
      </c>
      <c r="CH24" s="38">
        <f t="shared" ca="1" si="48"/>
        <v>14</v>
      </c>
      <c r="CJ24" s="38">
        <f t="shared" ca="1" si="49"/>
        <v>31.4</v>
      </c>
      <c r="CK24" s="38">
        <f t="shared" ca="1" si="50"/>
        <v>59.4</v>
      </c>
      <c r="CL24" s="38">
        <f t="shared" si="51"/>
        <v>-3.9</v>
      </c>
      <c r="CM24" s="47" t="str">
        <f t="shared" si="93"/>
        <v>-3.9</v>
      </c>
      <c r="CN24" s="38">
        <f t="shared" ca="1" si="94"/>
        <v>31.4</v>
      </c>
      <c r="CO24">
        <f ca="1">RANK(CN24,CN$10:CN$28)+COUNTIF(CN$10:CN24,CN24)-1</f>
        <v>15</v>
      </c>
      <c r="CP24">
        <f t="shared" ca="1" si="52"/>
        <v>15</v>
      </c>
      <c r="CQ24" s="21">
        <f t="shared" ca="1" si="107"/>
        <v>15</v>
      </c>
      <c r="CR24" s="21">
        <f t="shared" ca="1" si="53"/>
        <v>1</v>
      </c>
      <c r="CS24" s="41">
        <f t="shared" ca="1" si="95"/>
        <v>15</v>
      </c>
      <c r="CT24" s="21" t="str">
        <f t="shared" ca="1" si="54"/>
        <v>Paraguay</v>
      </c>
      <c r="CU24" s="43">
        <f t="shared" ca="1" si="55"/>
        <v>31.4</v>
      </c>
      <c r="CV24" s="43" t="str">
        <f t="shared" ca="1" si="56"/>
        <v>-3.9</v>
      </c>
      <c r="CW24" s="38">
        <f t="shared" ca="1" si="57"/>
        <v>31.4</v>
      </c>
      <c r="CY24" s="38">
        <f t="shared" ca="1" si="58"/>
        <v>25</v>
      </c>
      <c r="CZ24" s="38">
        <f t="shared" ca="1" si="59"/>
        <v>25</v>
      </c>
      <c r="DA24" s="38">
        <f t="shared" si="60"/>
        <v>0</v>
      </c>
      <c r="DB24" s="47" t="str">
        <f t="shared" si="96"/>
        <v>-</v>
      </c>
      <c r="DC24" s="38">
        <f t="shared" ca="1" si="97"/>
        <v>25</v>
      </c>
      <c r="DD24">
        <f ca="1">RANK(DC24,DC$10:DC$28)+COUNTIF(DC$10:DC24,DC24)-1</f>
        <v>13</v>
      </c>
      <c r="DE24">
        <f t="shared" ca="1" si="61"/>
        <v>7</v>
      </c>
      <c r="DF24" s="21">
        <f t="shared" ca="1" si="108"/>
        <v>15</v>
      </c>
      <c r="DG24" s="21">
        <f t="shared" ca="1" si="62"/>
        <v>1</v>
      </c>
      <c r="DH24" s="41" t="str">
        <f t="shared" ca="1" si="98"/>
        <v>=15</v>
      </c>
      <c r="DI24" s="21" t="str">
        <f t="shared" ca="1" si="63"/>
        <v>Ecuador</v>
      </c>
      <c r="DJ24" s="43">
        <f t="shared" ca="1" si="64"/>
        <v>16.7</v>
      </c>
      <c r="DK24" s="43" t="str">
        <f t="shared" ca="1" si="65"/>
        <v>-2.8</v>
      </c>
      <c r="DL24" s="38">
        <f t="shared" ca="1" si="66"/>
        <v>16.7</v>
      </c>
      <c r="DN24" s="38">
        <f t="shared" ca="1" si="67"/>
        <v>25</v>
      </c>
      <c r="DO24" s="38" t="e">
        <f t="shared" ca="1" si="68"/>
        <v>#REF!</v>
      </c>
      <c r="DP24" s="38">
        <f t="shared" si="69"/>
        <v>0</v>
      </c>
      <c r="DQ24" s="47" t="str">
        <f t="shared" si="99"/>
        <v>-</v>
      </c>
      <c r="DR24" s="38">
        <f t="shared" ca="1" si="100"/>
        <v>25</v>
      </c>
      <c r="DS24">
        <f ca="1">RANK(DR24,DR$10:DR$28)+COUNTIF(DR$10:DR24,DR24)-1</f>
        <v>11</v>
      </c>
      <c r="DT24">
        <f t="shared" ca="1" si="70"/>
        <v>8</v>
      </c>
      <c r="DU24" s="21">
        <f t="shared" ca="1" si="109"/>
        <v>14</v>
      </c>
      <c r="DV24" s="21">
        <f t="shared" ca="1" si="71"/>
        <v>1</v>
      </c>
      <c r="DW24" s="41" t="str">
        <f t="shared" ca="1" si="101"/>
        <v>=14</v>
      </c>
      <c r="DX24" s="21" t="str">
        <f t="shared" ca="1" si="72"/>
        <v>El Salvador</v>
      </c>
      <c r="DY24" s="43">
        <f t="shared" ca="1" si="73"/>
        <v>0</v>
      </c>
      <c r="DZ24" s="43" t="str">
        <f t="shared" ca="1" si="74"/>
        <v>-</v>
      </c>
      <c r="EA24" s="38">
        <f t="shared" ca="1" si="75"/>
        <v>0</v>
      </c>
    </row>
    <row r="25" spans="1:131">
      <c r="A25">
        <v>16</v>
      </c>
      <c r="B25" t="str">
        <f>tblCountries!E21</f>
        <v>Peru</v>
      </c>
      <c r="C25">
        <f>tblCountries!A21</f>
        <v>16</v>
      </c>
      <c r="D25">
        <f ca="1">tblCountries!F21</f>
        <v>1</v>
      </c>
      <c r="G25" s="38">
        <f t="shared" ca="1" si="0"/>
        <v>75</v>
      </c>
      <c r="H25" s="47">
        <f t="shared" ca="1" si="1"/>
        <v>3</v>
      </c>
      <c r="I25" s="38">
        <f t="shared" ca="1" si="2"/>
        <v>75</v>
      </c>
      <c r="J25" s="38">
        <f t="shared" ca="1" si="3"/>
        <v>3</v>
      </c>
      <c r="K25" s="47">
        <f t="shared" si="4"/>
        <v>0</v>
      </c>
      <c r="L25" s="47" t="str">
        <f t="shared" si="76"/>
        <v>-</v>
      </c>
      <c r="M25" s="47">
        <f t="shared" si="77"/>
        <v>0</v>
      </c>
      <c r="N25" s="38">
        <f t="shared" ca="1" si="78"/>
        <v>75</v>
      </c>
      <c r="O25">
        <f ca="1">RANK(N25,N$10:N$28)+COUNTIF(N$10:N25,N25)-1</f>
        <v>4</v>
      </c>
      <c r="P25">
        <f t="shared" ca="1" si="5"/>
        <v>17</v>
      </c>
      <c r="Q25" s="21">
        <f t="shared" ca="1" si="102"/>
        <v>9</v>
      </c>
      <c r="R25" s="21">
        <f t="shared" ca="1" si="6"/>
        <v>1</v>
      </c>
      <c r="S25" s="41" t="str">
        <f t="shared" ca="1" si="79"/>
        <v>=9</v>
      </c>
      <c r="T25" s="21" t="str">
        <f t="shared" ca="1" si="7"/>
        <v>Trinidad &amp; Tobago</v>
      </c>
      <c r="U25" s="41" t="str">
        <f t="shared" ca="1" si="8"/>
        <v>1</v>
      </c>
      <c r="V25" s="43">
        <f t="shared" ca="1" si="9"/>
        <v>25</v>
      </c>
      <c r="W25" s="43" t="str">
        <f t="shared" ca="1" si="10"/>
        <v>-</v>
      </c>
      <c r="X25" t="str">
        <f t="shared" ca="1" si="80"/>
        <v>-</v>
      </c>
      <c r="Y25">
        <f t="shared" ca="1" si="11"/>
        <v>25</v>
      </c>
      <c r="Z25">
        <f t="shared" ca="1" si="12"/>
        <v>0</v>
      </c>
      <c r="AB25" s="38">
        <f t="shared" ca="1" si="13"/>
        <v>67.2</v>
      </c>
      <c r="AC25" s="38">
        <f t="shared" ca="1" si="14"/>
        <v>58.9</v>
      </c>
      <c r="AD25" s="38">
        <f t="shared" si="15"/>
        <v>10.199999999999999</v>
      </c>
      <c r="AE25" s="47" t="str">
        <f t="shared" si="81"/>
        <v>+10.2</v>
      </c>
      <c r="AF25" s="38">
        <f t="shared" ca="1" si="82"/>
        <v>67.2</v>
      </c>
      <c r="AG25">
        <f ca="1">RANK(AF25,AF$10:AF$28)+COUNTIF(AF$10:AF25,AF25)-1</f>
        <v>3</v>
      </c>
      <c r="AH25">
        <f t="shared" ca="1" si="16"/>
        <v>6</v>
      </c>
      <c r="AI25" s="21">
        <f t="shared" ca="1" si="103"/>
        <v>16</v>
      </c>
      <c r="AJ25" s="21">
        <f t="shared" ca="1" si="17"/>
        <v>1</v>
      </c>
      <c r="AK25" s="41">
        <f t="shared" ca="1" si="83"/>
        <v>16</v>
      </c>
      <c r="AL25" s="21" t="str">
        <f t="shared" ca="1" si="18"/>
        <v>Dominican Rep.</v>
      </c>
      <c r="AM25" s="43">
        <f t="shared" ca="1" si="19"/>
        <v>23.7</v>
      </c>
      <c r="AN25" s="43" t="str">
        <f t="shared" ca="1" si="20"/>
        <v>-4.4</v>
      </c>
      <c r="AO25" s="38">
        <f t="shared" ca="1" si="21"/>
        <v>23.7</v>
      </c>
      <c r="AQ25" s="38">
        <f t="shared" ca="1" si="22"/>
        <v>75</v>
      </c>
      <c r="AR25" s="38">
        <f t="shared" ca="1" si="23"/>
        <v>66.7</v>
      </c>
      <c r="AS25" s="38">
        <f t="shared" si="24"/>
        <v>9.4</v>
      </c>
      <c r="AT25" s="47" t="str">
        <f t="shared" si="84"/>
        <v>+9.4</v>
      </c>
      <c r="AU25" s="38">
        <f t="shared" ca="1" si="85"/>
        <v>75</v>
      </c>
      <c r="AV25">
        <f ca="1">RANK(AU25,AU$10:AU$28)+COUNTIF(AU$10:AU25,AU25)-1</f>
        <v>2</v>
      </c>
      <c r="AW25">
        <f t="shared" ca="1" si="25"/>
        <v>13</v>
      </c>
      <c r="AX25" s="21">
        <f t="shared" ca="1" si="104"/>
        <v>14</v>
      </c>
      <c r="AY25" s="21">
        <f t="shared" ca="1" si="26"/>
        <v>1</v>
      </c>
      <c r="AZ25" s="41" t="str">
        <f t="shared" ca="1" si="86"/>
        <v>=14</v>
      </c>
      <c r="BA25" s="21" t="str">
        <f t="shared" ca="1" si="27"/>
        <v>Nicaragua</v>
      </c>
      <c r="BB25" s="43">
        <f t="shared" ca="1" si="28"/>
        <v>21.9</v>
      </c>
      <c r="BC25" s="43" t="str">
        <f t="shared" ca="1" si="29"/>
        <v>+15.6</v>
      </c>
      <c r="BD25" s="38">
        <f t="shared" ca="1" si="30"/>
        <v>21.9</v>
      </c>
      <c r="BF25" s="38">
        <f t="shared" ca="1" si="31"/>
        <v>75</v>
      </c>
      <c r="BG25" s="38">
        <f t="shared" ca="1" si="32"/>
        <v>50</v>
      </c>
      <c r="BH25" s="38">
        <f t="shared" si="33"/>
        <v>25</v>
      </c>
      <c r="BI25" s="47" t="str">
        <f t="shared" si="87"/>
        <v>+25.0</v>
      </c>
      <c r="BJ25" s="38">
        <f t="shared" ca="1" si="88"/>
        <v>75</v>
      </c>
      <c r="BK25">
        <f ca="1">RANK(BJ25,BJ$10:BJ$28)+COUNTIF(BJ$10:BJ25,BJ25)-1</f>
        <v>3</v>
      </c>
      <c r="BL25">
        <f t="shared" ca="1" si="34"/>
        <v>17</v>
      </c>
      <c r="BM25" s="21">
        <f t="shared" ca="1" si="105"/>
        <v>11</v>
      </c>
      <c r="BN25" s="21">
        <f t="shared" ca="1" si="35"/>
        <v>1</v>
      </c>
      <c r="BO25" s="41" t="str">
        <f t="shared" ca="1" si="89"/>
        <v>=11</v>
      </c>
      <c r="BP25" s="21" t="str">
        <f t="shared" ca="1" si="36"/>
        <v>Trinidad &amp; Tobago</v>
      </c>
      <c r="BQ25" s="43">
        <f t="shared" ca="1" si="37"/>
        <v>25</v>
      </c>
      <c r="BR25" s="43" t="str">
        <f t="shared" ca="1" si="38"/>
        <v>-</v>
      </c>
      <c r="BS25" s="38">
        <f t="shared" ca="1" si="39"/>
        <v>25</v>
      </c>
      <c r="BU25" s="38">
        <f t="shared" ca="1" si="40"/>
        <v>53.6</v>
      </c>
      <c r="BV25" s="38">
        <f t="shared" ca="1" si="41"/>
        <v>53</v>
      </c>
      <c r="BW25" s="38">
        <f t="shared" si="42"/>
        <v>8.4</v>
      </c>
      <c r="BX25" s="47" t="str">
        <f t="shared" si="90"/>
        <v>+8.4</v>
      </c>
      <c r="BY25" s="38">
        <f t="shared" ca="1" si="91"/>
        <v>53.6</v>
      </c>
      <c r="BZ25">
        <f ca="1">RANK(BY25,BY$10:BY$28)+COUNTIF(BY$10:BY25,BY25)-1</f>
        <v>4</v>
      </c>
      <c r="CA25">
        <f t="shared" ca="1" si="43"/>
        <v>13</v>
      </c>
      <c r="CB25" s="21">
        <f t="shared" ca="1" si="106"/>
        <v>16</v>
      </c>
      <c r="CC25" s="21">
        <f t="shared" ca="1" si="44"/>
        <v>1</v>
      </c>
      <c r="CD25" s="41" t="str">
        <f t="shared" ca="1" si="92"/>
        <v>=16</v>
      </c>
      <c r="CE25" s="21" t="str">
        <f t="shared" ca="1" si="45"/>
        <v>Nicaragua</v>
      </c>
      <c r="CF25" s="43">
        <f t="shared" ca="1" si="46"/>
        <v>13.1</v>
      </c>
      <c r="CG25" s="43" t="str">
        <f t="shared" ca="1" si="47"/>
        <v>+6.6</v>
      </c>
      <c r="CH25" s="38">
        <f t="shared" ca="1" si="48"/>
        <v>13.1</v>
      </c>
      <c r="CJ25" s="38">
        <f t="shared" ca="1" si="49"/>
        <v>75.2</v>
      </c>
      <c r="CK25" s="38">
        <f t="shared" ca="1" si="50"/>
        <v>70</v>
      </c>
      <c r="CL25" s="38">
        <f t="shared" si="51"/>
        <v>1.2</v>
      </c>
      <c r="CM25" s="47" t="str">
        <f t="shared" si="93"/>
        <v>+1.2</v>
      </c>
      <c r="CN25" s="38">
        <f t="shared" ca="1" si="94"/>
        <v>75.2</v>
      </c>
      <c r="CO25">
        <f ca="1">RANK(CN25,CN$10:CN$28)+COUNTIF(CN$10:CN25,CN25)-1</f>
        <v>2</v>
      </c>
      <c r="CP25">
        <f t="shared" ca="1" si="52"/>
        <v>1</v>
      </c>
      <c r="CQ25" s="21">
        <f t="shared" ca="1" si="107"/>
        <v>16</v>
      </c>
      <c r="CR25" s="21">
        <f t="shared" ca="1" si="53"/>
        <v>1</v>
      </c>
      <c r="CS25" s="41">
        <f t="shared" ca="1" si="95"/>
        <v>16</v>
      </c>
      <c r="CT25" s="21" t="str">
        <f t="shared" ca="1" si="54"/>
        <v>Argentina</v>
      </c>
      <c r="CU25" s="43">
        <f t="shared" ca="1" si="55"/>
        <v>19</v>
      </c>
      <c r="CV25" s="43" t="str">
        <f t="shared" ca="1" si="56"/>
        <v>-6.3</v>
      </c>
      <c r="CW25" s="38">
        <f t="shared" ca="1" si="57"/>
        <v>19</v>
      </c>
      <c r="CY25" s="38">
        <f t="shared" ca="1" si="58"/>
        <v>61.1</v>
      </c>
      <c r="CZ25" s="38">
        <f t="shared" ca="1" si="59"/>
        <v>58.3</v>
      </c>
      <c r="DA25" s="38">
        <f t="shared" si="60"/>
        <v>2.8</v>
      </c>
      <c r="DB25" s="47" t="str">
        <f t="shared" si="96"/>
        <v>+2.8</v>
      </c>
      <c r="DC25" s="38">
        <f t="shared" ca="1" si="97"/>
        <v>61.1</v>
      </c>
      <c r="DD25">
        <f ca="1">RANK(DC25,DC$10:DC$28)+COUNTIF(DC$10:DC25,DC25)-1</f>
        <v>5</v>
      </c>
      <c r="DE25">
        <f t="shared" ca="1" si="61"/>
        <v>11</v>
      </c>
      <c r="DF25" s="21">
        <f t="shared" ca="1" si="108"/>
        <v>15</v>
      </c>
      <c r="DG25" s="21">
        <f t="shared" ca="1" si="62"/>
        <v>1</v>
      </c>
      <c r="DH25" s="41" t="str">
        <f t="shared" ca="1" si="98"/>
        <v>=15</v>
      </c>
      <c r="DI25" s="21" t="str">
        <f t="shared" ca="1" si="63"/>
        <v>Jamaica</v>
      </c>
      <c r="DJ25" s="43">
        <f t="shared" ca="1" si="64"/>
        <v>16.7</v>
      </c>
      <c r="DK25" s="43" t="str">
        <f t="shared" ca="1" si="65"/>
        <v>+2.8</v>
      </c>
      <c r="DL25" s="38">
        <f t="shared" ca="1" si="66"/>
        <v>16.7</v>
      </c>
      <c r="DN25" s="38">
        <f t="shared" ca="1" si="67"/>
        <v>50</v>
      </c>
      <c r="DO25" s="38" t="e">
        <f t="shared" ca="1" si="68"/>
        <v>#REF!</v>
      </c>
      <c r="DP25" s="38">
        <f t="shared" si="69"/>
        <v>0</v>
      </c>
      <c r="DQ25" s="47" t="str">
        <f t="shared" si="99"/>
        <v>-</v>
      </c>
      <c r="DR25" s="38">
        <f t="shared" ca="1" si="100"/>
        <v>50</v>
      </c>
      <c r="DS25">
        <f ca="1">RANK(DR25,DR$10:DR$28)+COUNTIF(DR$10:DR25,DR25)-1</f>
        <v>6</v>
      </c>
      <c r="DT25">
        <f t="shared" ca="1" si="70"/>
        <v>10</v>
      </c>
      <c r="DU25" s="21">
        <f t="shared" ca="1" si="109"/>
        <v>14</v>
      </c>
      <c r="DV25" s="21">
        <f t="shared" ca="1" si="71"/>
        <v>1</v>
      </c>
      <c r="DW25" s="41" t="str">
        <f t="shared" ca="1" si="101"/>
        <v>=14</v>
      </c>
      <c r="DX25" s="21" t="str">
        <f t="shared" ca="1" si="72"/>
        <v>Honduras</v>
      </c>
      <c r="DY25" s="43">
        <f t="shared" ca="1" si="73"/>
        <v>0</v>
      </c>
      <c r="DZ25" s="43" t="str">
        <f t="shared" ca="1" si="74"/>
        <v>-</v>
      </c>
      <c r="EA25" s="38">
        <f t="shared" ca="1" si="75"/>
        <v>0</v>
      </c>
    </row>
    <row r="26" spans="1:131">
      <c r="A26">
        <v>17</v>
      </c>
      <c r="B26" t="str">
        <f>tblCountries!E22</f>
        <v>Trinidad &amp; Tobago</v>
      </c>
      <c r="C26">
        <f>tblCountries!A22</f>
        <v>17</v>
      </c>
      <c r="D26">
        <f ca="1">tblCountries!F22</f>
        <v>1</v>
      </c>
      <c r="G26" s="38">
        <f t="shared" ca="1" si="0"/>
        <v>25</v>
      </c>
      <c r="H26" s="47">
        <f t="shared" ca="1" si="1"/>
        <v>1</v>
      </c>
      <c r="I26" s="38">
        <f t="shared" ca="1" si="2"/>
        <v>25</v>
      </c>
      <c r="J26" s="38">
        <f t="shared" ca="1" si="3"/>
        <v>1</v>
      </c>
      <c r="K26" s="47">
        <f t="shared" si="4"/>
        <v>0</v>
      </c>
      <c r="L26" s="47" t="str">
        <f t="shared" si="76"/>
        <v>-</v>
      </c>
      <c r="M26" s="47">
        <f t="shared" si="77"/>
        <v>0</v>
      </c>
      <c r="N26" s="38">
        <f t="shared" ca="1" si="78"/>
        <v>25</v>
      </c>
      <c r="O26">
        <f ca="1">RANK(N26,N$10:N$28)+COUNTIF(N$10:N26,N26)-1</f>
        <v>16</v>
      </c>
      <c r="P26">
        <f t="shared" ca="1" si="5"/>
        <v>18</v>
      </c>
      <c r="Q26" s="21">
        <f t="shared" ca="1" si="102"/>
        <v>9</v>
      </c>
      <c r="R26" s="21">
        <f t="shared" ca="1" si="6"/>
        <v>1</v>
      </c>
      <c r="S26" s="41" t="str">
        <f t="shared" ca="1" si="79"/>
        <v>=9</v>
      </c>
      <c r="T26" s="21" t="str">
        <f t="shared" ca="1" si="7"/>
        <v>Uruguay</v>
      </c>
      <c r="U26" s="41" t="str">
        <f t="shared" ca="1" si="8"/>
        <v>1</v>
      </c>
      <c r="V26" s="43">
        <f t="shared" ca="1" si="9"/>
        <v>25</v>
      </c>
      <c r="W26" s="43" t="str">
        <f t="shared" ca="1" si="10"/>
        <v>-</v>
      </c>
      <c r="X26" t="str">
        <f t="shared" ca="1" si="80"/>
        <v>-</v>
      </c>
      <c r="Y26">
        <f t="shared" ca="1" si="11"/>
        <v>25</v>
      </c>
      <c r="Z26">
        <f t="shared" ca="1" si="12"/>
        <v>0</v>
      </c>
      <c r="AB26" s="38">
        <f t="shared" ca="1" si="13"/>
        <v>29.9</v>
      </c>
      <c r="AC26" s="38">
        <f t="shared" ca="1" si="14"/>
        <v>22.9</v>
      </c>
      <c r="AD26" s="38">
        <f t="shared" si="15"/>
        <v>0.4</v>
      </c>
      <c r="AE26" s="47" t="str">
        <f t="shared" si="81"/>
        <v>+0.4</v>
      </c>
      <c r="AF26" s="38">
        <f t="shared" ca="1" si="82"/>
        <v>29.9</v>
      </c>
      <c r="AG26">
        <f ca="1">RANK(AF26,AF$10:AF$28)+COUNTIF(AF$10:AF26,AF26)-1</f>
        <v>11</v>
      </c>
      <c r="AH26">
        <f t="shared" ca="1" si="16"/>
        <v>13</v>
      </c>
      <c r="AI26" s="21">
        <f t="shared" ca="1" si="103"/>
        <v>17</v>
      </c>
      <c r="AJ26" s="21">
        <f t="shared" ca="1" si="17"/>
        <v>1</v>
      </c>
      <c r="AK26" s="41">
        <f t="shared" ca="1" si="83"/>
        <v>17</v>
      </c>
      <c r="AL26" s="21" t="str">
        <f t="shared" ca="1" si="18"/>
        <v>Nicaragua</v>
      </c>
      <c r="AM26" s="43">
        <f t="shared" ca="1" si="19"/>
        <v>16</v>
      </c>
      <c r="AN26" s="43" t="str">
        <f t="shared" ca="1" si="20"/>
        <v>+9.5</v>
      </c>
      <c r="AO26" s="38">
        <f t="shared" ca="1" si="21"/>
        <v>16</v>
      </c>
      <c r="AQ26" s="38">
        <f t="shared" ca="1" si="22"/>
        <v>25</v>
      </c>
      <c r="AR26" s="38">
        <f t="shared" ca="1" si="23"/>
        <v>25</v>
      </c>
      <c r="AS26" s="38">
        <f t="shared" si="24"/>
        <v>0</v>
      </c>
      <c r="AT26" s="47" t="str">
        <f t="shared" si="84"/>
        <v>-</v>
      </c>
      <c r="AU26" s="38">
        <f t="shared" ca="1" si="85"/>
        <v>25</v>
      </c>
      <c r="AV26">
        <f ca="1">RANK(AU26,AU$10:AU$28)+COUNTIF(AU$10:AU26,AU26)-1</f>
        <v>13</v>
      </c>
      <c r="AW26">
        <f t="shared" ca="1" si="25"/>
        <v>10</v>
      </c>
      <c r="AX26" s="21">
        <f t="shared" ca="1" si="104"/>
        <v>17</v>
      </c>
      <c r="AY26" s="21">
        <f t="shared" ca="1" si="26"/>
        <v>1</v>
      </c>
      <c r="AZ26" s="41">
        <f t="shared" ca="1" si="86"/>
        <v>17</v>
      </c>
      <c r="BA26" s="21" t="str">
        <f t="shared" ca="1" si="27"/>
        <v>Honduras</v>
      </c>
      <c r="BB26" s="43">
        <f t="shared" ca="1" si="28"/>
        <v>15.6</v>
      </c>
      <c r="BC26" s="43" t="str">
        <f t="shared" ca="1" si="29"/>
        <v>-</v>
      </c>
      <c r="BD26" s="38">
        <f t="shared" ca="1" si="30"/>
        <v>15.6</v>
      </c>
      <c r="BF26" s="38">
        <f t="shared" ca="1" si="31"/>
        <v>25</v>
      </c>
      <c r="BG26" s="38">
        <f t="shared" ca="1" si="32"/>
        <v>25</v>
      </c>
      <c r="BH26" s="38">
        <f t="shared" si="33"/>
        <v>0</v>
      </c>
      <c r="BI26" s="47" t="str">
        <f t="shared" si="87"/>
        <v>-</v>
      </c>
      <c r="BJ26" s="38">
        <f t="shared" ca="1" si="88"/>
        <v>25</v>
      </c>
      <c r="BK26">
        <f ca="1">RANK(BJ26,BJ$10:BJ$28)+COUNTIF(BJ$10:BJ26,BJ26)-1</f>
        <v>16</v>
      </c>
      <c r="BL26">
        <f t="shared" ca="1" si="34"/>
        <v>6</v>
      </c>
      <c r="BM26" s="21">
        <f t="shared" ca="1" si="105"/>
        <v>17</v>
      </c>
      <c r="BN26" s="21">
        <f t="shared" ca="1" si="35"/>
        <v>1</v>
      </c>
      <c r="BO26" s="41">
        <f t="shared" ca="1" si="89"/>
        <v>17</v>
      </c>
      <c r="BP26" s="21" t="str">
        <f t="shared" ca="1" si="36"/>
        <v>Dominican Rep.</v>
      </c>
      <c r="BQ26" s="43">
        <f t="shared" ca="1" si="37"/>
        <v>8.3000000000000007</v>
      </c>
      <c r="BR26" s="43" t="str">
        <f t="shared" ca="1" si="38"/>
        <v>-16.7</v>
      </c>
      <c r="BS26" s="38">
        <f t="shared" ca="1" si="39"/>
        <v>8.3000000000000007</v>
      </c>
      <c r="BU26" s="38">
        <f t="shared" ca="1" si="40"/>
        <v>9.5</v>
      </c>
      <c r="BV26" s="38">
        <f t="shared" ca="1" si="41"/>
        <v>4.3</v>
      </c>
      <c r="BW26" s="38">
        <f t="shared" si="42"/>
        <v>6.2</v>
      </c>
      <c r="BX26" s="47" t="str">
        <f t="shared" si="90"/>
        <v>+6.2</v>
      </c>
      <c r="BY26" s="38">
        <f t="shared" ca="1" si="91"/>
        <v>9.5</v>
      </c>
      <c r="BZ26">
        <f ca="1">RANK(BY26,BY$10:BY$28)+COUNTIF(BY$10:BY26,BY26)-1</f>
        <v>18</v>
      </c>
      <c r="CA26">
        <f t="shared" ca="1" si="43"/>
        <v>14</v>
      </c>
      <c r="CB26" s="21">
        <f t="shared" ca="1" si="106"/>
        <v>16</v>
      </c>
      <c r="CC26" s="21">
        <f t="shared" ca="1" si="44"/>
        <v>1</v>
      </c>
      <c r="CD26" s="41" t="str">
        <f t="shared" ca="1" si="92"/>
        <v>=16</v>
      </c>
      <c r="CE26" s="21" t="str">
        <f t="shared" ca="1" si="45"/>
        <v>Panama</v>
      </c>
      <c r="CF26" s="43">
        <f t="shared" ca="1" si="46"/>
        <v>13.1</v>
      </c>
      <c r="CG26" s="43" t="str">
        <f t="shared" ca="1" si="47"/>
        <v>+6.1</v>
      </c>
      <c r="CH26" s="38">
        <f t="shared" ca="1" si="48"/>
        <v>13.1</v>
      </c>
      <c r="CJ26" s="38">
        <f t="shared" ca="1" si="49"/>
        <v>39.9</v>
      </c>
      <c r="CK26" s="38">
        <f t="shared" ca="1" si="50"/>
        <v>64.3</v>
      </c>
      <c r="CL26" s="38">
        <f t="shared" si="51"/>
        <v>-3.9</v>
      </c>
      <c r="CM26" s="47" t="str">
        <f t="shared" si="93"/>
        <v>-3.9</v>
      </c>
      <c r="CN26" s="38">
        <f t="shared" ca="1" si="94"/>
        <v>39.9</v>
      </c>
      <c r="CO26">
        <f ca="1">RANK(CN26,CN$10:CN$28)+COUNTIF(CN$10:CN26,CN26)-1</f>
        <v>13</v>
      </c>
      <c r="CP26">
        <f t="shared" ca="1" si="52"/>
        <v>7</v>
      </c>
      <c r="CQ26" s="21">
        <f t="shared" ca="1" si="107"/>
        <v>17</v>
      </c>
      <c r="CR26" s="21">
        <f t="shared" ca="1" si="53"/>
        <v>1</v>
      </c>
      <c r="CS26" s="41">
        <f t="shared" ca="1" si="95"/>
        <v>17</v>
      </c>
      <c r="CT26" s="21" t="str">
        <f t="shared" ca="1" si="54"/>
        <v>Ecuador</v>
      </c>
      <c r="CU26" s="43">
        <f t="shared" ca="1" si="55"/>
        <v>17.899999999999999</v>
      </c>
      <c r="CV26" s="43" t="str">
        <f t="shared" ca="1" si="56"/>
        <v>+2.1</v>
      </c>
      <c r="CW26" s="38">
        <f t="shared" ca="1" si="57"/>
        <v>17.899999999999999</v>
      </c>
      <c r="CY26" s="38">
        <f t="shared" ca="1" si="58"/>
        <v>58.3</v>
      </c>
      <c r="CZ26" s="38">
        <f t="shared" ca="1" si="59"/>
        <v>58.3</v>
      </c>
      <c r="DA26" s="38">
        <f t="shared" si="60"/>
        <v>0</v>
      </c>
      <c r="DB26" s="47" t="str">
        <f t="shared" si="96"/>
        <v>-</v>
      </c>
      <c r="DC26" s="38">
        <f t="shared" ca="1" si="97"/>
        <v>58.3</v>
      </c>
      <c r="DD26">
        <f ca="1">RANK(DC26,DC$10:DC$28)+COUNTIF(DC$10:DC26,DC26)-1</f>
        <v>6</v>
      </c>
      <c r="DE26">
        <f t="shared" ca="1" si="61"/>
        <v>19</v>
      </c>
      <c r="DF26" s="21">
        <f t="shared" ca="1" si="108"/>
        <v>15</v>
      </c>
      <c r="DG26" s="21">
        <f t="shared" ca="1" si="62"/>
        <v>1</v>
      </c>
      <c r="DH26" s="41" t="str">
        <f t="shared" ca="1" si="98"/>
        <v>=15</v>
      </c>
      <c r="DI26" s="21" t="str">
        <f t="shared" ca="1" si="63"/>
        <v>Venezuela</v>
      </c>
      <c r="DJ26" s="43">
        <f t="shared" ca="1" si="64"/>
        <v>16.7</v>
      </c>
      <c r="DK26" s="43" t="str">
        <f t="shared" ca="1" si="65"/>
        <v>-5.6</v>
      </c>
      <c r="DL26" s="38">
        <f t="shared" ca="1" si="66"/>
        <v>16.7</v>
      </c>
      <c r="DN26" s="38">
        <f t="shared" ca="1" si="67"/>
        <v>25</v>
      </c>
      <c r="DO26" s="38" t="e">
        <f t="shared" ca="1" si="68"/>
        <v>#REF!</v>
      </c>
      <c r="DP26" s="38">
        <f t="shared" si="69"/>
        <v>0</v>
      </c>
      <c r="DQ26" s="47" t="str">
        <f t="shared" si="99"/>
        <v>-</v>
      </c>
      <c r="DR26" s="38">
        <f t="shared" ca="1" si="100"/>
        <v>25</v>
      </c>
      <c r="DS26">
        <f ca="1">RANK(DR26,DR$10:DR$28)+COUNTIF(DR$10:DR26,DR26)-1</f>
        <v>12</v>
      </c>
      <c r="DT26">
        <f t="shared" ca="1" si="70"/>
        <v>13</v>
      </c>
      <c r="DU26" s="21">
        <f t="shared" ca="1" si="109"/>
        <v>14</v>
      </c>
      <c r="DV26" s="21">
        <f t="shared" ca="1" si="71"/>
        <v>1</v>
      </c>
      <c r="DW26" s="41" t="str">
        <f t="shared" ca="1" si="101"/>
        <v>=14</v>
      </c>
      <c r="DX26" s="21" t="str">
        <f t="shared" ca="1" si="72"/>
        <v>Nicaragua</v>
      </c>
      <c r="DY26" s="43">
        <f t="shared" ca="1" si="73"/>
        <v>0</v>
      </c>
      <c r="DZ26" s="43" t="str">
        <f t="shared" ca="1" si="74"/>
        <v>-</v>
      </c>
      <c r="EA26" s="38">
        <f t="shared" ca="1" si="75"/>
        <v>0</v>
      </c>
    </row>
    <row r="27" spans="1:131">
      <c r="A27">
        <v>18</v>
      </c>
      <c r="B27" t="str">
        <f>tblCountries!E23</f>
        <v>Uruguay</v>
      </c>
      <c r="C27">
        <f>tblCountries!A23</f>
        <v>18</v>
      </c>
      <c r="D27">
        <f ca="1">tblCountries!F23</f>
        <v>1</v>
      </c>
      <c r="G27" s="38">
        <f t="shared" ca="1" si="0"/>
        <v>25</v>
      </c>
      <c r="H27" s="47">
        <f t="shared" ca="1" si="1"/>
        <v>1</v>
      </c>
      <c r="I27" s="38">
        <f t="shared" ca="1" si="2"/>
        <v>25</v>
      </c>
      <c r="J27" s="38">
        <f t="shared" ca="1" si="3"/>
        <v>1</v>
      </c>
      <c r="K27" s="47">
        <f t="shared" si="4"/>
        <v>0</v>
      </c>
      <c r="L27" s="47" t="str">
        <f t="shared" si="76"/>
        <v>-</v>
      </c>
      <c r="M27" s="47">
        <f t="shared" si="77"/>
        <v>0</v>
      </c>
      <c r="N27" s="38">
        <f t="shared" ca="1" si="78"/>
        <v>25</v>
      </c>
      <c r="O27">
        <f ca="1">RANK(N27,N$10:N$28)+COUNTIF(N$10:N27,N27)-1</f>
        <v>17</v>
      </c>
      <c r="P27">
        <f t="shared" ca="1" si="5"/>
        <v>7</v>
      </c>
      <c r="Q27" s="21">
        <f t="shared" ca="1" si="102"/>
        <v>18</v>
      </c>
      <c r="R27" s="21">
        <f t="shared" ca="1" si="6"/>
        <v>1</v>
      </c>
      <c r="S27" s="41" t="str">
        <f t="shared" ca="1" si="79"/>
        <v>=18</v>
      </c>
      <c r="T27" s="21" t="str">
        <f t="shared" ca="1" si="7"/>
        <v>Ecuador</v>
      </c>
      <c r="U27" s="41" t="str">
        <f t="shared" ca="1" si="8"/>
        <v>0</v>
      </c>
      <c r="V27" s="43">
        <f t="shared" ca="1" si="9"/>
        <v>0</v>
      </c>
      <c r="W27" s="43" t="str">
        <f t="shared" ca="1" si="10"/>
        <v>-</v>
      </c>
      <c r="X27" t="str">
        <f t="shared" ca="1" si="80"/>
        <v>-</v>
      </c>
      <c r="Y27">
        <f t="shared" ca="1" si="11"/>
        <v>0</v>
      </c>
      <c r="Z27">
        <f t="shared" ca="1" si="12"/>
        <v>0</v>
      </c>
      <c r="AB27" s="38">
        <f t="shared" ca="1" si="13"/>
        <v>31.8</v>
      </c>
      <c r="AC27" s="38">
        <f t="shared" ca="1" si="14"/>
        <v>27.3</v>
      </c>
      <c r="AD27" s="38">
        <f t="shared" si="15"/>
        <v>4.7</v>
      </c>
      <c r="AE27" s="47" t="str">
        <f t="shared" si="81"/>
        <v>+4.7</v>
      </c>
      <c r="AF27" s="38">
        <f t="shared" ca="1" si="82"/>
        <v>31.8</v>
      </c>
      <c r="AG27">
        <f ca="1">RANK(AF27,AF$10:AF$28)+COUNTIF(AF$10:AF27,AF27)-1</f>
        <v>9</v>
      </c>
      <c r="AH27">
        <f t="shared" ca="1" si="16"/>
        <v>7</v>
      </c>
      <c r="AI27" s="21">
        <f t="shared" ca="1" si="103"/>
        <v>18</v>
      </c>
      <c r="AJ27" s="21">
        <f t="shared" ca="1" si="17"/>
        <v>1</v>
      </c>
      <c r="AK27" s="41">
        <f t="shared" ca="1" si="83"/>
        <v>18</v>
      </c>
      <c r="AL27" s="21" t="str">
        <f t="shared" ca="1" si="18"/>
        <v>Ecuador</v>
      </c>
      <c r="AM27" s="43">
        <f t="shared" ca="1" si="19"/>
        <v>14.2</v>
      </c>
      <c r="AN27" s="43" t="str">
        <f t="shared" ca="1" si="20"/>
        <v>-0.3</v>
      </c>
      <c r="AO27" s="38">
        <f t="shared" ca="1" si="21"/>
        <v>14.2</v>
      </c>
      <c r="AQ27" s="38">
        <f t="shared" ca="1" si="22"/>
        <v>34.4</v>
      </c>
      <c r="AR27" s="38">
        <f t="shared" ca="1" si="23"/>
        <v>25</v>
      </c>
      <c r="AS27" s="38">
        <f t="shared" si="24"/>
        <v>9.4</v>
      </c>
      <c r="AT27" s="47" t="str">
        <f t="shared" si="84"/>
        <v>+9.4</v>
      </c>
      <c r="AU27" s="38">
        <f t="shared" ca="1" si="85"/>
        <v>34.4</v>
      </c>
      <c r="AV27">
        <f ca="1">RANK(AU27,AU$10:AU$28)+COUNTIF(AU$10:AU27,AU27)-1</f>
        <v>9</v>
      </c>
      <c r="AW27">
        <f t="shared" ca="1" si="25"/>
        <v>7</v>
      </c>
      <c r="AX27" s="21">
        <f t="shared" ca="1" si="104"/>
        <v>18</v>
      </c>
      <c r="AY27" s="21">
        <f t="shared" ca="1" si="26"/>
        <v>1</v>
      </c>
      <c r="AZ27" s="41">
        <f t="shared" ca="1" si="86"/>
        <v>18</v>
      </c>
      <c r="BA27" s="21" t="str">
        <f t="shared" ca="1" si="27"/>
        <v>Ecuador</v>
      </c>
      <c r="BB27" s="43">
        <f t="shared" ca="1" si="28"/>
        <v>6.3</v>
      </c>
      <c r="BC27" s="43" t="str">
        <f t="shared" ca="1" si="29"/>
        <v>-</v>
      </c>
      <c r="BD27" s="38">
        <f t="shared" ca="1" si="30"/>
        <v>6.3</v>
      </c>
      <c r="BF27" s="38">
        <f t="shared" ca="1" si="31"/>
        <v>33.299999999999997</v>
      </c>
      <c r="BG27" s="38">
        <f t="shared" ca="1" si="32"/>
        <v>37.5</v>
      </c>
      <c r="BH27" s="38">
        <f t="shared" si="33"/>
        <v>0</v>
      </c>
      <c r="BI27" s="47" t="str">
        <f t="shared" si="87"/>
        <v>-</v>
      </c>
      <c r="BJ27" s="38">
        <f t="shared" ca="1" si="88"/>
        <v>33.299999999999997</v>
      </c>
      <c r="BK27">
        <f ca="1">RANK(BJ27,BJ$10:BJ$28)+COUNTIF(BJ$10:BJ27,BJ27)-1</f>
        <v>10</v>
      </c>
      <c r="BL27">
        <f t="shared" ca="1" si="34"/>
        <v>7</v>
      </c>
      <c r="BM27" s="21">
        <f t="shared" ca="1" si="105"/>
        <v>18</v>
      </c>
      <c r="BN27" s="21">
        <f t="shared" ca="1" si="35"/>
        <v>1</v>
      </c>
      <c r="BO27" s="41" t="str">
        <f t="shared" ca="1" si="89"/>
        <v>=18</v>
      </c>
      <c r="BP27" s="21" t="str">
        <f t="shared" ca="1" si="36"/>
        <v>Ecuador</v>
      </c>
      <c r="BQ27" s="43">
        <f t="shared" ca="1" si="37"/>
        <v>0</v>
      </c>
      <c r="BR27" s="43" t="str">
        <f t="shared" ca="1" si="38"/>
        <v>-</v>
      </c>
      <c r="BS27" s="38">
        <f t="shared" ca="1" si="39"/>
        <v>0</v>
      </c>
      <c r="BU27" s="38">
        <f t="shared" ca="1" si="40"/>
        <v>19.3</v>
      </c>
      <c r="BV27" s="38">
        <f t="shared" ca="1" si="41"/>
        <v>13.3</v>
      </c>
      <c r="BW27" s="38">
        <f t="shared" si="42"/>
        <v>5.6</v>
      </c>
      <c r="BX27" s="47" t="str">
        <f t="shared" si="90"/>
        <v>+5.6</v>
      </c>
      <c r="BY27" s="38">
        <f t="shared" ca="1" si="91"/>
        <v>19.3</v>
      </c>
      <c r="BZ27">
        <f ca="1">RANK(BY27,BY$10:BY$28)+COUNTIF(BY$10:BY27,BY27)-1</f>
        <v>12</v>
      </c>
      <c r="CA27">
        <f t="shared" ca="1" si="43"/>
        <v>17</v>
      </c>
      <c r="CB27" s="21">
        <f t="shared" ca="1" si="106"/>
        <v>18</v>
      </c>
      <c r="CC27" s="21">
        <f t="shared" ca="1" si="44"/>
        <v>1</v>
      </c>
      <c r="CD27" s="41">
        <f t="shared" ca="1" si="92"/>
        <v>18</v>
      </c>
      <c r="CE27" s="21" t="str">
        <f t="shared" ca="1" si="45"/>
        <v>Trinidad &amp; Tobago</v>
      </c>
      <c r="CF27" s="43">
        <f t="shared" ca="1" si="46"/>
        <v>9.5</v>
      </c>
      <c r="CG27" s="43" t="str">
        <f t="shared" ca="1" si="47"/>
        <v>+6.2</v>
      </c>
      <c r="CH27" s="38">
        <f t="shared" ca="1" si="48"/>
        <v>9.5</v>
      </c>
      <c r="CJ27" s="38">
        <f t="shared" ca="1" si="49"/>
        <v>43.7</v>
      </c>
      <c r="CK27" s="38">
        <f t="shared" ca="1" si="50"/>
        <v>76.2</v>
      </c>
      <c r="CL27" s="38">
        <f t="shared" si="51"/>
        <v>1.5</v>
      </c>
      <c r="CM27" s="47" t="str">
        <f t="shared" si="93"/>
        <v>+1.5</v>
      </c>
      <c r="CN27" s="38">
        <f t="shared" ca="1" si="94"/>
        <v>43.7</v>
      </c>
      <c r="CO27">
        <f ca="1">RANK(CN27,CN$10:CN$28)+COUNTIF(CN$10:CN27,CN27)-1</f>
        <v>10</v>
      </c>
      <c r="CP27">
        <f t="shared" ca="1" si="52"/>
        <v>13</v>
      </c>
      <c r="CQ27" s="21">
        <f t="shared" ca="1" si="107"/>
        <v>18</v>
      </c>
      <c r="CR27" s="21">
        <f t="shared" ca="1" si="53"/>
        <v>1</v>
      </c>
      <c r="CS27" s="41">
        <f t="shared" ca="1" si="95"/>
        <v>18</v>
      </c>
      <c r="CT27" s="21" t="str">
        <f t="shared" ca="1" si="54"/>
        <v>Nicaragua</v>
      </c>
      <c r="CU27" s="43">
        <f t="shared" ca="1" si="55"/>
        <v>15.6</v>
      </c>
      <c r="CV27" s="43" t="str">
        <f t="shared" ca="1" si="56"/>
        <v>-0.8</v>
      </c>
      <c r="CW27" s="38">
        <f t="shared" ca="1" si="57"/>
        <v>15.6</v>
      </c>
      <c r="CY27" s="38">
        <f t="shared" ca="1" si="58"/>
        <v>30.6</v>
      </c>
      <c r="CZ27" s="38">
        <f t="shared" ca="1" si="59"/>
        <v>25</v>
      </c>
      <c r="DA27" s="38">
        <f t="shared" si="60"/>
        <v>5.6</v>
      </c>
      <c r="DB27" s="47" t="str">
        <f t="shared" si="96"/>
        <v>+5.6</v>
      </c>
      <c r="DC27" s="38">
        <f t="shared" ca="1" si="97"/>
        <v>30.6</v>
      </c>
      <c r="DD27">
        <f ca="1">RANK(DC27,DC$10:DC$28)+COUNTIF(DC$10:DC27,DC27)-1</f>
        <v>12</v>
      </c>
      <c r="DE27">
        <f t="shared" ca="1" si="61"/>
        <v>10</v>
      </c>
      <c r="DF27" s="21">
        <f t="shared" ca="1" si="108"/>
        <v>18</v>
      </c>
      <c r="DG27" s="21">
        <f t="shared" ca="1" si="62"/>
        <v>1</v>
      </c>
      <c r="DH27" s="41">
        <f t="shared" ca="1" si="98"/>
        <v>18</v>
      </c>
      <c r="DI27" s="21" t="str">
        <f t="shared" ca="1" si="63"/>
        <v>Honduras</v>
      </c>
      <c r="DJ27" s="43">
        <f t="shared" ca="1" si="64"/>
        <v>11.1</v>
      </c>
      <c r="DK27" s="43" t="str">
        <f t="shared" ca="1" si="65"/>
        <v>+2.8</v>
      </c>
      <c r="DL27" s="38">
        <f t="shared" ca="1" si="66"/>
        <v>11.1</v>
      </c>
      <c r="DN27" s="38">
        <f t="shared" ca="1" si="67"/>
        <v>25</v>
      </c>
      <c r="DO27" s="38" t="e">
        <f t="shared" ca="1" si="68"/>
        <v>#REF!</v>
      </c>
      <c r="DP27" s="38">
        <f t="shared" si="69"/>
        <v>0</v>
      </c>
      <c r="DQ27" s="47" t="str">
        <f t="shared" si="99"/>
        <v>-</v>
      </c>
      <c r="DR27" s="38">
        <f t="shared" ca="1" si="100"/>
        <v>25</v>
      </c>
      <c r="DS27">
        <f ca="1">RANK(DR27,DR$10:DR$28)+COUNTIF(DR$10:DR27,DR27)-1</f>
        <v>13</v>
      </c>
      <c r="DT27">
        <f t="shared" ca="1" si="70"/>
        <v>14</v>
      </c>
      <c r="DU27" s="21">
        <f t="shared" ca="1" si="109"/>
        <v>14</v>
      </c>
      <c r="DV27" s="21">
        <f t="shared" ca="1" si="71"/>
        <v>1</v>
      </c>
      <c r="DW27" s="41" t="str">
        <f t="shared" ca="1" si="101"/>
        <v>=14</v>
      </c>
      <c r="DX27" s="21" t="str">
        <f t="shared" ca="1" si="72"/>
        <v>Panama</v>
      </c>
      <c r="DY27" s="43">
        <f t="shared" ca="1" si="73"/>
        <v>0</v>
      </c>
      <c r="DZ27" s="43" t="str">
        <f t="shared" ca="1" si="74"/>
        <v>-</v>
      </c>
      <c r="EA27" s="38">
        <f t="shared" ca="1" si="75"/>
        <v>0</v>
      </c>
    </row>
    <row r="28" spans="1:131">
      <c r="A28">
        <v>19</v>
      </c>
      <c r="B28" t="str">
        <f>tblCountries!E24</f>
        <v>Venezuela</v>
      </c>
      <c r="C28">
        <f>tblCountries!A24</f>
        <v>19</v>
      </c>
      <c r="D28">
        <f ca="1">tblCountries!F24</f>
        <v>1</v>
      </c>
      <c r="G28" s="38">
        <f t="shared" ca="1" si="0"/>
        <v>0</v>
      </c>
      <c r="H28" s="47">
        <f ca="1">IF($D28=0,"",IF($G$4&lt;2,"-",ROUND(INDEX(data_2009,G$7,$C28),$G$5)))</f>
        <v>0</v>
      </c>
      <c r="I28" s="38">
        <f ca="1">IF($D28=0,"",ROUND(INDEX(scores_2008,G$7,$C28),1))</f>
        <v>25</v>
      </c>
      <c r="J28" s="38">
        <f ca="1">IF($D28=0,"",IF($G$4&lt;2,"-",ROUND(INDEX(data_2008,G$7,$C28),$G$5)))</f>
        <v>1</v>
      </c>
      <c r="K28" s="47">
        <f>IF(ISNUMBER(INDEX(yoy,G$7,$C28)),INDEX(yoy,G$7,$C28),0)</f>
        <v>-25</v>
      </c>
      <c r="L28" s="47" t="str">
        <f>IF(OR(K28=0,K28="-"),"-",IF(K28&gt;0,CONCATENATE("+",TEXT(K28,"0.0")),TEXT(K28,"0.0")))</f>
        <v>-25.0</v>
      </c>
      <c r="M28" s="47">
        <f>IF(K28=0,0,IF(K28&gt;0,1,-1))</f>
        <v>-1</v>
      </c>
      <c r="N28" s="38">
        <f ca="1">IF($B$4=1,G28,K28)</f>
        <v>0</v>
      </c>
      <c r="O28">
        <f ca="1">RANK(N28,N$10:N$28)+COUNTIF(N$10:N28,N28)-1</f>
        <v>19</v>
      </c>
      <c r="P28">
        <f t="shared" ca="1" si="5"/>
        <v>19</v>
      </c>
      <c r="Q28" s="21">
        <f ca="1">IF(ISERROR(P28),"",IF(ROUND(Y28,$B$3)=ROUND(Y27,$B$3),Q27,$A28))</f>
        <v>18</v>
      </c>
      <c r="R28" s="21">
        <f t="shared" ca="1" si="6"/>
        <v>1</v>
      </c>
      <c r="S28" s="41" t="str">
        <f ca="1">IF(R28=0,"",IF(OR(Q28=Q27,Q28=Q29),CONCATENATE($B$2,Q28),Q28))</f>
        <v>=18</v>
      </c>
      <c r="T28" s="21" t="str">
        <f t="shared" ca="1" si="7"/>
        <v>Venezuela</v>
      </c>
      <c r="U28" s="41" t="str">
        <f t="shared" ca="1" si="8"/>
        <v>0</v>
      </c>
      <c r="V28" s="43">
        <f t="shared" ca="1" si="9"/>
        <v>0</v>
      </c>
      <c r="W28" s="43" t="str">
        <f t="shared" ca="1" si="10"/>
        <v>-25.0</v>
      </c>
      <c r="X28" t="str">
        <f ca="1">IF($G$6="INVT03","",W28)</f>
        <v>-25.0</v>
      </c>
      <c r="Y28">
        <f t="shared" ca="1" si="11"/>
        <v>0</v>
      </c>
      <c r="Z28">
        <f t="shared" ca="1" si="12"/>
        <v>-1</v>
      </c>
      <c r="AB28" s="38">
        <f t="shared" ca="1" si="13"/>
        <v>4.2</v>
      </c>
      <c r="AC28" s="38">
        <f ca="1">IF($D28=0,"",ROUND(INDEX(scores_2008,AB$7,$C28),1))</f>
        <v>7.1</v>
      </c>
      <c r="AD28" s="38">
        <f>IF(ISNUMBER(INDEX(yoy,AB$7,$C28)),INDEX(yoy,AB$7,$C28),0)</f>
        <v>-5.7</v>
      </c>
      <c r="AE28" s="47" t="str">
        <f>IF(OR(AD28=0,AD28="-"),"-",IF(AD28&gt;0,CONCATENATE("+",TEXT(AD28,"0.0")),CONCATENATE("-",ABS(TEXT(AD28,"0.0")))))</f>
        <v>-5.7</v>
      </c>
      <c r="AF28" s="38">
        <f ca="1">ROUND(AB28,3)</f>
        <v>4.2</v>
      </c>
      <c r="AG28">
        <f ca="1">RANK(AF28,AF$10:AF$28)+COUNTIF(AF$10:AF28,AF28)-1</f>
        <v>19</v>
      </c>
      <c r="AH28">
        <f t="shared" ca="1" si="16"/>
        <v>19</v>
      </c>
      <c r="AI28" s="21">
        <f ca="1">IF(ISERROR(AH28),"",IF(ROUND(AO28,$B$3)=ROUND(AO27,$B$3),AI27,$A28))</f>
        <v>19</v>
      </c>
      <c r="AJ28" s="21">
        <f t="shared" ca="1" si="17"/>
        <v>1</v>
      </c>
      <c r="AK28" s="41">
        <f ca="1">IF(AJ28=0,"",IF(OR(AI28=AI27,AI28=AI29),CONCATENATE($B$2,AI28),AI28))</f>
        <v>19</v>
      </c>
      <c r="AL28" s="21" t="str">
        <f t="shared" ca="1" si="18"/>
        <v>Venezuela</v>
      </c>
      <c r="AM28" s="43">
        <f t="shared" ca="1" si="19"/>
        <v>4.2</v>
      </c>
      <c r="AN28" s="43" t="str">
        <f t="shared" ca="1" si="20"/>
        <v>-5.7</v>
      </c>
      <c r="AO28" s="38">
        <f t="shared" ca="1" si="21"/>
        <v>4.2</v>
      </c>
      <c r="AQ28" s="38">
        <f t="shared" ca="1" si="22"/>
        <v>0</v>
      </c>
      <c r="AR28" s="38">
        <f ca="1">IF($D28=0,"",ROUND(INDEX(scores_2008,AQ$7,$C28),1))</f>
        <v>8.3000000000000007</v>
      </c>
      <c r="AS28" s="38">
        <f>IF(ISNUMBER(INDEX(yoy,AQ$7,$C28)),INDEX(yoy,AQ$7,$C28),0)</f>
        <v>-9.4</v>
      </c>
      <c r="AT28" s="47" t="str">
        <f>IF(OR(AS28=0,AS28="-"),"-",IF(AS28&gt;0,CONCATENATE("+",TEXT(AS28,"0.0")),CONCATENATE("-",ABS(TEXT(AS28,"0.0")))))</f>
        <v>-9.4</v>
      </c>
      <c r="AU28" s="38">
        <f ca="1">ROUND(AQ28,3)</f>
        <v>0</v>
      </c>
      <c r="AV28">
        <f ca="1">RANK(AU28,AU$10:AU$28)+COUNTIF(AU$10:AU28,AU28)-1</f>
        <v>19</v>
      </c>
      <c r="AW28">
        <f t="shared" ca="1" si="25"/>
        <v>19</v>
      </c>
      <c r="AX28" s="21">
        <f ca="1">IF(ISERROR(AW28),"",IF(ROUND(BD28,$B$3)=ROUND(BD27,$B$3),AX27,$A28))</f>
        <v>19</v>
      </c>
      <c r="AY28" s="21">
        <f t="shared" ca="1" si="26"/>
        <v>1</v>
      </c>
      <c r="AZ28" s="41">
        <f ca="1">IF(AY28=0,"",IF(OR(AX28=AX27,AX28=AX29),CONCATENATE($B$2,AX28),AX28))</f>
        <v>19</v>
      </c>
      <c r="BA28" s="21" t="str">
        <f t="shared" ca="1" si="27"/>
        <v>Venezuela</v>
      </c>
      <c r="BB28" s="43">
        <f t="shared" ca="1" si="28"/>
        <v>0</v>
      </c>
      <c r="BC28" s="43" t="str">
        <f t="shared" ca="1" si="29"/>
        <v>-9.4</v>
      </c>
      <c r="BD28" s="38">
        <f t="shared" ca="1" si="30"/>
        <v>0</v>
      </c>
      <c r="BF28" s="38">
        <f t="shared" ca="1" si="31"/>
        <v>0</v>
      </c>
      <c r="BG28" s="38">
        <f ca="1">IF($D28=0,"",ROUND(INDEX(scores_2008,BF$7,$C28),1))</f>
        <v>0</v>
      </c>
      <c r="BH28" s="38">
        <f>IF(ISNUMBER(INDEX(yoy,BF$7,$C28)),INDEX(yoy,BF$7,$C28),0)</f>
        <v>0</v>
      </c>
      <c r="BI28" s="47" t="str">
        <f>IF(OR(BH28=0,BH28="-"),"-",IF(BH28&gt;0,CONCATENATE("+",TEXT(BH28,"0.0")),CONCATENATE("-",ABS(TEXT(BH28,"0.0")))))</f>
        <v>-</v>
      </c>
      <c r="BJ28" s="38">
        <f ca="1">ROUND(BF28,3)</f>
        <v>0</v>
      </c>
      <c r="BK28">
        <f ca="1">RANK(BJ28,BJ$10:BJ$28)+COUNTIF(BJ$10:BJ28,BJ28)-1</f>
        <v>19</v>
      </c>
      <c r="BL28">
        <f t="shared" ca="1" si="34"/>
        <v>19</v>
      </c>
      <c r="BM28" s="21">
        <f ca="1">IF(ISERROR(BL28),"",IF(ROUND(BS28,$B$3)=ROUND(BS27,$B$3),BM27,$A28))</f>
        <v>18</v>
      </c>
      <c r="BN28" s="21">
        <f t="shared" ca="1" si="35"/>
        <v>1</v>
      </c>
      <c r="BO28" s="41" t="str">
        <f ca="1">IF(BN28=0,"",IF(OR(BM28=BM27,BM28=BM29),CONCATENATE($B$2,BM28),BM28))</f>
        <v>=18</v>
      </c>
      <c r="BP28" s="21" t="str">
        <f t="shared" ca="1" si="36"/>
        <v>Venezuela</v>
      </c>
      <c r="BQ28" s="43">
        <f t="shared" ca="1" si="37"/>
        <v>0</v>
      </c>
      <c r="BR28" s="43" t="str">
        <f t="shared" ca="1" si="38"/>
        <v>-</v>
      </c>
      <c r="BS28" s="38">
        <f t="shared" ca="1" si="39"/>
        <v>0</v>
      </c>
      <c r="BU28" s="38">
        <f t="shared" ca="1" si="40"/>
        <v>0.6</v>
      </c>
      <c r="BV28" s="38">
        <f ca="1">IF($D28=0,"",ROUND(INDEX(scores_2008,BU$7,$C28),1))</f>
        <v>4.8</v>
      </c>
      <c r="BW28" s="38">
        <f>IF(ISNUMBER(INDEX(yoy,BU$7,$C28)),INDEX(yoy,BU$7,$C28),0)</f>
        <v>-6.6</v>
      </c>
      <c r="BX28" s="47" t="str">
        <f>IF(OR(BW28=0,BW28="-"),"-",IF(BW28&gt;0,CONCATENATE("+",TEXT(BW28,"0.0")),CONCATENATE("-",ABS(TEXT(BW28,"0.0")))))</f>
        <v>-6.6</v>
      </c>
      <c r="BY28" s="38">
        <f ca="1">ROUND(BU28,3)</f>
        <v>0.6</v>
      </c>
      <c r="BZ28">
        <f ca="1">RANK(BY28,BY$10:BY$28)+COUNTIF(BY$10:BY28,BY28)-1</f>
        <v>19</v>
      </c>
      <c r="CA28">
        <f t="shared" ca="1" si="43"/>
        <v>19</v>
      </c>
      <c r="CB28" s="21">
        <f ca="1">IF(ISERROR(CA28),"",IF(ROUND(CH28,$B$3)=ROUND(CH27,$B$3),CB27,$A28))</f>
        <v>19</v>
      </c>
      <c r="CC28" s="21">
        <f t="shared" ca="1" si="44"/>
        <v>1</v>
      </c>
      <c r="CD28" s="41">
        <f ca="1">IF(CC28=0,"",IF(OR(CB28=CB27,CB28=CB29),CONCATENATE($B$2,CB28),CB28))</f>
        <v>19</v>
      </c>
      <c r="CE28" s="21" t="str">
        <f t="shared" ca="1" si="45"/>
        <v>Venezuela</v>
      </c>
      <c r="CF28" s="43">
        <f t="shared" ca="1" si="46"/>
        <v>0.6</v>
      </c>
      <c r="CG28" s="43" t="str">
        <f t="shared" ca="1" si="47"/>
        <v>-6.6</v>
      </c>
      <c r="CH28" s="38">
        <f t="shared" ca="1" si="48"/>
        <v>0.6</v>
      </c>
      <c r="CJ28" s="38">
        <f t="shared" ca="1" si="49"/>
        <v>10.5</v>
      </c>
      <c r="CK28" s="38">
        <f ca="1">IF($D28=0,"",ROUND(INDEX(scores_2008,CJ$7,$C28),1))</f>
        <v>37.1</v>
      </c>
      <c r="CL28" s="38">
        <f>IF(ISNUMBER(INDEX(yoy,CJ$7,$C28)),INDEX(yoy,CJ$7,$C28),0)</f>
        <v>-6.3</v>
      </c>
      <c r="CM28" s="47" t="str">
        <f>IF(OR(CL28=0,CL28="-"),"-",IF(CL28&gt;0,CONCATENATE("+",TEXT(CL28,"0.0")),CONCATENATE("-",ABS(TEXT(CL28,"0.0")))))</f>
        <v>-6.3</v>
      </c>
      <c r="CN28" s="38">
        <f ca="1">ROUND(CJ28,3)</f>
        <v>10.5</v>
      </c>
      <c r="CO28">
        <f ca="1">RANK(CN28,CN$10:CN$28)+COUNTIF(CN$10:CN28,CN28)-1</f>
        <v>19</v>
      </c>
      <c r="CP28">
        <f t="shared" ca="1" si="52"/>
        <v>19</v>
      </c>
      <c r="CQ28" s="21">
        <f ca="1">IF(ISERROR(CP28),"",IF(ROUND(CW28,$B$3)=ROUND(CW27,$B$3),CQ27,$A28))</f>
        <v>19</v>
      </c>
      <c r="CR28" s="21">
        <f t="shared" ca="1" si="53"/>
        <v>1</v>
      </c>
      <c r="CS28" s="41">
        <f ca="1">IF(CR28=0,"",IF(OR(CQ28=CQ27,CQ28=CQ29),CONCATENATE($B$2,CQ28),CQ28))</f>
        <v>19</v>
      </c>
      <c r="CT28" s="21" t="str">
        <f t="shared" ca="1" si="54"/>
        <v>Venezuela</v>
      </c>
      <c r="CU28" s="43">
        <f t="shared" ca="1" si="55"/>
        <v>10.5</v>
      </c>
      <c r="CV28" s="43" t="str">
        <f t="shared" ca="1" si="56"/>
        <v>-6.3</v>
      </c>
      <c r="CW28" s="38">
        <f t="shared" ca="1" si="57"/>
        <v>10.5</v>
      </c>
      <c r="CY28" s="38">
        <f t="shared" ca="1" si="58"/>
        <v>16.7</v>
      </c>
      <c r="CZ28" s="38">
        <f ca="1">IF($D28=0,"",ROUND(INDEX(scores_2008,CY$7,$C28),1))</f>
        <v>20.8</v>
      </c>
      <c r="DA28" s="38">
        <f>IF(ISNUMBER(INDEX(yoy,CY$7,$C28)),INDEX(yoy,CY$7,$C28),0)</f>
        <v>-5.6</v>
      </c>
      <c r="DB28" s="47" t="str">
        <f>IF(OR(DA28=0,DA28="-"),"-",IF(DA28&gt;0,CONCATENATE("+",TEXT(DA28,"0.0")),CONCATENATE("-",ABS(TEXT(DA28,"0.0")))))</f>
        <v>-5.6</v>
      </c>
      <c r="DC28" s="38">
        <f ca="1">ROUND(CY28,3)</f>
        <v>16.7</v>
      </c>
      <c r="DD28">
        <f ca="1">RANK(DC28,DC$10:DC$28)+COUNTIF(DC$10:DC28,DC28)-1</f>
        <v>17</v>
      </c>
      <c r="DE28">
        <f t="shared" ca="1" si="61"/>
        <v>13</v>
      </c>
      <c r="DF28" s="21">
        <f ca="1">IF(ISERROR(DE28),"",IF(ROUND(DL28,$B$3)=ROUND(DL27,$B$3),DF27,$A28))</f>
        <v>19</v>
      </c>
      <c r="DG28" s="21">
        <f t="shared" ca="1" si="62"/>
        <v>1</v>
      </c>
      <c r="DH28" s="41">
        <f ca="1">IF(DG28=0,"",IF(OR(DF28=DF27,DF28=DF29),CONCATENATE($B$2,DF28),DF28))</f>
        <v>19</v>
      </c>
      <c r="DI28" s="21" t="str">
        <f t="shared" ca="1" si="63"/>
        <v>Nicaragua</v>
      </c>
      <c r="DJ28" s="43">
        <f t="shared" ca="1" si="64"/>
        <v>8.3000000000000007</v>
      </c>
      <c r="DK28" s="43" t="str">
        <f t="shared" ca="1" si="65"/>
        <v>+2.8</v>
      </c>
      <c r="DL28" s="38">
        <f t="shared" ca="1" si="66"/>
        <v>8.3000000000000007</v>
      </c>
      <c r="DN28" s="38">
        <f t="shared" ca="1" si="67"/>
        <v>0</v>
      </c>
      <c r="DO28" s="38" t="e">
        <f ca="1">IF($D28=0,"",ROUND(INDEX(scores_2008,DN$7,$C28),1))</f>
        <v>#REF!</v>
      </c>
      <c r="DP28" s="38">
        <f>IF(ISNUMBER(INDEX(yoy,DN$7,$C28)),INDEX(yoy,DN$7,$C28),0)</f>
        <v>0</v>
      </c>
      <c r="DQ28" s="47" t="str">
        <f>IF(OR(DP28=0,DP28="-"),"-",IF(DP28&gt;0,CONCATENATE("+",TEXT(DP28,"0.0")),CONCATENATE("-",ABS(TEXT(DP28,"0.0")))))</f>
        <v>-</v>
      </c>
      <c r="DR28" s="38">
        <f ca="1">ROUND(DN28,3)</f>
        <v>0</v>
      </c>
      <c r="DS28">
        <f ca="1">RANK(DR28,DR$10:DR$28)+COUNTIF(DR$10:DR28,DR28)-1</f>
        <v>19</v>
      </c>
      <c r="DT28">
        <f t="shared" ca="1" si="70"/>
        <v>19</v>
      </c>
      <c r="DU28" s="21">
        <f ca="1">IF(ISERROR(DT28),"",IF(ROUND(EA28,$B$3)=ROUND(EA27,$B$3),DU27,$A28))</f>
        <v>14</v>
      </c>
      <c r="DV28" s="21">
        <f t="shared" ca="1" si="71"/>
        <v>1</v>
      </c>
      <c r="DW28" s="41" t="str">
        <f ca="1">IF(DV28=0,"",IF(OR(DU28=DU27,DU28=DU29),CONCATENATE($B$2,DU28),DU28))</f>
        <v>=14</v>
      </c>
      <c r="DX28" s="21" t="str">
        <f t="shared" ca="1" si="72"/>
        <v>Venezuela</v>
      </c>
      <c r="DY28" s="43">
        <f t="shared" ca="1" si="73"/>
        <v>0</v>
      </c>
      <c r="DZ28" s="43" t="str">
        <f t="shared" ca="1" si="74"/>
        <v>-</v>
      </c>
      <c r="EA28" s="38">
        <f t="shared" ca="1" si="75"/>
        <v>0</v>
      </c>
    </row>
    <row r="29" spans="1:131">
      <c r="L29" s="47"/>
    </row>
    <row r="30" spans="1:131">
      <c r="L30" s="47"/>
    </row>
    <row r="31" spans="1:131">
      <c r="L31" s="47"/>
    </row>
    <row r="32" spans="1:131">
      <c r="L32" s="47"/>
    </row>
    <row r="33" spans="8:12">
      <c r="L33" s="47"/>
    </row>
    <row r="34" spans="8:12">
      <c r="L34" s="47"/>
    </row>
    <row r="35" spans="8:12">
      <c r="H35" t="s">
        <v>570</v>
      </c>
      <c r="L35" s="47"/>
    </row>
    <row r="36" spans="8:12">
      <c r="H36" t="s">
        <v>571</v>
      </c>
      <c r="L36" s="47"/>
    </row>
  </sheetData>
  <phoneticPr fontId="0" type="noConversion"/>
  <pageMargins left="0.7" right="0.7" top="0.75" bottom="0.75" header="0.3" footer="0.3"/>
  <pageSetup paperSize="0" orientation="portrait" horizontalDpi="0" verticalDpi="0" copies="0"/>
</worksheet>
</file>

<file path=xl/worksheets/sheet5.xml><?xml version="1.0" encoding="utf-8"?>
<worksheet xmlns="http://schemas.openxmlformats.org/spreadsheetml/2006/main" xmlns:r="http://schemas.openxmlformats.org/officeDocument/2006/relationships">
  <sheetPr codeName="Sheet30"/>
  <dimension ref="A1:EF36"/>
  <sheetViews>
    <sheetView topLeftCell="CG1" zoomScale="90" zoomScaleNormal="90" workbookViewId="0">
      <selection activeCell="DD25" sqref="DD25"/>
    </sheetView>
  </sheetViews>
  <sheetFormatPr defaultRowHeight="15"/>
  <cols>
    <col min="2" max="2" width="17.28515625" bestFit="1" customWidth="1"/>
    <col min="21" max="21" width="11.7109375" customWidth="1"/>
    <col min="25" max="27" width="5.42578125" customWidth="1"/>
    <col min="28" max="28" width="10.140625" customWidth="1"/>
    <col min="29" max="29" width="7.140625" customWidth="1"/>
    <col min="30" max="30" width="10.140625" customWidth="1"/>
    <col min="31" max="31" width="9.85546875" customWidth="1"/>
    <col min="32" max="32" width="5.42578125" customWidth="1"/>
    <col min="33" max="33" width="7.7109375" customWidth="1"/>
    <col min="34" max="39" width="5.42578125" customWidth="1"/>
    <col min="40" max="40" width="5.7109375" customWidth="1"/>
    <col min="41" max="43" width="3.140625" customWidth="1"/>
    <col min="44" max="44" width="7.42578125" customWidth="1"/>
    <col min="45" max="45" width="5.85546875" customWidth="1"/>
    <col min="46" max="46" width="8.42578125" customWidth="1"/>
    <col min="47" max="47" width="3.140625" customWidth="1"/>
    <col min="48" max="48" width="3.7109375" customWidth="1"/>
    <col min="49" max="54" width="3.140625" customWidth="1"/>
    <col min="55" max="55" width="7.28515625" customWidth="1"/>
    <col min="56" max="77" width="3.140625" customWidth="1"/>
    <col min="78" max="78" width="6.28515625" customWidth="1"/>
    <col min="79" max="79" width="5.140625" customWidth="1"/>
    <col min="80" max="80" width="5.85546875" customWidth="1"/>
    <col min="81" max="81" width="4.28515625" customWidth="1"/>
    <col min="82" max="82" width="3.140625" customWidth="1"/>
    <col min="83" max="83" width="6.5703125" customWidth="1"/>
    <col min="84" max="87" width="3.140625" customWidth="1"/>
    <col min="88" max="88" width="5.140625" customWidth="1"/>
    <col min="89" max="118" width="3.140625" customWidth="1"/>
    <col min="122" max="137" width="4.5703125" customWidth="1"/>
  </cols>
  <sheetData>
    <row r="1" spans="1:136">
      <c r="A1" t="s">
        <v>541</v>
      </c>
      <c r="B1">
        <v>1</v>
      </c>
      <c r="AT1" s="8"/>
    </row>
    <row r="2" spans="1:136">
      <c r="A2" t="s">
        <v>546</v>
      </c>
      <c r="B2" s="42" t="s">
        <v>547</v>
      </c>
      <c r="AT2" s="8"/>
    </row>
    <row r="3" spans="1:136">
      <c r="A3" s="48" t="str">
        <f>uxbWorks!A5</f>
        <v>RANK_ABS_OR_YOY</v>
      </c>
      <c r="B3" s="48">
        <f>uxbWorks!B5</f>
        <v>1</v>
      </c>
      <c r="F3" t="s">
        <v>835</v>
      </c>
      <c r="G3" s="91" t="str">
        <f>uxbWorks!Q9</f>
        <v>0</v>
      </c>
      <c r="AT3" s="8"/>
    </row>
    <row r="4" spans="1:136">
      <c r="A4" t="s">
        <v>896</v>
      </c>
      <c r="B4">
        <f>IF(SUM(K10:K28)=0,1,B3)</f>
        <v>1</v>
      </c>
      <c r="F4" t="s">
        <v>573</v>
      </c>
      <c r="G4" s="48">
        <f>uxbWorks!E9</f>
        <v>2</v>
      </c>
      <c r="AT4" s="8"/>
    </row>
    <row r="5" spans="1:136">
      <c r="F5" t="s">
        <v>572</v>
      </c>
      <c r="G5" s="48">
        <f>uxbWorks!R9</f>
        <v>0</v>
      </c>
      <c r="AT5" s="8"/>
    </row>
    <row r="6" spans="1:136">
      <c r="F6" t="s">
        <v>658</v>
      </c>
      <c r="G6" s="48" t="str">
        <f>uxbWorks!C9</f>
        <v>LEGF01</v>
      </c>
      <c r="Y6" t="s">
        <v>658</v>
      </c>
      <c r="Z6" t="s">
        <v>981</v>
      </c>
      <c r="AO6" t="s">
        <v>658</v>
      </c>
      <c r="AP6" t="s">
        <v>987</v>
      </c>
      <c r="BE6" t="s">
        <v>658</v>
      </c>
      <c r="BF6" s="8" t="s">
        <v>1009</v>
      </c>
      <c r="BU6" t="s">
        <v>658</v>
      </c>
      <c r="BV6" s="8" t="s">
        <v>1021</v>
      </c>
      <c r="CK6" t="s">
        <v>658</v>
      </c>
      <c r="CL6" s="8" t="s">
        <v>794</v>
      </c>
      <c r="DA6" t="s">
        <v>658</v>
      </c>
      <c r="DB6" s="8" t="s">
        <v>807</v>
      </c>
      <c r="DR6" s="8" t="s">
        <v>1047</v>
      </c>
    </row>
    <row r="7" spans="1:136">
      <c r="F7" t="s">
        <v>659</v>
      </c>
      <c r="G7" s="48">
        <f>MATCH(G6,score2009_indi,0)</f>
        <v>3</v>
      </c>
      <c r="Y7" t="s">
        <v>659</v>
      </c>
      <c r="Z7">
        <f>MATCH(Z6,score2009_indi,0)</f>
        <v>1</v>
      </c>
      <c r="AI7" t="str">
        <f>INDEX(tblIndicators!$H$2:$H$28,Z7)</f>
        <v>OVERALL SCORE</v>
      </c>
      <c r="AO7" t="s">
        <v>659</v>
      </c>
      <c r="AP7">
        <f>MATCH(AP6,score2009_indi,0)</f>
        <v>2</v>
      </c>
      <c r="AY7" t="str">
        <f>INDEX(tblIndicators!$H$2:$H$28,AP7)</f>
        <v>Regulatory framework</v>
      </c>
      <c r="BE7" t="s">
        <v>659</v>
      </c>
      <c r="BF7">
        <f>MATCH(BF6,score2009_indi,0)</f>
        <v>7</v>
      </c>
      <c r="BO7" t="str">
        <f>INDEX(tblIndicators!$H$2:$H$28,BF7)</f>
        <v>Institutional framework</v>
      </c>
      <c r="BU7" t="s">
        <v>659</v>
      </c>
      <c r="BV7">
        <f>MATCH(BV6,score2009_indi,0)</f>
        <v>10</v>
      </c>
      <c r="CE7" t="str">
        <f>INDEX(tblIndicators!$H$2:$H$28,BV7)</f>
        <v>Operational maturity</v>
      </c>
      <c r="CK7" t="s">
        <v>659</v>
      </c>
      <c r="CL7">
        <f>MATCH(CL6,score2009_indi,0)</f>
        <v>16</v>
      </c>
      <c r="CU7" t="str">
        <f>INDEX(tblIndicators!$H$2:$H$28,CL7)</f>
        <v>Investment climate</v>
      </c>
      <c r="DA7" t="s">
        <v>659</v>
      </c>
      <c r="DB7">
        <f>MATCH(DB6,score2009_indi,0)</f>
        <v>20</v>
      </c>
      <c r="DK7" t="str">
        <f>INDEX(tblIndicators!$H$2:$H$28,DB7)</f>
        <v>Financial facilities</v>
      </c>
      <c r="DR7">
        <f>MATCH(DR6,score2009_indi,0)</f>
        <v>25</v>
      </c>
      <c r="EA7" t="str">
        <f>INDEX(tblIndicators!$H$2:$H$28,DR7)</f>
        <v>Subnational adjustment</v>
      </c>
    </row>
    <row r="9" spans="1:136" s="44" customFormat="1">
      <c r="A9" s="44" t="s">
        <v>655</v>
      </c>
      <c r="B9" s="44" t="s">
        <v>901</v>
      </c>
      <c r="C9" s="44" t="s">
        <v>656</v>
      </c>
      <c r="D9" s="44" t="s">
        <v>657</v>
      </c>
      <c r="G9" s="44" t="s">
        <v>660</v>
      </c>
      <c r="H9" s="44" t="s">
        <v>661</v>
      </c>
      <c r="I9" s="44" t="s">
        <v>662</v>
      </c>
      <c r="J9" s="44" t="s">
        <v>663</v>
      </c>
      <c r="K9" s="44" t="s">
        <v>537</v>
      </c>
      <c r="M9" s="44" t="s">
        <v>538</v>
      </c>
      <c r="N9" s="44" t="s">
        <v>539</v>
      </c>
      <c r="O9" s="44" t="s">
        <v>540</v>
      </c>
      <c r="P9" s="44" t="s">
        <v>542</v>
      </c>
      <c r="Q9" s="44" t="s">
        <v>543</v>
      </c>
      <c r="R9" s="44" t="s">
        <v>544</v>
      </c>
      <c r="S9" s="44" t="s">
        <v>901</v>
      </c>
      <c r="T9" s="44" t="s">
        <v>551</v>
      </c>
      <c r="U9" s="44" t="s">
        <v>548</v>
      </c>
      <c r="V9" s="44" t="s">
        <v>545</v>
      </c>
      <c r="W9" s="44" t="s">
        <v>1054</v>
      </c>
      <c r="Z9" s="44" t="s">
        <v>660</v>
      </c>
      <c r="AA9" s="44" t="s">
        <v>662</v>
      </c>
      <c r="AB9" s="44" t="s">
        <v>537</v>
      </c>
      <c r="AD9" s="44" t="s">
        <v>538</v>
      </c>
      <c r="AE9" s="44" t="s">
        <v>539</v>
      </c>
      <c r="AF9" s="44" t="s">
        <v>540</v>
      </c>
      <c r="AG9" s="44" t="s">
        <v>542</v>
      </c>
      <c r="AH9" s="44" t="s">
        <v>543</v>
      </c>
      <c r="AI9" s="44" t="s">
        <v>544</v>
      </c>
      <c r="AJ9" s="44" t="s">
        <v>901</v>
      </c>
      <c r="AK9" s="44" t="s">
        <v>548</v>
      </c>
      <c r="AM9" s="44" t="s">
        <v>545</v>
      </c>
      <c r="AN9" s="44" t="s">
        <v>539</v>
      </c>
      <c r="AP9" s="44" t="s">
        <v>660</v>
      </c>
      <c r="AQ9" s="44" t="s">
        <v>662</v>
      </c>
      <c r="AR9" s="44" t="s">
        <v>537</v>
      </c>
      <c r="AT9" s="44" t="s">
        <v>538</v>
      </c>
      <c r="AU9" s="44" t="s">
        <v>539</v>
      </c>
      <c r="AV9" s="44" t="s">
        <v>540</v>
      </c>
      <c r="AW9" s="44" t="s">
        <v>542</v>
      </c>
      <c r="AX9" s="44" t="s">
        <v>543</v>
      </c>
      <c r="AY9" s="44" t="s">
        <v>544</v>
      </c>
      <c r="AZ9" s="44" t="s">
        <v>901</v>
      </c>
      <c r="BA9" s="44" t="s">
        <v>548</v>
      </c>
      <c r="BC9" s="44" t="s">
        <v>545</v>
      </c>
      <c r="BD9" s="44" t="s">
        <v>539</v>
      </c>
      <c r="BF9" s="44" t="s">
        <v>660</v>
      </c>
      <c r="BG9" s="44" t="s">
        <v>662</v>
      </c>
      <c r="BH9" s="44" t="s">
        <v>537</v>
      </c>
      <c r="BJ9" s="44" t="s">
        <v>538</v>
      </c>
      <c r="BK9" s="44" t="s">
        <v>539</v>
      </c>
      <c r="BL9" s="44" t="s">
        <v>540</v>
      </c>
      <c r="BM9" s="44" t="s">
        <v>542</v>
      </c>
      <c r="BN9" s="44" t="s">
        <v>543</v>
      </c>
      <c r="BO9" s="44" t="s">
        <v>544</v>
      </c>
      <c r="BP9" s="44" t="s">
        <v>901</v>
      </c>
      <c r="BQ9" s="44" t="s">
        <v>548</v>
      </c>
      <c r="BS9" s="44" t="s">
        <v>545</v>
      </c>
      <c r="BT9" s="44" t="s">
        <v>539</v>
      </c>
      <c r="BV9" s="44" t="s">
        <v>660</v>
      </c>
      <c r="BW9" s="44" t="s">
        <v>662</v>
      </c>
      <c r="BX9" s="44" t="s">
        <v>537</v>
      </c>
      <c r="BZ9" s="44" t="s">
        <v>538</v>
      </c>
      <c r="CA9" s="44" t="s">
        <v>539</v>
      </c>
      <c r="CB9" s="44" t="s">
        <v>540</v>
      </c>
      <c r="CC9" s="44" t="s">
        <v>542</v>
      </c>
      <c r="CD9" s="44" t="s">
        <v>543</v>
      </c>
      <c r="CE9" s="44" t="s">
        <v>544</v>
      </c>
      <c r="CF9" s="44" t="s">
        <v>901</v>
      </c>
      <c r="CG9" s="44" t="s">
        <v>548</v>
      </c>
      <c r="CI9" s="44" t="s">
        <v>545</v>
      </c>
      <c r="CJ9" s="44" t="s">
        <v>539</v>
      </c>
      <c r="CL9" s="44" t="s">
        <v>660</v>
      </c>
      <c r="CM9" s="44" t="s">
        <v>662</v>
      </c>
      <c r="CN9" s="44" t="s">
        <v>537</v>
      </c>
      <c r="CP9" s="44" t="s">
        <v>538</v>
      </c>
      <c r="CQ9" s="44" t="s">
        <v>539</v>
      </c>
      <c r="CR9" s="44" t="s">
        <v>540</v>
      </c>
      <c r="CS9" s="44" t="s">
        <v>542</v>
      </c>
      <c r="CT9" s="44" t="s">
        <v>543</v>
      </c>
      <c r="CU9" s="44" t="s">
        <v>544</v>
      </c>
      <c r="CV9" s="44" t="s">
        <v>901</v>
      </c>
      <c r="CW9" s="44" t="s">
        <v>548</v>
      </c>
      <c r="CY9" s="44" t="s">
        <v>545</v>
      </c>
      <c r="CZ9" s="44" t="s">
        <v>539</v>
      </c>
      <c r="DB9" s="44" t="s">
        <v>660</v>
      </c>
      <c r="DC9" s="44" t="s">
        <v>662</v>
      </c>
      <c r="DD9" s="44" t="s">
        <v>537</v>
      </c>
      <c r="DF9" s="44" t="s">
        <v>538</v>
      </c>
      <c r="DG9" s="44" t="s">
        <v>539</v>
      </c>
      <c r="DH9" s="44" t="s">
        <v>540</v>
      </c>
      <c r="DI9" s="44" t="s">
        <v>542</v>
      </c>
      <c r="DJ9" s="44" t="s">
        <v>543</v>
      </c>
      <c r="DK9" s="44" t="s">
        <v>544</v>
      </c>
      <c r="DL9" s="44" t="s">
        <v>901</v>
      </c>
      <c r="DM9" s="44" t="s">
        <v>548</v>
      </c>
      <c r="DO9" s="44" t="s">
        <v>545</v>
      </c>
      <c r="DP9" s="44" t="s">
        <v>539</v>
      </c>
      <c r="DR9" s="44" t="s">
        <v>660</v>
      </c>
      <c r="DS9" s="44" t="s">
        <v>662</v>
      </c>
      <c r="DT9" s="44" t="s">
        <v>537</v>
      </c>
      <c r="DV9" s="44" t="s">
        <v>538</v>
      </c>
      <c r="DW9" s="44" t="s">
        <v>539</v>
      </c>
      <c r="DX9" s="44" t="s">
        <v>540</v>
      </c>
      <c r="DY9" s="44" t="s">
        <v>542</v>
      </c>
      <c r="DZ9" s="44" t="s">
        <v>543</v>
      </c>
      <c r="EA9" s="44" t="s">
        <v>544</v>
      </c>
      <c r="EB9" s="44" t="s">
        <v>901</v>
      </c>
      <c r="EC9" s="44" t="s">
        <v>548</v>
      </c>
      <c r="EE9" s="44" t="s">
        <v>545</v>
      </c>
      <c r="EF9" s="44" t="s">
        <v>539</v>
      </c>
    </row>
    <row r="10" spans="1:136">
      <c r="A10">
        <v>1</v>
      </c>
      <c r="B10" t="str">
        <f>tblCountries!E6</f>
        <v>Argentina</v>
      </c>
      <c r="C10">
        <f>tblCountries!A6</f>
        <v>1</v>
      </c>
      <c r="D10">
        <f ca="1">tblCountries!F6</f>
        <v>1</v>
      </c>
      <c r="G10" s="38">
        <f t="shared" ref="G10:G28" ca="1" si="0">IF($D10=0,"",ROUND(INDEX(scores2009_yoy,G$7,$C10),1))</f>
        <v>50</v>
      </c>
      <c r="H10" s="47">
        <f t="shared" ref="H10:H27" ca="1" si="1">IF($D10=0,"",IF($G$4&lt;2,"-",ROUND(INDEX(data_2009,G$7,$C10),$G$5)))</f>
        <v>2</v>
      </c>
      <c r="I10" s="38">
        <f t="shared" ref="I10:I27" ca="1" si="2">IF($D10=0,"",ROUND(INDEX(scores2008_yoy,G$7,$C10),1))</f>
        <v>50</v>
      </c>
      <c r="J10" s="38">
        <f t="shared" ref="J10:J27" ca="1" si="3">IF($D10=0,"",IF($G$4&lt;2,"-",ROUND(INDEX(data_2008,G$7,$C10),$G$5)))</f>
        <v>2</v>
      </c>
      <c r="K10" s="47">
        <f>IF(G6="INVT03",0,IF(ISNUMBER(INDEX(yoy,G$7,$C10)),INDEX(yoy,G$7,$C10),0))</f>
        <v>0</v>
      </c>
      <c r="L10" s="47" t="str">
        <f>IF(OR(K10=0,K10="-"),"-",IF(K10&gt;0,CONCATENATE("+",ROUND(K10,1)),CONCATENATE("-",ABS(ROUND(K10,1)))))</f>
        <v>-</v>
      </c>
      <c r="M10" s="38">
        <f ca="1">IF($B$4=1,G10,K10)</f>
        <v>50</v>
      </c>
      <c r="N10">
        <f ca="1">RANK(M10,M$10:M$28)+COUNTIF(M$10:M10,M10)-1</f>
        <v>5</v>
      </c>
      <c r="O10">
        <f t="shared" ref="O10:O27" ca="1" si="4">MATCH($A10,N$10:N$28,0)</f>
        <v>3</v>
      </c>
      <c r="P10" s="40">
        <v>1</v>
      </c>
      <c r="Q10" s="21">
        <f t="shared" ref="Q10:Q28" ca="1" si="5">IF(ISERROR($O10),0,INDEX($D$10:$D$28,$O10))</f>
        <v>1</v>
      </c>
      <c r="R10" s="41">
        <f t="shared" ref="R10:R27" ca="1" si="6">IF(Q10=0,"",IF(OR(P10=P9,P10=P11),CONCATENATE($B$2,P10),P10))</f>
        <v>1</v>
      </c>
      <c r="S10" s="21" t="str">
        <f t="shared" ref="S10:S28" ca="1" si="7">IF(ISERROR($O10),0,INDEX($B$10:$B$28,$O10))</f>
        <v xml:space="preserve">Chile </v>
      </c>
      <c r="T10" s="41" t="str">
        <f t="shared" ref="T10:T28" ca="1" si="8">IF(ISERROR($O10),0,TEXT(INDEX($H$10:$H$28,$O10),$G$3))</f>
        <v>4</v>
      </c>
      <c r="U10" s="43">
        <f t="shared" ref="U10:U28" ca="1" si="9">IF(ISERROR($O10),0,INDEX($G$10:$G$28,$O10))</f>
        <v>100</v>
      </c>
      <c r="V10" s="43" t="str">
        <f t="shared" ref="V10:V28" ca="1" si="10">IF(ISERROR($O10),0,INDEX($L$10:$L$28,$O10))</f>
        <v>+25</v>
      </c>
      <c r="W10" t="str">
        <f ca="1">IF($G$4=2,V10,"")</f>
        <v>+25</v>
      </c>
      <c r="Z10" s="38">
        <f t="shared" ref="Z10:Z28" ca="1" si="11">IF($D10=0,"",ROUND(INDEX(scores_2009,Z$7,$C10),1))</f>
        <v>27.5</v>
      </c>
      <c r="AA10" s="38">
        <f t="shared" ref="AA10:AA27" ca="1" si="12">IF($D10=0,"",ROUND(INDEX(scores_2008,Z$7,$C10),1))</f>
        <v>21.9</v>
      </c>
      <c r="AB10" s="38">
        <f ca="1">Z10-AA10</f>
        <v>5.6000000000000014</v>
      </c>
      <c r="AC10" s="47">
        <f ca="1">IF(OR(AB10=0,AB10="-"),"-",AB10)</f>
        <v>5.6000000000000014</v>
      </c>
      <c r="AD10" s="38">
        <f ca="1">IF($B$3=1,ROUND(Z10,3),ROUND(AB10,3))</f>
        <v>27.5</v>
      </c>
      <c r="AE10">
        <f ca="1">RANK(AD10,AD$10:AD$28)+COUNTIF(AD$10:AD10,AD10)-1</f>
        <v>12</v>
      </c>
      <c r="AF10">
        <f t="shared" ref="AF10:AF27" ca="1" si="13">MATCH($A10,AE$10:AE$28,0)</f>
        <v>3</v>
      </c>
      <c r="AG10" s="40">
        <v>1</v>
      </c>
      <c r="AH10" s="21">
        <f t="shared" ref="AH10:AH27" ca="1" si="14">IF(ISERROR(AF10),0,INDEX($D$10:$D$28,AF10))</f>
        <v>1</v>
      </c>
      <c r="AI10" s="41">
        <f t="shared" ref="AI10:AI27" ca="1" si="15">IF(AH10=0,"",IF(OR(AG10=AG9,AG10=AG11),CONCATENATE($B$2,AG10),AG10))</f>
        <v>1</v>
      </c>
      <c r="AJ10" s="21" t="str">
        <f t="shared" ref="AJ10:AJ27" ca="1" si="16">IF(ISERROR(AF10),0,INDEX($B$10:$B$28,AF10))</f>
        <v xml:space="preserve">Chile </v>
      </c>
      <c r="AK10" s="43">
        <f t="shared" ref="AK10:AK27" ca="1" si="17">IF(ISERROR(AF10),0,INDEX(Z$10:Z$28,AF10))</f>
        <v>79.3</v>
      </c>
      <c r="AL10" s="43">
        <f t="shared" ref="AL10:AL27" ca="1" si="18">IF(ISERROR(AF10),0,INDEX(AA$10:AA$28,AF10))</f>
        <v>64.3</v>
      </c>
      <c r="AM10" s="43">
        <f t="shared" ref="AM10:AM27" ca="1" si="19">IF(ISERROR(AF10),0,INDEX(AC$10:AC$28,AF10))</f>
        <v>15</v>
      </c>
      <c r="AN10" s="38">
        <f t="shared" ref="AN10:AN27" ca="1" si="20">IF(ISERROR(AF10),0,INDEX(AB$10:AB$28,AF10))</f>
        <v>15</v>
      </c>
      <c r="AP10" s="38">
        <f t="shared" ref="AP10:AP28" ca="1" si="21">IF($D10=0,"",ROUND(INDEX(scores_2009,AP$7,$C10),1))</f>
        <v>21.9</v>
      </c>
      <c r="AQ10" s="38">
        <f t="shared" ref="AQ10:AQ27" ca="1" si="22">IF($D10=0,"",ROUND(INDEX(scores_2008,AP$7,$C10),1))</f>
        <v>27.8</v>
      </c>
      <c r="AR10" s="38">
        <f ca="1">AP10-AQ10</f>
        <v>-5.9000000000000021</v>
      </c>
      <c r="AS10" s="47">
        <f ca="1">IF(OR(AR10=0,AR10="-"),"-",AR10)</f>
        <v>-5.9000000000000021</v>
      </c>
      <c r="AT10" s="38">
        <f ca="1">IF($B$3=1,ROUND(AP10,3),ROUND(AR10,3))</f>
        <v>21.9</v>
      </c>
      <c r="AU10">
        <f ca="1">RANK(AT10,AT$10:AT$28)+COUNTIF(AT$10:AT10,AT10)-1</f>
        <v>14</v>
      </c>
      <c r="AV10">
        <f t="shared" ref="AV10:AV27" ca="1" si="23">MATCH($A10,AU$10:AU$28,0)</f>
        <v>3</v>
      </c>
      <c r="AW10" s="40">
        <v>1</v>
      </c>
      <c r="AX10" s="21">
        <f t="shared" ref="AX10:AX27" ca="1" si="24">IF(ISERROR(AV10),0,INDEX($D$10:$D$28,AV10))</f>
        <v>1</v>
      </c>
      <c r="AY10" s="41">
        <f t="shared" ref="AY10:AY27" ca="1" si="25">IF(AX10=0,"",IF(OR(AW10=AW9,AW10=AW11),CONCATENATE($B$2,AW10),AW10))</f>
        <v>1</v>
      </c>
      <c r="AZ10" s="21" t="str">
        <f t="shared" ref="AZ10:AZ27" ca="1" si="26">IF(ISERROR(AV10),0,INDEX($B$10:$B$28,AV10))</f>
        <v xml:space="preserve">Chile </v>
      </c>
      <c r="BA10" s="43">
        <f t="shared" ref="BA10:BA27" ca="1" si="27">IF(ISERROR(AV10),0,INDEX(AP$10:AP$28,AV10))</f>
        <v>84.4</v>
      </c>
      <c r="BB10" s="43">
        <f t="shared" ref="BB10:BB27" ca="1" si="28">IF(ISERROR(AV10),0,INDEX(AQ$10:AQ$28,AV10))</f>
        <v>61.1</v>
      </c>
      <c r="BC10" s="43">
        <f t="shared" ref="BC10:BC27" ca="1" si="29">IF(ISERROR(AV10),0,INDEX(AS$10:AS$28,AV10))</f>
        <v>23.300000000000004</v>
      </c>
      <c r="BD10" s="38">
        <f t="shared" ref="BD10:BD27" ca="1" si="30">IF(ISERROR(AV10),0,INDEX(AR$10:AR$28,AV10))</f>
        <v>23.300000000000004</v>
      </c>
      <c r="BF10" s="38">
        <f t="shared" ref="BF10:BF28" ca="1" si="31">IF($D10=0,"",ROUND(INDEX(scores_2009,BF$7,$C10),1))</f>
        <v>33.299999999999997</v>
      </c>
      <c r="BG10" s="38">
        <f t="shared" ref="BG10:BG27" ca="1" si="32">IF($D10=0,"",ROUND(INDEX(scores_2008,BF$7,$C10),1))</f>
        <v>12.5</v>
      </c>
      <c r="BH10" s="38">
        <f ca="1">BF10-BG10</f>
        <v>20.799999999999997</v>
      </c>
      <c r="BI10" s="47">
        <f ca="1">IF(OR(BH10=0,BH10="-"),"-",BH10)</f>
        <v>20.799999999999997</v>
      </c>
      <c r="BJ10" s="38">
        <f ca="1">IF($B$3=1,ROUND(BF10,3),ROUND(BH10,3))</f>
        <v>33.299999999999997</v>
      </c>
      <c r="BK10">
        <f ca="1">RANK(BJ10,BJ$10:BJ$28)+COUNTIF(BJ$10:BJ10,BJ10)-1</f>
        <v>7</v>
      </c>
      <c r="BL10">
        <f t="shared" ref="BL10:BL27" ca="1" si="33">MATCH($A10,BK$10:BK$28,0)</f>
        <v>2</v>
      </c>
      <c r="BM10" s="40">
        <v>1</v>
      </c>
      <c r="BN10" s="21">
        <f t="shared" ref="BN10:BN27" ca="1" si="34">IF(ISERROR(BL10),0,INDEX($D$10:$D$28,BL10))</f>
        <v>1</v>
      </c>
      <c r="BO10" s="41">
        <f t="shared" ref="BO10:BO27" ca="1" si="35">IF(BN10=0,"",IF(OR(BM10=BM9,BM10=BM11),CONCATENATE($B$2,BM10),BM10))</f>
        <v>1</v>
      </c>
      <c r="BP10" s="21" t="str">
        <f t="shared" ref="BP10:BP27" ca="1" si="36">IF(ISERROR(BL10),0,INDEX($B$10:$B$28,BL10))</f>
        <v>Brazil</v>
      </c>
      <c r="BQ10" s="43">
        <f t="shared" ref="BQ10:BQ27" ca="1" si="37">IF(ISERROR(BL10),0,INDEX(BF$10:BF$28,BL10))</f>
        <v>75</v>
      </c>
      <c r="BR10" s="43">
        <f t="shared" ref="BR10:BR27" ca="1" si="38">IF(ISERROR(BL10),0,INDEX(BG$10:BG$28,BL10))</f>
        <v>62.5</v>
      </c>
      <c r="BS10" s="43">
        <f t="shared" ref="BS10:BS27" ca="1" si="39">IF(ISERROR(BL10),0,INDEX(BI$10:BI$28,BL10))</f>
        <v>12.5</v>
      </c>
      <c r="BT10" s="38">
        <f t="shared" ref="BT10:BT27" ca="1" si="40">IF(ISERROR(BL10),0,INDEX(BH$10:BH$28,BL10))</f>
        <v>12.5</v>
      </c>
      <c r="BV10" s="38">
        <f t="shared" ref="BV10:BV28" ca="1" si="41">IF($D10=0,"",ROUND(INDEX(scores_2009,BV$7,$C10),1))</f>
        <v>16.7</v>
      </c>
      <c r="BW10" s="38">
        <f t="shared" ref="BW10:BW27" ca="1" si="42">IF($D10=0,"",ROUND(INDEX(scores_2008,BV$7,$C10),1))</f>
        <v>16.8</v>
      </c>
      <c r="BX10" s="38">
        <f ca="1">BV10-BW10</f>
        <v>-0.10000000000000142</v>
      </c>
      <c r="BY10" s="47">
        <f ca="1">IF(OR(BX10=0,BX10="-"),"-",BX10)</f>
        <v>-0.10000000000000142</v>
      </c>
      <c r="BZ10" s="38">
        <f ca="1">IF($B$3=1,ROUND(BV10,3),ROUND(BX10,3))</f>
        <v>16.7</v>
      </c>
      <c r="CA10">
        <f ca="1">RANK(BZ10,BZ$10:BZ$28)+COUNTIF(BZ$10:BZ10,BZ10)-1</f>
        <v>13</v>
      </c>
      <c r="CB10">
        <f t="shared" ref="CB10:CB27" ca="1" si="43">MATCH($A10,CA$10:CA$28,0)</f>
        <v>2</v>
      </c>
      <c r="CC10" s="40">
        <v>1</v>
      </c>
      <c r="CD10" s="21">
        <f t="shared" ref="CD10:CD27" ca="1" si="44">IF(ISERROR(CB10),0,INDEX($D$10:$D$28,CB10))</f>
        <v>1</v>
      </c>
      <c r="CE10" s="41">
        <f t="shared" ref="CE10:CE27" ca="1" si="45">IF(CD10=0,"",IF(OR(CC10=CC9,CC10=CC11),CONCATENATE($B$2,CC10),CC10))</f>
        <v>1</v>
      </c>
      <c r="CF10" s="21" t="str">
        <f t="shared" ref="CF10:CF27" ca="1" si="46">IF(ISERROR(CB10),0,INDEX($B$10:$B$28,CB10))</f>
        <v>Brazil</v>
      </c>
      <c r="CG10" s="43">
        <f t="shared" ref="CG10:CG27" ca="1" si="47">IF(ISERROR(CB10),0,INDEX(BV$10:BV$28,CB10))</f>
        <v>87.5</v>
      </c>
      <c r="CH10" s="43">
        <f t="shared" ref="CH10:CH27" ca="1" si="48">IF(ISERROR(CB10),0,INDEX(BW$10:BW$28,CB10))</f>
        <v>66.7</v>
      </c>
      <c r="CI10" s="43">
        <f t="shared" ref="CI10:CI27" ca="1" si="49">IF(ISERROR(CB10),0,INDEX(BY$10:BY$28,CB10))</f>
        <v>20.799999999999997</v>
      </c>
      <c r="CJ10" s="38">
        <f t="shared" ref="CJ10:CJ27" ca="1" si="50">IF(ISERROR(CB10),0,INDEX(BX$10:BX$28,CB10))</f>
        <v>20.799999999999997</v>
      </c>
      <c r="CL10" s="38">
        <f t="shared" ref="CL10:CL28" ca="1" si="51">IF($D10=0,"",ROUND(INDEX(scores_2009,CL$7,$C10),1))</f>
        <v>19</v>
      </c>
      <c r="CM10" s="38">
        <f t="shared" ref="CM10:CM27" ca="1" si="52">IF($D10=0,"",ROUND(INDEX(scores_2008,CL$7,$C10),1))</f>
        <v>51.6</v>
      </c>
      <c r="CN10" s="38">
        <f ca="1">CL10-CM10</f>
        <v>-32.6</v>
      </c>
      <c r="CO10" s="47">
        <f ca="1">IF(OR(CN10=0,CN10="-"),"-",CN10)</f>
        <v>-32.6</v>
      </c>
      <c r="CP10" s="38">
        <f ca="1">IF($B$3=1,ROUND(CL10,3),ROUND(CN10,3))</f>
        <v>19</v>
      </c>
      <c r="CQ10">
        <f ca="1">RANK(CP10,CP$10:CP$28)+COUNTIF(CP$10:CP10,CP10)-1</f>
        <v>16</v>
      </c>
      <c r="CR10">
        <f t="shared" ref="CR10:CR27" ca="1" si="53">MATCH($A10,CQ$10:CQ$28,0)</f>
        <v>3</v>
      </c>
      <c r="CS10" s="40">
        <v>1</v>
      </c>
      <c r="CT10" s="21">
        <f t="shared" ref="CT10:CT27" ca="1" si="54">IF(ISERROR(CR10),0,INDEX($D$10:$D$28,CR10))</f>
        <v>1</v>
      </c>
      <c r="CU10" s="41">
        <f t="shared" ref="CU10:CU27" ca="1" si="55">IF(CT10=0,"",IF(OR(CS10=CS9,CS10=CS11),CONCATENATE($B$2,CS10),CS10))</f>
        <v>1</v>
      </c>
      <c r="CV10" s="21" t="str">
        <f t="shared" ref="CV10:CV27" ca="1" si="56">IF(ISERROR(CR10),0,INDEX($B$10:$B$28,CR10))</f>
        <v xml:space="preserve">Chile </v>
      </c>
      <c r="CW10" s="43">
        <f t="shared" ref="CW10:CW27" ca="1" si="57">IF(ISERROR(CR10),0,INDEX(CL$10:CL$28,CR10))</f>
        <v>85.4</v>
      </c>
      <c r="CX10" s="43">
        <f t="shared" ref="CX10:CX27" ca="1" si="58">IF(ISERROR(CR10),0,INDEX(CM$10:CM$28,CR10))</f>
        <v>93</v>
      </c>
      <c r="CY10" s="43">
        <f t="shared" ref="CY10:CY27" ca="1" si="59">IF(ISERROR(CR10),0,INDEX(CO$10:CO$28,CR10))</f>
        <v>-7.5999999999999943</v>
      </c>
      <c r="CZ10" s="38">
        <f t="shared" ref="CZ10:CZ27" ca="1" si="60">IF(ISERROR(CR10),0,INDEX(CN$10:CN$28,CR10))</f>
        <v>-7.5999999999999943</v>
      </c>
      <c r="DB10" s="38">
        <f t="shared" ref="DB10:DB28" ca="1" si="61">IF($D10=0,"",ROUND(INDEX(scores_2009,DB$7,$C10),1))</f>
        <v>33.299999999999997</v>
      </c>
      <c r="DC10" s="38">
        <f t="shared" ref="DC10:DC27" ca="1" si="62">IF($D10=0,"",ROUND(INDEX(scores_2008,DB$7,$C10),1))</f>
        <v>20.8</v>
      </c>
      <c r="DD10" s="38">
        <f ca="1">DB10-DC10</f>
        <v>12.499999999999996</v>
      </c>
      <c r="DE10" s="47">
        <f ca="1">IF(OR(DD10=0,DD10="-"),"-",DD10)</f>
        <v>12.499999999999996</v>
      </c>
      <c r="DF10" s="38">
        <f ca="1">IF($B$3=1,ROUND(DB10,3),ROUND(DD10,3))</f>
        <v>33.299999999999997</v>
      </c>
      <c r="DG10">
        <f ca="1">RANK(DF10,DF$10:DF$28)+COUNTIF(DF$10:DF10,DF10)-1</f>
        <v>10</v>
      </c>
      <c r="DH10">
        <f t="shared" ref="DH10:DH27" ca="1" si="63">MATCH($A10,DG$10:DG$28,0)</f>
        <v>3</v>
      </c>
      <c r="DI10" s="40">
        <v>1</v>
      </c>
      <c r="DJ10" s="21">
        <f t="shared" ref="DJ10:DJ27" ca="1" si="64">IF(ISERROR(DH10),0,INDEX($D$10:$D$28,DH10))</f>
        <v>1</v>
      </c>
      <c r="DK10" s="41">
        <f t="shared" ref="DK10:DK27" ca="1" si="65">IF(DJ10=0,"",IF(OR(DI10=DI9,DI10=DI11),CONCATENATE($B$2,DI10),DI10))</f>
        <v>1</v>
      </c>
      <c r="DL10" s="21" t="str">
        <f t="shared" ref="DL10:DL27" ca="1" si="66">IF(ISERROR(DH10),0,INDEX($B$10:$B$28,DH10))</f>
        <v xml:space="preserve">Chile </v>
      </c>
      <c r="DM10" s="43">
        <f t="shared" ref="DM10:DM27" ca="1" si="67">IF(ISERROR(DH10),0,INDEX(DB$10:DB$28,DH10))</f>
        <v>97.2</v>
      </c>
      <c r="DN10" s="43">
        <f t="shared" ref="DN10:DN27" ca="1" si="68">IF(ISERROR(DH10),0,INDEX(DC$10:DC$28,DH10))</f>
        <v>95.8</v>
      </c>
      <c r="DO10" s="43">
        <f t="shared" ref="DO10:DO27" ca="1" si="69">IF(ISERROR(DH10),0,INDEX(DE$10:DE$28,DH10))</f>
        <v>1.4000000000000057</v>
      </c>
      <c r="DP10" s="38">
        <f t="shared" ref="DP10:DP27" ca="1" si="70">IF(ISERROR(DH10),0,INDEX(DD$10:DD$28,DH10))</f>
        <v>1.4000000000000057</v>
      </c>
      <c r="DR10" s="38">
        <f t="shared" ref="DR10:DR28" ca="1" si="71">IF($D10=0,"",ROUND(INDEX(scores_2009,DR$7,$C10),1))</f>
        <v>50</v>
      </c>
      <c r="DS10" s="38" t="e">
        <f t="shared" ref="DS10:DS27" ca="1" si="72">IF($D10=0,"",ROUND(INDEX(scores_2008,DR$7,$C10),1))</f>
        <v>#REF!</v>
      </c>
      <c r="DT10" s="38" t="e">
        <f ca="1">DR10-DS10</f>
        <v>#REF!</v>
      </c>
      <c r="DU10" s="47" t="e">
        <f ca="1">IF(OR(DT10=0,DT10="-"),"-",DT10)</f>
        <v>#REF!</v>
      </c>
      <c r="DV10" s="38">
        <f ca="1">IF($B$3=1,ROUND(DR10,3),ROUND(DT10,3))</f>
        <v>50</v>
      </c>
      <c r="DW10">
        <f ca="1">RANK(DV10,DV$10:DV$28)+COUNTIF(DV$10:DV10,DV10)-1</f>
        <v>2</v>
      </c>
      <c r="DX10">
        <f t="shared" ref="DX10:DX27" ca="1" si="73">MATCH($A10,DW$10:DW$28,0)</f>
        <v>2</v>
      </c>
      <c r="DY10" s="40">
        <v>1</v>
      </c>
      <c r="DZ10" s="21">
        <f t="shared" ref="DZ10:DZ27" ca="1" si="74">IF(ISERROR(DX10),0,INDEX($D$10:$D$28,DX10))</f>
        <v>1</v>
      </c>
      <c r="EA10" s="41" t="e">
        <f t="shared" ref="EA10:EA27" ca="1" si="75">IF(DZ10=0,"",IF(OR(DY10=DY9,DY10=DY11),CONCATENATE($B$2,DY10),DY10))</f>
        <v>#REF!</v>
      </c>
      <c r="EB10" s="21" t="str">
        <f t="shared" ref="EB10:EB27" ca="1" si="76">IF(ISERROR(DX10),0,INDEX($B$10:$B$28,DX10))</f>
        <v>Brazil</v>
      </c>
      <c r="EC10" s="43">
        <f t="shared" ref="EC10:EC27" ca="1" si="77">IF(ISERROR(DX10),0,INDEX(DR$10:DR$28,DX10))</f>
        <v>75</v>
      </c>
      <c r="ED10" s="43" t="e">
        <f t="shared" ref="ED10:ED27" ca="1" si="78">IF(ISERROR(DX10),0,INDEX(DS$10:DS$28,DX10))</f>
        <v>#REF!</v>
      </c>
      <c r="EE10" s="43" t="e">
        <f t="shared" ref="EE10:EE27" ca="1" si="79">IF(ISERROR(DX10),0,INDEX(DU$10:DU$28,DX10))</f>
        <v>#REF!</v>
      </c>
      <c r="EF10" s="38" t="e">
        <f t="shared" ref="EF10:EF27" ca="1" si="80">IF(ISERROR(DX10),0,INDEX(DT$10:DT$28,DX10))</f>
        <v>#REF!</v>
      </c>
    </row>
    <row r="11" spans="1:136">
      <c r="A11">
        <v>2</v>
      </c>
      <c r="B11" t="str">
        <f>tblCountries!E7</f>
        <v>Brazil</v>
      </c>
      <c r="C11">
        <f>tblCountries!A7</f>
        <v>2</v>
      </c>
      <c r="D11">
        <f ca="1">tblCountries!F7</f>
        <v>1</v>
      </c>
      <c r="G11" s="38">
        <f t="shared" ca="1" si="0"/>
        <v>75</v>
      </c>
      <c r="H11" s="47">
        <f t="shared" ca="1" si="1"/>
        <v>3</v>
      </c>
      <c r="I11" s="38">
        <f t="shared" ca="1" si="2"/>
        <v>50</v>
      </c>
      <c r="J11" s="38">
        <f t="shared" ca="1" si="3"/>
        <v>2</v>
      </c>
      <c r="K11" s="47">
        <f t="shared" ref="K11:K27" si="81">IF(ISNUMBER(INDEX(yoy,G$7,$C11)),INDEX(yoy,G$7,$C11),0)</f>
        <v>25</v>
      </c>
      <c r="L11" s="47" t="str">
        <f t="shared" ref="L11:L27" si="82">IF(OR(K11=0,K11="-"),"-",IF(K11&gt;0,CONCATENATE("+",ROUND(K11,1)),CONCATENATE("-",ABS(ROUND(K11,1)))))</f>
        <v>+25</v>
      </c>
      <c r="M11" s="38">
        <f t="shared" ref="M11:M27" ca="1" si="83">IF($B$4=1,G11,K11)</f>
        <v>75</v>
      </c>
      <c r="N11">
        <f ca="1">RANK(M11,M$10:M$28)+COUNTIF(M$10:M11,M11)-1</f>
        <v>2</v>
      </c>
      <c r="O11">
        <f t="shared" ca="1" si="4"/>
        <v>2</v>
      </c>
      <c r="P11" s="21">
        <f t="shared" ref="P11:P27" ca="1" si="84">IF(ISERROR(O11),"",IF(ROUND(U11,$B$3)=ROUND(U10,$B$3),P10,$A11))</f>
        <v>2</v>
      </c>
      <c r="Q11" s="21">
        <f t="shared" ca="1" si="5"/>
        <v>1</v>
      </c>
      <c r="R11" s="41" t="str">
        <f t="shared" ca="1" si="6"/>
        <v>=2</v>
      </c>
      <c r="S11" s="21" t="str">
        <f t="shared" ca="1" si="7"/>
        <v>Brazil</v>
      </c>
      <c r="T11" s="41" t="str">
        <f t="shared" ca="1" si="8"/>
        <v>3</v>
      </c>
      <c r="U11" s="43">
        <f t="shared" ca="1" si="9"/>
        <v>75</v>
      </c>
      <c r="V11" s="43" t="str">
        <f t="shared" ca="1" si="10"/>
        <v>+25</v>
      </c>
      <c r="W11" t="str">
        <f t="shared" ref="W11:W27" ca="1" si="85">IF($G$4=2,V11,"")</f>
        <v>+25</v>
      </c>
      <c r="Z11" s="38">
        <f t="shared" ca="1" si="11"/>
        <v>73.2</v>
      </c>
      <c r="AA11" s="38">
        <f t="shared" ca="1" si="12"/>
        <v>57.8</v>
      </c>
      <c r="AB11" s="38">
        <f t="shared" ref="AB11:AB27" ca="1" si="86">Z11-AA11</f>
        <v>15.400000000000006</v>
      </c>
      <c r="AC11" s="47">
        <f t="shared" ref="AC11:AC28" ca="1" si="87">IF(OR(AB11=0,AB11="-"),"-",AB11)</f>
        <v>15.400000000000006</v>
      </c>
      <c r="AD11" s="38">
        <f t="shared" ref="AD11:AD27" ca="1" si="88">IF($B$3=1,ROUND(Z11,3),ROUND(AB11,3))</f>
        <v>73.2</v>
      </c>
      <c r="AE11">
        <f ca="1">RANK(AD11,AD$10:AD$28)+COUNTIF(AD$10:AD11,AD11)-1</f>
        <v>2</v>
      </c>
      <c r="AF11">
        <f t="shared" ca="1" si="13"/>
        <v>2</v>
      </c>
      <c r="AG11" s="21">
        <f t="shared" ref="AG11:AG27" ca="1" si="89">IF(ISERROR(AF11),"",IF(ROUND(AN11,$B$3)=ROUND(AN10,$B$3),AG10,$A11))</f>
        <v>2</v>
      </c>
      <c r="AH11" s="21">
        <f t="shared" ca="1" si="14"/>
        <v>1</v>
      </c>
      <c r="AI11" s="41">
        <f t="shared" ca="1" si="15"/>
        <v>2</v>
      </c>
      <c r="AJ11" s="21" t="str">
        <f t="shared" ca="1" si="16"/>
        <v>Brazil</v>
      </c>
      <c r="AK11" s="43">
        <f t="shared" ca="1" si="17"/>
        <v>73.2</v>
      </c>
      <c r="AL11" s="43">
        <f t="shared" ca="1" si="18"/>
        <v>57.8</v>
      </c>
      <c r="AM11" s="43">
        <f t="shared" ca="1" si="19"/>
        <v>15.400000000000006</v>
      </c>
      <c r="AN11" s="38">
        <f t="shared" ca="1" si="20"/>
        <v>15.400000000000006</v>
      </c>
      <c r="AP11" s="38">
        <f t="shared" ca="1" si="21"/>
        <v>71.900000000000006</v>
      </c>
      <c r="AQ11" s="38">
        <f t="shared" ca="1" si="22"/>
        <v>47.2</v>
      </c>
      <c r="AR11" s="38">
        <f t="shared" ref="AR11:AR27" ca="1" si="90">AP11-AQ11</f>
        <v>24.700000000000003</v>
      </c>
      <c r="AS11" s="47">
        <f t="shared" ref="AS11:AS28" ca="1" si="91">IF(OR(AR11=0,AR11="-"),"-",AR11)</f>
        <v>24.700000000000003</v>
      </c>
      <c r="AT11" s="38">
        <f t="shared" ref="AT11:AT27" ca="1" si="92">IF($B$3=1,ROUND(AP11,3),ROUND(AR11,3))</f>
        <v>71.900000000000006</v>
      </c>
      <c r="AU11">
        <f ca="1">RANK(AT11,AT$10:AT$28)+COUNTIF(AT$10:AT11,AT11)-1</f>
        <v>3</v>
      </c>
      <c r="AV11">
        <f t="shared" ca="1" si="23"/>
        <v>16</v>
      </c>
      <c r="AW11" s="21">
        <f t="shared" ref="AW11:AW27" ca="1" si="93">IF(ISERROR(AV11),"",IF(ROUND(BD11,$B$3)=ROUND(BD10,$B$3),AW10,$A11))</f>
        <v>2</v>
      </c>
      <c r="AX11" s="21">
        <f t="shared" ca="1" si="24"/>
        <v>1</v>
      </c>
      <c r="AY11" s="41">
        <f t="shared" ca="1" si="25"/>
        <v>2</v>
      </c>
      <c r="AZ11" s="21" t="str">
        <f t="shared" ca="1" si="26"/>
        <v>Peru</v>
      </c>
      <c r="BA11" s="43">
        <f t="shared" ca="1" si="27"/>
        <v>75</v>
      </c>
      <c r="BB11" s="43">
        <f t="shared" ca="1" si="28"/>
        <v>66.7</v>
      </c>
      <c r="BC11" s="43">
        <f t="shared" ca="1" si="29"/>
        <v>8.2999999999999972</v>
      </c>
      <c r="BD11" s="38">
        <f t="shared" ca="1" si="30"/>
        <v>8.2999999999999972</v>
      </c>
      <c r="BF11" s="38">
        <f t="shared" ca="1" si="31"/>
        <v>75</v>
      </c>
      <c r="BG11" s="38">
        <f t="shared" ca="1" si="32"/>
        <v>62.5</v>
      </c>
      <c r="BH11" s="38">
        <f t="shared" ref="BH11:BH27" ca="1" si="94">BF11-BG11</f>
        <v>12.5</v>
      </c>
      <c r="BI11" s="47">
        <f t="shared" ref="BI11:BI28" ca="1" si="95">IF(OR(BH11=0,BH11="-"),"-",BH11)</f>
        <v>12.5</v>
      </c>
      <c r="BJ11" s="38">
        <f t="shared" ref="BJ11:BJ27" ca="1" si="96">IF($B$3=1,ROUND(BF11,3),ROUND(BH11,3))</f>
        <v>75</v>
      </c>
      <c r="BK11">
        <f ca="1">RANK(BJ11,BJ$10:BJ$28)+COUNTIF(BJ$10:BJ11,BJ11)-1</f>
        <v>1</v>
      </c>
      <c r="BL11">
        <f t="shared" ca="1" si="33"/>
        <v>3</v>
      </c>
      <c r="BM11" s="21">
        <f t="shared" ref="BM11:BM27" ca="1" si="97">IF(ISERROR(BL11),"",IF(ROUND(BT11,$B$3)=ROUND(BT10,$B$3),BM10,$A11))</f>
        <v>2</v>
      </c>
      <c r="BN11" s="21">
        <f t="shared" ca="1" si="34"/>
        <v>1</v>
      </c>
      <c r="BO11" s="41" t="str">
        <f t="shared" ca="1" si="35"/>
        <v>=2</v>
      </c>
      <c r="BP11" s="21" t="str">
        <f t="shared" ca="1" si="36"/>
        <v xml:space="preserve">Chile </v>
      </c>
      <c r="BQ11" s="43">
        <f t="shared" ca="1" si="37"/>
        <v>75</v>
      </c>
      <c r="BR11" s="43">
        <f t="shared" ca="1" si="38"/>
        <v>50</v>
      </c>
      <c r="BS11" s="43">
        <f t="shared" ca="1" si="39"/>
        <v>25</v>
      </c>
      <c r="BT11" s="38">
        <f t="shared" ca="1" si="40"/>
        <v>25</v>
      </c>
      <c r="BV11" s="38">
        <f t="shared" ca="1" si="41"/>
        <v>87.5</v>
      </c>
      <c r="BW11" s="38">
        <f t="shared" ca="1" si="42"/>
        <v>66.7</v>
      </c>
      <c r="BX11" s="38">
        <f t="shared" ref="BX11:BX27" ca="1" si="98">BV11-BW11</f>
        <v>20.799999999999997</v>
      </c>
      <c r="BY11" s="47">
        <f t="shared" ref="BY11:BY28" ca="1" si="99">IF(OR(BX11=0,BX11="-"),"-",BX11)</f>
        <v>20.799999999999997</v>
      </c>
      <c r="BZ11" s="38">
        <f t="shared" ref="BZ11:BZ27" ca="1" si="100">IF($B$3=1,ROUND(BV11,3),ROUND(BX11,3))</f>
        <v>87.5</v>
      </c>
      <c r="CA11">
        <f ca="1">RANK(BZ11,BZ$10:BZ$28)+COUNTIF(BZ$10:BZ11,BZ11)-1</f>
        <v>1</v>
      </c>
      <c r="CB11">
        <f t="shared" ca="1" si="43"/>
        <v>3</v>
      </c>
      <c r="CC11" s="21">
        <f t="shared" ref="CC11:CC27" ca="1" si="101">IF(ISERROR(CB11),"",IF(ROUND(CJ11,$B$3)=ROUND(CJ10,$B$3),CC10,$A11))</f>
        <v>2</v>
      </c>
      <c r="CD11" s="21">
        <f t="shared" ca="1" si="44"/>
        <v>1</v>
      </c>
      <c r="CE11" s="41">
        <f t="shared" ca="1" si="45"/>
        <v>2</v>
      </c>
      <c r="CF11" s="21" t="str">
        <f t="shared" ca="1" si="46"/>
        <v xml:space="preserve">Chile </v>
      </c>
      <c r="CG11" s="43">
        <f t="shared" ca="1" si="47"/>
        <v>72.2</v>
      </c>
      <c r="CH11" s="43">
        <f t="shared" ca="1" si="48"/>
        <v>73.900000000000006</v>
      </c>
      <c r="CI11" s="43">
        <f t="shared" ca="1" si="49"/>
        <v>-1.7000000000000028</v>
      </c>
      <c r="CJ11" s="38">
        <f t="shared" ca="1" si="50"/>
        <v>-1.7000000000000028</v>
      </c>
      <c r="CL11" s="38">
        <f t="shared" ca="1" si="51"/>
        <v>58.8</v>
      </c>
      <c r="CM11" s="38">
        <f t="shared" ca="1" si="52"/>
        <v>77.2</v>
      </c>
      <c r="CN11" s="38">
        <f t="shared" ref="CN11:CN27" ca="1" si="102">CL11-CM11</f>
        <v>-18.400000000000006</v>
      </c>
      <c r="CO11" s="47">
        <f t="shared" ref="CO11:CO28" ca="1" si="103">IF(OR(CN11=0,CN11="-"),"-",CN11)</f>
        <v>-18.400000000000006</v>
      </c>
      <c r="CP11" s="38">
        <f t="shared" ref="CP11:CP27" ca="1" si="104">IF($B$3=1,ROUND(CL11,3),ROUND(CN11,3))</f>
        <v>58.8</v>
      </c>
      <c r="CQ11">
        <f ca="1">RANK(CP11,CP$10:CP$28)+COUNTIF(CP$10:CP11,CP11)-1</f>
        <v>4</v>
      </c>
      <c r="CR11">
        <f t="shared" ca="1" si="53"/>
        <v>16</v>
      </c>
      <c r="CS11" s="21">
        <f t="shared" ref="CS11:CS27" ca="1" si="105">IF(ISERROR(CR11),"",IF(ROUND(CZ11,$B$3)=ROUND(CZ10,$B$3),CS10,$A11))</f>
        <v>2</v>
      </c>
      <c r="CT11" s="21">
        <f t="shared" ca="1" si="54"/>
        <v>1</v>
      </c>
      <c r="CU11" s="41">
        <f t="shared" ca="1" si="55"/>
        <v>2</v>
      </c>
      <c r="CV11" s="21" t="str">
        <f t="shared" ca="1" si="56"/>
        <v>Peru</v>
      </c>
      <c r="CW11" s="43">
        <f t="shared" ca="1" si="57"/>
        <v>75.2</v>
      </c>
      <c r="CX11" s="43">
        <f t="shared" ca="1" si="58"/>
        <v>70</v>
      </c>
      <c r="CY11" s="43">
        <f t="shared" ca="1" si="59"/>
        <v>5.2000000000000028</v>
      </c>
      <c r="CZ11" s="38">
        <f t="shared" ca="1" si="60"/>
        <v>5.2000000000000028</v>
      </c>
      <c r="DB11" s="38">
        <f t="shared" ca="1" si="61"/>
        <v>72.2</v>
      </c>
      <c r="DC11" s="38">
        <f t="shared" ca="1" si="62"/>
        <v>62.5</v>
      </c>
      <c r="DD11" s="38">
        <f t="shared" ref="DD11:DD27" ca="1" si="106">DB11-DC11</f>
        <v>9.7000000000000028</v>
      </c>
      <c r="DE11" s="47">
        <f t="shared" ref="DE11:DE28" ca="1" si="107">IF(OR(DD11=0,DD11="-"),"-",DD11)</f>
        <v>9.7000000000000028</v>
      </c>
      <c r="DF11" s="38">
        <f t="shared" ref="DF11:DF27" ca="1" si="108">IF($B$3=1,ROUND(DB11,3),ROUND(DD11,3))</f>
        <v>72.2</v>
      </c>
      <c r="DG11">
        <f ca="1">RANK(DF11,DF$10:DF$28)+COUNTIF(DF$10:DF11,DF11)-1</f>
        <v>2</v>
      </c>
      <c r="DH11">
        <f t="shared" ca="1" si="63"/>
        <v>2</v>
      </c>
      <c r="DI11" s="21">
        <f t="shared" ref="DI11:DI27" ca="1" si="109">IF(ISERROR(DH11),"",IF(ROUND(DP11,$B$3)=ROUND(DP10,$B$3),DI10,$A11))</f>
        <v>2</v>
      </c>
      <c r="DJ11" s="21">
        <f t="shared" ca="1" si="64"/>
        <v>1</v>
      </c>
      <c r="DK11" s="41">
        <f t="shared" ca="1" si="65"/>
        <v>2</v>
      </c>
      <c r="DL11" s="21" t="str">
        <f t="shared" ca="1" si="66"/>
        <v>Brazil</v>
      </c>
      <c r="DM11" s="43">
        <f t="shared" ca="1" si="67"/>
        <v>72.2</v>
      </c>
      <c r="DN11" s="43">
        <f t="shared" ca="1" si="68"/>
        <v>62.5</v>
      </c>
      <c r="DO11" s="43">
        <f t="shared" ca="1" si="69"/>
        <v>9.7000000000000028</v>
      </c>
      <c r="DP11" s="38">
        <f t="shared" ca="1" si="70"/>
        <v>9.7000000000000028</v>
      </c>
      <c r="DR11" s="38">
        <f t="shared" ca="1" si="71"/>
        <v>75</v>
      </c>
      <c r="DS11" s="38" t="e">
        <f t="shared" ca="1" si="72"/>
        <v>#REF!</v>
      </c>
      <c r="DT11" s="38" t="e">
        <f t="shared" ref="DT11:DT27" ca="1" si="110">DR11-DS11</f>
        <v>#REF!</v>
      </c>
      <c r="DU11" s="47" t="e">
        <f t="shared" ref="DU11:DU28" ca="1" si="111">IF(OR(DT11=0,DT11="-"),"-",DT11)</f>
        <v>#REF!</v>
      </c>
      <c r="DV11" s="38">
        <f t="shared" ref="DV11:DV27" ca="1" si="112">IF($B$3=1,ROUND(DR11,3),ROUND(DT11,3))</f>
        <v>75</v>
      </c>
      <c r="DW11">
        <f ca="1">RANK(DV11,DV$10:DV$28)+COUNTIF(DV$10:DV11,DV11)-1</f>
        <v>1</v>
      </c>
      <c r="DX11">
        <f t="shared" ca="1" si="73"/>
        <v>1</v>
      </c>
      <c r="DY11" s="21" t="e">
        <f t="shared" ref="DY11:DY27" ca="1" si="113">IF(ISERROR(DX11),"",IF(ROUND(EF11,$B$3)=ROUND(EF10,$B$3),DY10,$A11))</f>
        <v>#REF!</v>
      </c>
      <c r="DZ11" s="21">
        <f t="shared" ca="1" si="74"/>
        <v>1</v>
      </c>
      <c r="EA11" s="41" t="e">
        <f t="shared" ca="1" si="75"/>
        <v>#REF!</v>
      </c>
      <c r="EB11" s="21" t="str">
        <f t="shared" ca="1" si="76"/>
        <v>Argentina</v>
      </c>
      <c r="EC11" s="43">
        <f t="shared" ca="1" si="77"/>
        <v>50</v>
      </c>
      <c r="ED11" s="43" t="e">
        <f t="shared" ca="1" si="78"/>
        <v>#REF!</v>
      </c>
      <c r="EE11" s="43" t="e">
        <f t="shared" ca="1" si="79"/>
        <v>#REF!</v>
      </c>
      <c r="EF11" s="38" t="e">
        <f t="shared" ca="1" si="80"/>
        <v>#REF!</v>
      </c>
    </row>
    <row r="12" spans="1:136">
      <c r="A12">
        <v>3</v>
      </c>
      <c r="B12" t="str">
        <f>tblCountries!E8</f>
        <v xml:space="preserve">Chile </v>
      </c>
      <c r="C12">
        <f>tblCountries!A8</f>
        <v>3</v>
      </c>
      <c r="D12">
        <f ca="1">tblCountries!F8</f>
        <v>1</v>
      </c>
      <c r="G12" s="38">
        <f t="shared" ca="1" si="0"/>
        <v>100</v>
      </c>
      <c r="H12" s="47">
        <f t="shared" ca="1" si="1"/>
        <v>4</v>
      </c>
      <c r="I12" s="38">
        <f t="shared" ca="1" si="2"/>
        <v>75</v>
      </c>
      <c r="J12" s="38">
        <f t="shared" ca="1" si="3"/>
        <v>3</v>
      </c>
      <c r="K12" s="47">
        <f t="shared" si="81"/>
        <v>25</v>
      </c>
      <c r="L12" s="47" t="str">
        <f t="shared" si="82"/>
        <v>+25</v>
      </c>
      <c r="M12" s="38">
        <f t="shared" ca="1" si="83"/>
        <v>100</v>
      </c>
      <c r="N12">
        <f ca="1">RANK(M12,M$10:M$28)+COUNTIF(M$10:M12,M12)-1</f>
        <v>1</v>
      </c>
      <c r="O12">
        <f t="shared" ca="1" si="4"/>
        <v>9</v>
      </c>
      <c r="P12" s="21">
        <f t="shared" ca="1" si="84"/>
        <v>2</v>
      </c>
      <c r="Q12" s="21">
        <f t="shared" ca="1" si="5"/>
        <v>1</v>
      </c>
      <c r="R12" s="41" t="str">
        <f t="shared" ca="1" si="6"/>
        <v>=2</v>
      </c>
      <c r="S12" s="21" t="str">
        <f t="shared" ca="1" si="7"/>
        <v>Guatemala</v>
      </c>
      <c r="T12" s="41" t="str">
        <f t="shared" ca="1" si="8"/>
        <v>3</v>
      </c>
      <c r="U12" s="43">
        <f t="shared" ca="1" si="9"/>
        <v>75</v>
      </c>
      <c r="V12" s="43" t="str">
        <f t="shared" ca="1" si="10"/>
        <v>+50</v>
      </c>
      <c r="W12" t="str">
        <f t="shared" ca="1" si="85"/>
        <v>+50</v>
      </c>
      <c r="Z12" s="38">
        <f t="shared" ca="1" si="11"/>
        <v>79.3</v>
      </c>
      <c r="AA12" s="38">
        <f t="shared" ca="1" si="12"/>
        <v>64.3</v>
      </c>
      <c r="AB12" s="38">
        <f t="shared" ca="1" si="86"/>
        <v>15</v>
      </c>
      <c r="AC12" s="47">
        <f t="shared" ca="1" si="87"/>
        <v>15</v>
      </c>
      <c r="AD12" s="38">
        <f t="shared" ca="1" si="88"/>
        <v>79.3</v>
      </c>
      <c r="AE12">
        <f ca="1">RANK(AD12,AD$10:AD$28)+COUNTIF(AD$10:AD12,AD12)-1</f>
        <v>1</v>
      </c>
      <c r="AF12">
        <f t="shared" ca="1" si="13"/>
        <v>16</v>
      </c>
      <c r="AG12" s="21">
        <f t="shared" ca="1" si="89"/>
        <v>3</v>
      </c>
      <c r="AH12" s="21">
        <f t="shared" ca="1" si="14"/>
        <v>1</v>
      </c>
      <c r="AI12" s="41">
        <f t="shared" ca="1" si="15"/>
        <v>3</v>
      </c>
      <c r="AJ12" s="21" t="str">
        <f t="shared" ca="1" si="16"/>
        <v>Peru</v>
      </c>
      <c r="AK12" s="43">
        <f t="shared" ca="1" si="17"/>
        <v>67.2</v>
      </c>
      <c r="AL12" s="43">
        <f t="shared" ca="1" si="18"/>
        <v>58.9</v>
      </c>
      <c r="AM12" s="43">
        <f t="shared" ca="1" si="19"/>
        <v>8.3000000000000043</v>
      </c>
      <c r="AN12" s="38">
        <f t="shared" ca="1" si="20"/>
        <v>8.3000000000000043</v>
      </c>
      <c r="AP12" s="38">
        <f t="shared" ca="1" si="21"/>
        <v>84.4</v>
      </c>
      <c r="AQ12" s="38">
        <f t="shared" ca="1" si="22"/>
        <v>61.1</v>
      </c>
      <c r="AR12" s="38">
        <f t="shared" ca="1" si="90"/>
        <v>23.300000000000004</v>
      </c>
      <c r="AS12" s="47">
        <f t="shared" ca="1" si="91"/>
        <v>23.300000000000004</v>
      </c>
      <c r="AT12" s="38">
        <f t="shared" ca="1" si="92"/>
        <v>84.4</v>
      </c>
      <c r="AU12">
        <f ca="1">RANK(AT12,AT$10:AT$28)+COUNTIF(AT$10:AT12,AT12)-1</f>
        <v>1</v>
      </c>
      <c r="AV12">
        <f t="shared" ca="1" si="23"/>
        <v>2</v>
      </c>
      <c r="AW12" s="21">
        <f t="shared" ca="1" si="93"/>
        <v>3</v>
      </c>
      <c r="AX12" s="21">
        <f t="shared" ca="1" si="24"/>
        <v>1</v>
      </c>
      <c r="AY12" s="41">
        <f t="shared" ca="1" si="25"/>
        <v>3</v>
      </c>
      <c r="AZ12" s="21" t="str">
        <f t="shared" ca="1" si="26"/>
        <v>Brazil</v>
      </c>
      <c r="BA12" s="43">
        <f t="shared" ca="1" si="27"/>
        <v>71.900000000000006</v>
      </c>
      <c r="BB12" s="43">
        <f t="shared" ca="1" si="28"/>
        <v>47.2</v>
      </c>
      <c r="BC12" s="43">
        <f t="shared" ca="1" si="29"/>
        <v>24.700000000000003</v>
      </c>
      <c r="BD12" s="38">
        <f t="shared" ca="1" si="30"/>
        <v>24.700000000000003</v>
      </c>
      <c r="BF12" s="38">
        <f t="shared" ca="1" si="31"/>
        <v>75</v>
      </c>
      <c r="BG12" s="38">
        <f t="shared" ca="1" si="32"/>
        <v>50</v>
      </c>
      <c r="BH12" s="38">
        <f t="shared" ca="1" si="94"/>
        <v>25</v>
      </c>
      <c r="BI12" s="47">
        <f t="shared" ca="1" si="95"/>
        <v>25</v>
      </c>
      <c r="BJ12" s="38">
        <f t="shared" ca="1" si="96"/>
        <v>75</v>
      </c>
      <c r="BK12">
        <f ca="1">RANK(BJ12,BJ$10:BJ$28)+COUNTIF(BJ$10:BJ12,BJ12)-1</f>
        <v>2</v>
      </c>
      <c r="BL12">
        <f t="shared" ca="1" si="33"/>
        <v>16</v>
      </c>
      <c r="BM12" s="21">
        <f t="shared" ca="1" si="97"/>
        <v>2</v>
      </c>
      <c r="BN12" s="21">
        <f t="shared" ca="1" si="34"/>
        <v>1</v>
      </c>
      <c r="BO12" s="41" t="str">
        <f t="shared" ca="1" si="35"/>
        <v>=2</v>
      </c>
      <c r="BP12" s="21" t="str">
        <f t="shared" ca="1" si="36"/>
        <v>Peru</v>
      </c>
      <c r="BQ12" s="43">
        <f t="shared" ca="1" si="37"/>
        <v>75</v>
      </c>
      <c r="BR12" s="43">
        <f t="shared" ca="1" si="38"/>
        <v>50</v>
      </c>
      <c r="BS12" s="43">
        <f t="shared" ca="1" si="39"/>
        <v>25</v>
      </c>
      <c r="BT12" s="38">
        <f t="shared" ca="1" si="40"/>
        <v>25</v>
      </c>
      <c r="BV12" s="38">
        <f t="shared" ca="1" si="41"/>
        <v>72.2</v>
      </c>
      <c r="BW12" s="38">
        <f t="shared" ca="1" si="42"/>
        <v>73.900000000000006</v>
      </c>
      <c r="BX12" s="38">
        <f t="shared" ca="1" si="98"/>
        <v>-1.7000000000000028</v>
      </c>
      <c r="BY12" s="47">
        <f t="shared" ca="1" si="99"/>
        <v>-1.7000000000000028</v>
      </c>
      <c r="BZ12" s="38">
        <f t="shared" ca="1" si="100"/>
        <v>72.2</v>
      </c>
      <c r="CA12">
        <f ca="1">RANK(BZ12,BZ$10:BZ$28)+COUNTIF(BZ$10:BZ12,BZ12)-1</f>
        <v>2</v>
      </c>
      <c r="CB12">
        <f t="shared" ca="1" si="43"/>
        <v>12</v>
      </c>
      <c r="CC12" s="21">
        <f t="shared" ca="1" si="101"/>
        <v>3</v>
      </c>
      <c r="CD12" s="21">
        <f t="shared" ca="1" si="44"/>
        <v>1</v>
      </c>
      <c r="CE12" s="41">
        <f t="shared" ca="1" si="45"/>
        <v>3</v>
      </c>
      <c r="CF12" s="21" t="str">
        <f t="shared" ca="1" si="46"/>
        <v>Mexico</v>
      </c>
      <c r="CG12" s="43">
        <f t="shared" ca="1" si="47"/>
        <v>54</v>
      </c>
      <c r="CH12" s="43">
        <f t="shared" ca="1" si="48"/>
        <v>47.3</v>
      </c>
      <c r="CI12" s="43">
        <f t="shared" ca="1" si="49"/>
        <v>6.7000000000000028</v>
      </c>
      <c r="CJ12" s="38">
        <f t="shared" ca="1" si="50"/>
        <v>6.7000000000000028</v>
      </c>
      <c r="CL12" s="38">
        <f t="shared" ca="1" si="51"/>
        <v>85.4</v>
      </c>
      <c r="CM12" s="38">
        <f t="shared" ca="1" si="52"/>
        <v>93</v>
      </c>
      <c r="CN12" s="38">
        <f t="shared" ca="1" si="102"/>
        <v>-7.5999999999999943</v>
      </c>
      <c r="CO12" s="47">
        <f t="shared" ca="1" si="103"/>
        <v>-7.5999999999999943</v>
      </c>
      <c r="CP12" s="38">
        <f t="shared" ca="1" si="104"/>
        <v>85.4</v>
      </c>
      <c r="CQ12">
        <f ca="1">RANK(CP12,CP$10:CP$28)+COUNTIF(CP$10:CP12,CP12)-1</f>
        <v>1</v>
      </c>
      <c r="CR12">
        <f t="shared" ca="1" si="53"/>
        <v>4</v>
      </c>
      <c r="CS12" s="21">
        <f t="shared" ca="1" si="105"/>
        <v>3</v>
      </c>
      <c r="CT12" s="21">
        <f t="shared" ca="1" si="54"/>
        <v>1</v>
      </c>
      <c r="CU12" s="41">
        <f t="shared" ca="1" si="55"/>
        <v>3</v>
      </c>
      <c r="CV12" s="21" t="str">
        <f t="shared" ca="1" si="56"/>
        <v>Colombia</v>
      </c>
      <c r="CW12" s="43">
        <f t="shared" ca="1" si="57"/>
        <v>72.400000000000006</v>
      </c>
      <c r="CX12" s="43">
        <f t="shared" ca="1" si="58"/>
        <v>58.6</v>
      </c>
      <c r="CY12" s="43">
        <f t="shared" ca="1" si="59"/>
        <v>13.800000000000004</v>
      </c>
      <c r="CZ12" s="38">
        <f t="shared" ca="1" si="60"/>
        <v>13.800000000000004</v>
      </c>
      <c r="DB12" s="38">
        <f t="shared" ca="1" si="61"/>
        <v>97.2</v>
      </c>
      <c r="DC12" s="38">
        <f t="shared" ca="1" si="62"/>
        <v>95.8</v>
      </c>
      <c r="DD12" s="38">
        <f t="shared" ca="1" si="106"/>
        <v>1.4000000000000057</v>
      </c>
      <c r="DE12" s="47">
        <f t="shared" ca="1" si="107"/>
        <v>1.4000000000000057</v>
      </c>
      <c r="DF12" s="38">
        <f t="shared" ca="1" si="108"/>
        <v>97.2</v>
      </c>
      <c r="DG12">
        <f ca="1">RANK(DF12,DF$10:DF$28)+COUNTIF(DF$10:DF12,DF12)-1</f>
        <v>1</v>
      </c>
      <c r="DH12">
        <f t="shared" ca="1" si="63"/>
        <v>12</v>
      </c>
      <c r="DI12" s="21">
        <f t="shared" ca="1" si="109"/>
        <v>3</v>
      </c>
      <c r="DJ12" s="21">
        <f t="shared" ca="1" si="64"/>
        <v>1</v>
      </c>
      <c r="DK12" s="41">
        <f t="shared" ca="1" si="65"/>
        <v>3</v>
      </c>
      <c r="DL12" s="21" t="str">
        <f t="shared" ca="1" si="66"/>
        <v>Mexico</v>
      </c>
      <c r="DM12" s="43">
        <f t="shared" ca="1" si="67"/>
        <v>72.2</v>
      </c>
      <c r="DN12" s="43">
        <f t="shared" ca="1" si="68"/>
        <v>66.7</v>
      </c>
      <c r="DO12" s="43">
        <f t="shared" ca="1" si="69"/>
        <v>5.5</v>
      </c>
      <c r="DP12" s="38">
        <f t="shared" ca="1" si="70"/>
        <v>5.5</v>
      </c>
      <c r="DR12" s="38">
        <f t="shared" ca="1" si="71"/>
        <v>50</v>
      </c>
      <c r="DS12" s="38" t="e">
        <f t="shared" ca="1" si="72"/>
        <v>#REF!</v>
      </c>
      <c r="DT12" s="38" t="e">
        <f t="shared" ca="1" si="110"/>
        <v>#REF!</v>
      </c>
      <c r="DU12" s="47" t="e">
        <f t="shared" ca="1" si="111"/>
        <v>#REF!</v>
      </c>
      <c r="DV12" s="38">
        <f t="shared" ca="1" si="112"/>
        <v>50</v>
      </c>
      <c r="DW12">
        <f ca="1">RANK(DV12,DV$10:DV$28)+COUNTIF(DV$10:DV12,DV12)-1</f>
        <v>3</v>
      </c>
      <c r="DX12">
        <f t="shared" ca="1" si="73"/>
        <v>3</v>
      </c>
      <c r="DY12" s="21" t="e">
        <f t="shared" ca="1" si="113"/>
        <v>#REF!</v>
      </c>
      <c r="DZ12" s="21">
        <f t="shared" ca="1" si="74"/>
        <v>1</v>
      </c>
      <c r="EA12" s="41" t="e">
        <f t="shared" ca="1" si="75"/>
        <v>#REF!</v>
      </c>
      <c r="EB12" s="21" t="str">
        <f t="shared" ca="1" si="76"/>
        <v xml:space="preserve">Chile </v>
      </c>
      <c r="EC12" s="43">
        <f t="shared" ca="1" si="77"/>
        <v>50</v>
      </c>
      <c r="ED12" s="43" t="e">
        <f t="shared" ca="1" si="78"/>
        <v>#REF!</v>
      </c>
      <c r="EE12" s="43" t="e">
        <f t="shared" ca="1" si="79"/>
        <v>#REF!</v>
      </c>
      <c r="EF12" s="38" t="e">
        <f t="shared" ca="1" si="80"/>
        <v>#REF!</v>
      </c>
    </row>
    <row r="13" spans="1:136">
      <c r="A13">
        <v>4</v>
      </c>
      <c r="B13" t="str">
        <f>tblCountries!E9</f>
        <v>Colombia</v>
      </c>
      <c r="C13">
        <f>tblCountries!A9</f>
        <v>4</v>
      </c>
      <c r="D13">
        <f ca="1">tblCountries!F9</f>
        <v>1</v>
      </c>
      <c r="G13" s="38">
        <f t="shared" ca="1" si="0"/>
        <v>50</v>
      </c>
      <c r="H13" s="47">
        <f t="shared" ca="1" si="1"/>
        <v>2</v>
      </c>
      <c r="I13" s="38">
        <f t="shared" ca="1" si="2"/>
        <v>25</v>
      </c>
      <c r="J13" s="38">
        <f t="shared" ca="1" si="3"/>
        <v>1</v>
      </c>
      <c r="K13" s="47">
        <f t="shared" si="81"/>
        <v>25</v>
      </c>
      <c r="L13" s="47" t="str">
        <f t="shared" si="82"/>
        <v>+25</v>
      </c>
      <c r="M13" s="38">
        <f t="shared" ca="1" si="83"/>
        <v>50</v>
      </c>
      <c r="N13">
        <f ca="1">RANK(M13,M$10:M$28)+COUNTIF(M$10:M13,M13)-1</f>
        <v>6</v>
      </c>
      <c r="O13">
        <f t="shared" ca="1" si="4"/>
        <v>16</v>
      </c>
      <c r="P13" s="21">
        <f t="shared" ca="1" si="84"/>
        <v>2</v>
      </c>
      <c r="Q13" s="21">
        <f t="shared" ca="1" si="5"/>
        <v>1</v>
      </c>
      <c r="R13" s="41" t="str">
        <f t="shared" ca="1" si="6"/>
        <v>=2</v>
      </c>
      <c r="S13" s="21" t="str">
        <f t="shared" ca="1" si="7"/>
        <v>Peru</v>
      </c>
      <c r="T13" s="41" t="str">
        <f t="shared" ca="1" si="8"/>
        <v>3</v>
      </c>
      <c r="U13" s="43">
        <f t="shared" ca="1" si="9"/>
        <v>75</v>
      </c>
      <c r="V13" s="43" t="str">
        <f t="shared" ca="1" si="10"/>
        <v>-</v>
      </c>
      <c r="W13" t="str">
        <f t="shared" ca="1" si="85"/>
        <v>-</v>
      </c>
      <c r="Z13" s="38">
        <f t="shared" ca="1" si="11"/>
        <v>53.7</v>
      </c>
      <c r="AA13" s="38">
        <f t="shared" ca="1" si="12"/>
        <v>39.1</v>
      </c>
      <c r="AB13" s="38">
        <f t="shared" ca="1" si="86"/>
        <v>14.600000000000001</v>
      </c>
      <c r="AC13" s="47">
        <f t="shared" ca="1" si="87"/>
        <v>14.600000000000001</v>
      </c>
      <c r="AD13" s="38">
        <f t="shared" ca="1" si="88"/>
        <v>53.7</v>
      </c>
      <c r="AE13">
        <f ca="1">RANK(AD13,AD$10:AD$28)+COUNTIF(AD$10:AD13,AD13)-1</f>
        <v>5</v>
      </c>
      <c r="AF13">
        <f t="shared" ca="1" si="13"/>
        <v>12</v>
      </c>
      <c r="AG13" s="21">
        <f t="shared" ca="1" si="89"/>
        <v>4</v>
      </c>
      <c r="AH13" s="21">
        <f t="shared" ca="1" si="14"/>
        <v>1</v>
      </c>
      <c r="AI13" s="41">
        <f t="shared" ca="1" si="15"/>
        <v>4</v>
      </c>
      <c r="AJ13" s="21" t="str">
        <f t="shared" ca="1" si="16"/>
        <v>Mexico</v>
      </c>
      <c r="AK13" s="43">
        <f t="shared" ca="1" si="17"/>
        <v>58.1</v>
      </c>
      <c r="AL13" s="43">
        <f t="shared" ca="1" si="18"/>
        <v>47.5</v>
      </c>
      <c r="AM13" s="43">
        <f t="shared" ca="1" si="19"/>
        <v>10.600000000000001</v>
      </c>
      <c r="AN13" s="38">
        <f t="shared" ca="1" si="20"/>
        <v>10.600000000000001</v>
      </c>
      <c r="AP13" s="38">
        <f t="shared" ca="1" si="21"/>
        <v>50</v>
      </c>
      <c r="AQ13" s="38">
        <f t="shared" ca="1" si="22"/>
        <v>33.299999999999997</v>
      </c>
      <c r="AR13" s="38">
        <f t="shared" ca="1" si="90"/>
        <v>16.700000000000003</v>
      </c>
      <c r="AS13" s="47">
        <f t="shared" ca="1" si="91"/>
        <v>16.700000000000003</v>
      </c>
      <c r="AT13" s="38">
        <f t="shared" ca="1" si="92"/>
        <v>50</v>
      </c>
      <c r="AU13">
        <f ca="1">RANK(AT13,AT$10:AT$28)+COUNTIF(AT$10:AT13,AT13)-1</f>
        <v>6</v>
      </c>
      <c r="AV13">
        <f t="shared" ca="1" si="23"/>
        <v>12</v>
      </c>
      <c r="AW13" s="21">
        <f t="shared" ca="1" si="93"/>
        <v>4</v>
      </c>
      <c r="AX13" s="21">
        <f t="shared" ca="1" si="24"/>
        <v>1</v>
      </c>
      <c r="AY13" s="41">
        <f t="shared" ca="1" si="25"/>
        <v>4</v>
      </c>
      <c r="AZ13" s="21" t="str">
        <f t="shared" ca="1" si="26"/>
        <v>Mexico</v>
      </c>
      <c r="BA13" s="43">
        <f t="shared" ca="1" si="27"/>
        <v>56.3</v>
      </c>
      <c r="BB13" s="43">
        <f t="shared" ca="1" si="28"/>
        <v>50</v>
      </c>
      <c r="BC13" s="43">
        <f t="shared" ca="1" si="29"/>
        <v>6.2999999999999972</v>
      </c>
      <c r="BD13" s="38">
        <f t="shared" ca="1" si="30"/>
        <v>6.2999999999999972</v>
      </c>
      <c r="BF13" s="38">
        <f t="shared" ca="1" si="31"/>
        <v>50</v>
      </c>
      <c r="BG13" s="38">
        <f t="shared" ca="1" si="32"/>
        <v>37.5</v>
      </c>
      <c r="BH13" s="38">
        <f t="shared" ca="1" si="94"/>
        <v>12.5</v>
      </c>
      <c r="BI13" s="47">
        <f t="shared" ca="1" si="95"/>
        <v>12.5</v>
      </c>
      <c r="BJ13" s="38">
        <f t="shared" ca="1" si="96"/>
        <v>50</v>
      </c>
      <c r="BK13">
        <f ca="1">RANK(BJ13,BJ$10:BJ$28)+COUNTIF(BJ$10:BJ13,BJ13)-1</f>
        <v>5</v>
      </c>
      <c r="BL13">
        <f t="shared" ca="1" si="33"/>
        <v>12</v>
      </c>
      <c r="BM13" s="21">
        <f t="shared" ca="1" si="97"/>
        <v>4</v>
      </c>
      <c r="BN13" s="21">
        <f t="shared" ca="1" si="34"/>
        <v>1</v>
      </c>
      <c r="BO13" s="41">
        <f t="shared" ca="1" si="35"/>
        <v>4</v>
      </c>
      <c r="BP13" s="21" t="str">
        <f t="shared" ca="1" si="36"/>
        <v>Mexico</v>
      </c>
      <c r="BQ13" s="43">
        <f t="shared" ca="1" si="37"/>
        <v>58.3</v>
      </c>
      <c r="BR13" s="43">
        <f t="shared" ca="1" si="38"/>
        <v>37.5</v>
      </c>
      <c r="BS13" s="43">
        <f t="shared" ca="1" si="39"/>
        <v>20.799999999999997</v>
      </c>
      <c r="BT13" s="38">
        <f t="shared" ca="1" si="40"/>
        <v>20.799999999999997</v>
      </c>
      <c r="BV13" s="38">
        <f t="shared" ca="1" si="41"/>
        <v>46.7</v>
      </c>
      <c r="BW13" s="38">
        <f t="shared" ca="1" si="42"/>
        <v>44.7</v>
      </c>
      <c r="BX13" s="38">
        <f t="shared" ca="1" si="98"/>
        <v>2</v>
      </c>
      <c r="BY13" s="47">
        <f t="shared" ca="1" si="99"/>
        <v>2</v>
      </c>
      <c r="BZ13" s="38">
        <f t="shared" ca="1" si="100"/>
        <v>46.7</v>
      </c>
      <c r="CA13">
        <f ca="1">RANK(BZ13,BZ$10:BZ$28)+COUNTIF(BZ$10:BZ13,BZ13)-1</f>
        <v>5</v>
      </c>
      <c r="CB13">
        <f t="shared" ca="1" si="43"/>
        <v>16</v>
      </c>
      <c r="CC13" s="21">
        <f t="shared" ca="1" si="101"/>
        <v>4</v>
      </c>
      <c r="CD13" s="21">
        <f t="shared" ca="1" si="44"/>
        <v>1</v>
      </c>
      <c r="CE13" s="41">
        <f t="shared" ca="1" si="45"/>
        <v>4</v>
      </c>
      <c r="CF13" s="21" t="str">
        <f t="shared" ca="1" si="46"/>
        <v>Peru</v>
      </c>
      <c r="CG13" s="43">
        <f t="shared" ca="1" si="47"/>
        <v>53.6</v>
      </c>
      <c r="CH13" s="43">
        <f t="shared" ca="1" si="48"/>
        <v>53</v>
      </c>
      <c r="CI13" s="43">
        <f t="shared" ca="1" si="49"/>
        <v>0.60000000000000142</v>
      </c>
      <c r="CJ13" s="38">
        <f t="shared" ca="1" si="50"/>
        <v>0.60000000000000142</v>
      </c>
      <c r="CL13" s="38">
        <f t="shared" ca="1" si="51"/>
        <v>72.400000000000006</v>
      </c>
      <c r="CM13" s="38">
        <f t="shared" ca="1" si="52"/>
        <v>58.6</v>
      </c>
      <c r="CN13" s="38">
        <f t="shared" ca="1" si="102"/>
        <v>13.800000000000004</v>
      </c>
      <c r="CO13" s="47">
        <f t="shared" ca="1" si="103"/>
        <v>13.800000000000004</v>
      </c>
      <c r="CP13" s="38">
        <f t="shared" ca="1" si="104"/>
        <v>72.400000000000006</v>
      </c>
      <c r="CQ13">
        <f ca="1">RANK(CP13,CP$10:CP$28)+COUNTIF(CP$10:CP13,CP13)-1</f>
        <v>3</v>
      </c>
      <c r="CR13">
        <f t="shared" ca="1" si="53"/>
        <v>2</v>
      </c>
      <c r="CS13" s="21">
        <f t="shared" ca="1" si="105"/>
        <v>4</v>
      </c>
      <c r="CT13" s="21">
        <f t="shared" ca="1" si="54"/>
        <v>1</v>
      </c>
      <c r="CU13" s="41">
        <f t="shared" ca="1" si="55"/>
        <v>4</v>
      </c>
      <c r="CV13" s="21" t="str">
        <f t="shared" ca="1" si="56"/>
        <v>Brazil</v>
      </c>
      <c r="CW13" s="43">
        <f t="shared" ca="1" si="57"/>
        <v>58.8</v>
      </c>
      <c r="CX13" s="43">
        <f t="shared" ca="1" si="58"/>
        <v>77.2</v>
      </c>
      <c r="CY13" s="43">
        <f t="shared" ca="1" si="59"/>
        <v>-18.400000000000006</v>
      </c>
      <c r="CZ13" s="38">
        <f t="shared" ca="1" si="60"/>
        <v>-18.400000000000006</v>
      </c>
      <c r="DB13" s="38">
        <f t="shared" ca="1" si="61"/>
        <v>55.6</v>
      </c>
      <c r="DC13" s="38">
        <f t="shared" ca="1" si="62"/>
        <v>54.2</v>
      </c>
      <c r="DD13" s="38">
        <f t="shared" ca="1" si="106"/>
        <v>1.3999999999999986</v>
      </c>
      <c r="DE13" s="47">
        <f t="shared" ca="1" si="107"/>
        <v>1.3999999999999986</v>
      </c>
      <c r="DF13" s="38">
        <f t="shared" ca="1" si="108"/>
        <v>55.6</v>
      </c>
      <c r="DG13">
        <f ca="1">RANK(DF13,DF$10:DF$28)+COUNTIF(DF$10:DF13,DF13)-1</f>
        <v>7</v>
      </c>
      <c r="DH13">
        <f t="shared" ca="1" si="63"/>
        <v>14</v>
      </c>
      <c r="DI13" s="21">
        <f t="shared" ca="1" si="109"/>
        <v>4</v>
      </c>
      <c r="DJ13" s="21">
        <f t="shared" ca="1" si="64"/>
        <v>1</v>
      </c>
      <c r="DK13" s="41">
        <f t="shared" ca="1" si="65"/>
        <v>4</v>
      </c>
      <c r="DL13" s="21" t="str">
        <f t="shared" ca="1" si="66"/>
        <v>Panama</v>
      </c>
      <c r="DM13" s="43">
        <f t="shared" ca="1" si="67"/>
        <v>63.9</v>
      </c>
      <c r="DN13" s="43">
        <f t="shared" ca="1" si="68"/>
        <v>62.5</v>
      </c>
      <c r="DO13" s="43">
        <f t="shared" ca="1" si="69"/>
        <v>1.3999999999999986</v>
      </c>
      <c r="DP13" s="38">
        <f t="shared" ca="1" si="70"/>
        <v>1.3999999999999986</v>
      </c>
      <c r="DR13" s="38">
        <f t="shared" ca="1" si="71"/>
        <v>50</v>
      </c>
      <c r="DS13" s="38" t="e">
        <f t="shared" ca="1" si="72"/>
        <v>#REF!</v>
      </c>
      <c r="DT13" s="38" t="e">
        <f t="shared" ca="1" si="110"/>
        <v>#REF!</v>
      </c>
      <c r="DU13" s="47" t="e">
        <f t="shared" ca="1" si="111"/>
        <v>#REF!</v>
      </c>
      <c r="DV13" s="38">
        <f t="shared" ca="1" si="112"/>
        <v>50</v>
      </c>
      <c r="DW13">
        <f ca="1">RANK(DV13,DV$10:DV$28)+COUNTIF(DV$10:DV13,DV13)-1</f>
        <v>4</v>
      </c>
      <c r="DX13">
        <f t="shared" ca="1" si="73"/>
        <v>4</v>
      </c>
      <c r="DY13" s="21" t="e">
        <f t="shared" ca="1" si="113"/>
        <v>#REF!</v>
      </c>
      <c r="DZ13" s="21">
        <f t="shared" ca="1" si="74"/>
        <v>1</v>
      </c>
      <c r="EA13" s="41" t="e">
        <f t="shared" ca="1" si="75"/>
        <v>#REF!</v>
      </c>
      <c r="EB13" s="21" t="str">
        <f t="shared" ca="1" si="76"/>
        <v>Colombia</v>
      </c>
      <c r="EC13" s="43">
        <f t="shared" ca="1" si="77"/>
        <v>50</v>
      </c>
      <c r="ED13" s="43" t="e">
        <f t="shared" ca="1" si="78"/>
        <v>#REF!</v>
      </c>
      <c r="EE13" s="43" t="e">
        <f t="shared" ca="1" si="79"/>
        <v>#REF!</v>
      </c>
      <c r="EF13" s="38" t="e">
        <f t="shared" ca="1" si="80"/>
        <v>#REF!</v>
      </c>
    </row>
    <row r="14" spans="1:136">
      <c r="A14">
        <v>5</v>
      </c>
      <c r="B14" t="str">
        <f>tblCountries!E10</f>
        <v>Costa Rica</v>
      </c>
      <c r="C14">
        <f>tblCountries!A10</f>
        <v>5</v>
      </c>
      <c r="D14">
        <f ca="1">tblCountries!F10</f>
        <v>1</v>
      </c>
      <c r="G14" s="38">
        <f t="shared" ca="1" si="0"/>
        <v>25</v>
      </c>
      <c r="H14" s="47">
        <f t="shared" ca="1" si="1"/>
        <v>1</v>
      </c>
      <c r="I14" s="38">
        <f t="shared" ca="1" si="2"/>
        <v>50</v>
      </c>
      <c r="J14" s="38">
        <f t="shared" ca="1" si="3"/>
        <v>2</v>
      </c>
      <c r="K14" s="47">
        <f t="shared" si="81"/>
        <v>-25</v>
      </c>
      <c r="L14" s="47" t="str">
        <f t="shared" si="82"/>
        <v>-25</v>
      </c>
      <c r="M14" s="38">
        <f t="shared" ca="1" si="83"/>
        <v>25</v>
      </c>
      <c r="N14">
        <f ca="1">RANK(M14,M$10:M$28)+COUNTIF(M$10:M14,M14)-1</f>
        <v>9</v>
      </c>
      <c r="O14">
        <f t="shared" ca="1" si="4"/>
        <v>1</v>
      </c>
      <c r="P14" s="21">
        <f t="shared" ca="1" si="84"/>
        <v>5</v>
      </c>
      <c r="Q14" s="21">
        <f t="shared" ca="1" si="5"/>
        <v>1</v>
      </c>
      <c r="R14" s="41" t="str">
        <f t="shared" ca="1" si="6"/>
        <v>=5</v>
      </c>
      <c r="S14" s="21" t="str">
        <f t="shared" ca="1" si="7"/>
        <v>Argentina</v>
      </c>
      <c r="T14" s="41" t="str">
        <f t="shared" ca="1" si="8"/>
        <v>2</v>
      </c>
      <c r="U14" s="43">
        <f t="shared" ca="1" si="9"/>
        <v>50</v>
      </c>
      <c r="V14" s="43" t="str">
        <f t="shared" ca="1" si="10"/>
        <v>-</v>
      </c>
      <c r="W14" t="str">
        <f t="shared" ca="1" si="85"/>
        <v>-</v>
      </c>
      <c r="Z14" s="38">
        <f t="shared" ca="1" si="11"/>
        <v>32.299999999999997</v>
      </c>
      <c r="AA14" s="38">
        <f t="shared" ca="1" si="12"/>
        <v>45.1</v>
      </c>
      <c r="AB14" s="38">
        <f t="shared" ca="1" si="86"/>
        <v>-12.800000000000004</v>
      </c>
      <c r="AC14" s="47">
        <f t="shared" ca="1" si="87"/>
        <v>-12.800000000000004</v>
      </c>
      <c r="AD14" s="38">
        <f t="shared" ca="1" si="88"/>
        <v>32.299999999999997</v>
      </c>
      <c r="AE14">
        <f ca="1">RANK(AD14,AD$10:AD$28)+COUNTIF(AD$10:AD14,AD14)-1</f>
        <v>8</v>
      </c>
      <c r="AF14">
        <f t="shared" ca="1" si="13"/>
        <v>4</v>
      </c>
      <c r="AG14" s="21">
        <f t="shared" ca="1" si="89"/>
        <v>5</v>
      </c>
      <c r="AH14" s="21">
        <f t="shared" ca="1" si="14"/>
        <v>1</v>
      </c>
      <c r="AI14" s="41">
        <f t="shared" ca="1" si="15"/>
        <v>5</v>
      </c>
      <c r="AJ14" s="21" t="str">
        <f t="shared" ca="1" si="16"/>
        <v>Colombia</v>
      </c>
      <c r="AK14" s="43">
        <f t="shared" ca="1" si="17"/>
        <v>53.7</v>
      </c>
      <c r="AL14" s="43">
        <f t="shared" ca="1" si="18"/>
        <v>39.1</v>
      </c>
      <c r="AM14" s="43">
        <f t="shared" ca="1" si="19"/>
        <v>14.600000000000001</v>
      </c>
      <c r="AN14" s="38">
        <f t="shared" ca="1" si="20"/>
        <v>14.600000000000001</v>
      </c>
      <c r="AP14" s="38">
        <f t="shared" ca="1" si="21"/>
        <v>34.4</v>
      </c>
      <c r="AQ14" s="38">
        <f t="shared" ca="1" si="22"/>
        <v>50</v>
      </c>
      <c r="AR14" s="38">
        <f t="shared" ca="1" si="90"/>
        <v>-15.600000000000001</v>
      </c>
      <c r="AS14" s="47">
        <f t="shared" ca="1" si="91"/>
        <v>-15.600000000000001</v>
      </c>
      <c r="AT14" s="38">
        <f t="shared" ca="1" si="92"/>
        <v>34.4</v>
      </c>
      <c r="AU14">
        <f ca="1">RANK(AT14,AT$10:AT$28)+COUNTIF(AT$10:AT14,AT14)-1</f>
        <v>8</v>
      </c>
      <c r="AV14">
        <f t="shared" ca="1" si="23"/>
        <v>9</v>
      </c>
      <c r="AW14" s="21">
        <f t="shared" ca="1" si="93"/>
        <v>5</v>
      </c>
      <c r="AX14" s="21">
        <f t="shared" ca="1" si="24"/>
        <v>1</v>
      </c>
      <c r="AY14" s="41">
        <f t="shared" ca="1" si="25"/>
        <v>5</v>
      </c>
      <c r="AZ14" s="21" t="str">
        <f t="shared" ca="1" si="26"/>
        <v>Guatemala</v>
      </c>
      <c r="BA14" s="43">
        <f t="shared" ca="1" si="27"/>
        <v>53.1</v>
      </c>
      <c r="BB14" s="43">
        <f t="shared" ca="1" si="28"/>
        <v>16.7</v>
      </c>
      <c r="BC14" s="43">
        <f t="shared" ca="1" si="29"/>
        <v>36.400000000000006</v>
      </c>
      <c r="BD14" s="38">
        <f t="shared" ca="1" si="30"/>
        <v>36.400000000000006</v>
      </c>
      <c r="BF14" s="38">
        <f t="shared" ca="1" si="31"/>
        <v>25</v>
      </c>
      <c r="BG14" s="38">
        <f t="shared" ca="1" si="32"/>
        <v>25</v>
      </c>
      <c r="BH14" s="38">
        <f t="shared" ca="1" si="94"/>
        <v>0</v>
      </c>
      <c r="BI14" s="47" t="str">
        <f t="shared" ca="1" si="95"/>
        <v>-</v>
      </c>
      <c r="BJ14" s="38">
        <f t="shared" ca="1" si="96"/>
        <v>25</v>
      </c>
      <c r="BK14">
        <f ca="1">RANK(BJ14,BJ$10:BJ$28)+COUNTIF(BJ$10:BJ14,BJ14)-1</f>
        <v>11</v>
      </c>
      <c r="BL14">
        <f t="shared" ca="1" si="33"/>
        <v>4</v>
      </c>
      <c r="BM14" s="21">
        <f t="shared" ca="1" si="97"/>
        <v>5</v>
      </c>
      <c r="BN14" s="21">
        <f t="shared" ca="1" si="34"/>
        <v>1</v>
      </c>
      <c r="BO14" s="41">
        <f t="shared" ca="1" si="35"/>
        <v>5</v>
      </c>
      <c r="BP14" s="21" t="str">
        <f t="shared" ca="1" si="36"/>
        <v>Colombia</v>
      </c>
      <c r="BQ14" s="43">
        <f t="shared" ca="1" si="37"/>
        <v>50</v>
      </c>
      <c r="BR14" s="43">
        <f t="shared" ca="1" si="38"/>
        <v>37.5</v>
      </c>
      <c r="BS14" s="43">
        <f t="shared" ca="1" si="39"/>
        <v>12.5</v>
      </c>
      <c r="BT14" s="38">
        <f t="shared" ca="1" si="40"/>
        <v>12.5</v>
      </c>
      <c r="BV14" s="38">
        <f t="shared" ca="1" si="41"/>
        <v>42.1</v>
      </c>
      <c r="BW14" s="38">
        <f t="shared" ca="1" si="42"/>
        <v>55</v>
      </c>
      <c r="BX14" s="38">
        <f t="shared" ca="1" si="98"/>
        <v>-12.899999999999999</v>
      </c>
      <c r="BY14" s="47">
        <f t="shared" ca="1" si="99"/>
        <v>-12.899999999999999</v>
      </c>
      <c r="BZ14" s="38">
        <f t="shared" ca="1" si="100"/>
        <v>42.1</v>
      </c>
      <c r="CA14">
        <f ca="1">RANK(BZ14,BZ$10:BZ$28)+COUNTIF(BZ$10:BZ14,BZ14)-1</f>
        <v>6</v>
      </c>
      <c r="CB14">
        <f t="shared" ca="1" si="43"/>
        <v>4</v>
      </c>
      <c r="CC14" s="21">
        <f t="shared" ca="1" si="101"/>
        <v>5</v>
      </c>
      <c r="CD14" s="21">
        <f t="shared" ca="1" si="44"/>
        <v>1</v>
      </c>
      <c r="CE14" s="41">
        <f t="shared" ca="1" si="45"/>
        <v>5</v>
      </c>
      <c r="CF14" s="21" t="str">
        <f t="shared" ca="1" si="46"/>
        <v>Colombia</v>
      </c>
      <c r="CG14" s="43">
        <f t="shared" ca="1" si="47"/>
        <v>46.7</v>
      </c>
      <c r="CH14" s="43">
        <f t="shared" ca="1" si="48"/>
        <v>44.7</v>
      </c>
      <c r="CI14" s="43">
        <f t="shared" ca="1" si="49"/>
        <v>2</v>
      </c>
      <c r="CJ14" s="38">
        <f t="shared" ca="1" si="50"/>
        <v>2</v>
      </c>
      <c r="CL14" s="38">
        <f t="shared" ca="1" si="51"/>
        <v>40.700000000000003</v>
      </c>
      <c r="CM14" s="38">
        <f t="shared" ca="1" si="52"/>
        <v>61.3</v>
      </c>
      <c r="CN14" s="38">
        <f t="shared" ca="1" si="102"/>
        <v>-20.599999999999994</v>
      </c>
      <c r="CO14" s="47">
        <f t="shared" ca="1" si="103"/>
        <v>-20.599999999999994</v>
      </c>
      <c r="CP14" s="38">
        <f t="shared" ca="1" si="104"/>
        <v>40.700000000000003</v>
      </c>
      <c r="CQ14">
        <f ca="1">RANK(CP14,CP$10:CP$28)+COUNTIF(CP$10:CP14,CP14)-1</f>
        <v>11</v>
      </c>
      <c r="CR14">
        <f t="shared" ca="1" si="53"/>
        <v>14</v>
      </c>
      <c r="CS14" s="21">
        <f t="shared" ca="1" si="105"/>
        <v>5</v>
      </c>
      <c r="CT14" s="21">
        <f t="shared" ca="1" si="54"/>
        <v>1</v>
      </c>
      <c r="CU14" s="41">
        <f t="shared" ca="1" si="55"/>
        <v>5</v>
      </c>
      <c r="CV14" s="21" t="str">
        <f t="shared" ca="1" si="56"/>
        <v>Panama</v>
      </c>
      <c r="CW14" s="43">
        <f t="shared" ca="1" si="57"/>
        <v>58.1</v>
      </c>
      <c r="CX14" s="43">
        <f t="shared" ca="1" si="58"/>
        <v>62.8</v>
      </c>
      <c r="CY14" s="43">
        <f t="shared" ca="1" si="59"/>
        <v>-4.6999999999999957</v>
      </c>
      <c r="CZ14" s="38">
        <f t="shared" ca="1" si="60"/>
        <v>-4.6999999999999957</v>
      </c>
      <c r="DB14" s="38">
        <f t="shared" ca="1" si="61"/>
        <v>41.7</v>
      </c>
      <c r="DC14" s="38">
        <f t="shared" ca="1" si="62"/>
        <v>41.7</v>
      </c>
      <c r="DD14" s="38">
        <f t="shared" ca="1" si="106"/>
        <v>0</v>
      </c>
      <c r="DE14" s="47" t="str">
        <f t="shared" ca="1" si="107"/>
        <v>-</v>
      </c>
      <c r="DF14" s="38">
        <f t="shared" ca="1" si="108"/>
        <v>41.7</v>
      </c>
      <c r="DG14">
        <f ca="1">RANK(DF14,DF$10:DF$28)+COUNTIF(DF$10:DF14,DF14)-1</f>
        <v>9</v>
      </c>
      <c r="DH14">
        <f t="shared" ca="1" si="63"/>
        <v>16</v>
      </c>
      <c r="DI14" s="21">
        <f t="shared" ca="1" si="109"/>
        <v>5</v>
      </c>
      <c r="DJ14" s="21">
        <f t="shared" ca="1" si="64"/>
        <v>1</v>
      </c>
      <c r="DK14" s="41">
        <f t="shared" ca="1" si="65"/>
        <v>5</v>
      </c>
      <c r="DL14" s="21" t="str">
        <f t="shared" ca="1" si="66"/>
        <v>Peru</v>
      </c>
      <c r="DM14" s="43">
        <f t="shared" ca="1" si="67"/>
        <v>61.1</v>
      </c>
      <c r="DN14" s="43">
        <f t="shared" ca="1" si="68"/>
        <v>58.3</v>
      </c>
      <c r="DO14" s="43">
        <f t="shared" ca="1" si="69"/>
        <v>2.8000000000000043</v>
      </c>
      <c r="DP14" s="38">
        <f t="shared" ca="1" si="70"/>
        <v>2.8000000000000043</v>
      </c>
      <c r="DR14" s="38">
        <f t="shared" ca="1" si="71"/>
        <v>0</v>
      </c>
      <c r="DS14" s="38" t="e">
        <f t="shared" ca="1" si="72"/>
        <v>#REF!</v>
      </c>
      <c r="DT14" s="38" t="e">
        <f t="shared" ca="1" si="110"/>
        <v>#REF!</v>
      </c>
      <c r="DU14" s="47" t="e">
        <f t="shared" ca="1" si="111"/>
        <v>#REF!</v>
      </c>
      <c r="DV14" s="38">
        <f t="shared" ca="1" si="112"/>
        <v>0</v>
      </c>
      <c r="DW14">
        <f ca="1">RANK(DV14,DV$10:DV$28)+COUNTIF(DV$10:DV14,DV14)-1</f>
        <v>14</v>
      </c>
      <c r="DX14">
        <f t="shared" ca="1" si="73"/>
        <v>12</v>
      </c>
      <c r="DY14" s="21" t="e">
        <f t="shared" ca="1" si="113"/>
        <v>#REF!</v>
      </c>
      <c r="DZ14" s="21">
        <f t="shared" ca="1" si="74"/>
        <v>1</v>
      </c>
      <c r="EA14" s="41" t="e">
        <f t="shared" ca="1" si="75"/>
        <v>#REF!</v>
      </c>
      <c r="EB14" s="21" t="str">
        <f t="shared" ca="1" si="76"/>
        <v>Mexico</v>
      </c>
      <c r="EC14" s="43">
        <f t="shared" ca="1" si="77"/>
        <v>50</v>
      </c>
      <c r="ED14" s="43" t="e">
        <f t="shared" ca="1" si="78"/>
        <v>#REF!</v>
      </c>
      <c r="EE14" s="43" t="e">
        <f t="shared" ca="1" si="79"/>
        <v>#REF!</v>
      </c>
      <c r="EF14" s="38" t="e">
        <f t="shared" ca="1" si="80"/>
        <v>#REF!</v>
      </c>
    </row>
    <row r="15" spans="1:136">
      <c r="A15">
        <v>6</v>
      </c>
      <c r="B15" t="str">
        <f>tblCountries!E11</f>
        <v>Dominican Rep.</v>
      </c>
      <c r="C15">
        <f>tblCountries!A11</f>
        <v>6</v>
      </c>
      <c r="D15">
        <f ca="1">tblCountries!F11</f>
        <v>1</v>
      </c>
      <c r="G15" s="38">
        <f t="shared" ca="1" si="0"/>
        <v>25</v>
      </c>
      <c r="H15" s="47">
        <f t="shared" ca="1" si="1"/>
        <v>1</v>
      </c>
      <c r="I15" s="38">
        <f t="shared" ca="1" si="2"/>
        <v>25</v>
      </c>
      <c r="J15" s="38">
        <f t="shared" ca="1" si="3"/>
        <v>1</v>
      </c>
      <c r="K15" s="47">
        <f t="shared" si="81"/>
        <v>0</v>
      </c>
      <c r="L15" s="47" t="str">
        <f t="shared" si="82"/>
        <v>-</v>
      </c>
      <c r="M15" s="38">
        <f t="shared" ca="1" si="83"/>
        <v>25</v>
      </c>
      <c r="N15">
        <f ca="1">RANK(M15,M$10:M$28)+COUNTIF(M$10:M15,M15)-1</f>
        <v>10</v>
      </c>
      <c r="O15">
        <f t="shared" ca="1" si="4"/>
        <v>4</v>
      </c>
      <c r="P15" s="21">
        <f t="shared" ca="1" si="84"/>
        <v>5</v>
      </c>
      <c r="Q15" s="21">
        <f t="shared" ca="1" si="5"/>
        <v>1</v>
      </c>
      <c r="R15" s="41" t="str">
        <f t="shared" ca="1" si="6"/>
        <v>=5</v>
      </c>
      <c r="S15" s="21" t="str">
        <f t="shared" ca="1" si="7"/>
        <v>Colombia</v>
      </c>
      <c r="T15" s="41" t="str">
        <f t="shared" ca="1" si="8"/>
        <v>2</v>
      </c>
      <c r="U15" s="43">
        <f t="shared" ca="1" si="9"/>
        <v>50</v>
      </c>
      <c r="V15" s="43" t="str">
        <f t="shared" ca="1" si="10"/>
        <v>+25</v>
      </c>
      <c r="W15" t="str">
        <f t="shared" ca="1" si="85"/>
        <v>+25</v>
      </c>
      <c r="Z15" s="38">
        <f t="shared" ca="1" si="11"/>
        <v>23.7</v>
      </c>
      <c r="AA15" s="38">
        <f t="shared" ca="1" si="12"/>
        <v>25.2</v>
      </c>
      <c r="AB15" s="38">
        <f t="shared" ca="1" si="86"/>
        <v>-1.5</v>
      </c>
      <c r="AC15" s="47">
        <f t="shared" ca="1" si="87"/>
        <v>-1.5</v>
      </c>
      <c r="AD15" s="38">
        <f t="shared" ca="1" si="88"/>
        <v>23.7</v>
      </c>
      <c r="AE15">
        <f ca="1">RANK(AD15,AD$10:AD$28)+COUNTIF(AD$10:AD15,AD15)-1</f>
        <v>16</v>
      </c>
      <c r="AF15">
        <f t="shared" ca="1" si="13"/>
        <v>9</v>
      </c>
      <c r="AG15" s="21">
        <f t="shared" ca="1" si="89"/>
        <v>6</v>
      </c>
      <c r="AH15" s="21">
        <f t="shared" ca="1" si="14"/>
        <v>1</v>
      </c>
      <c r="AI15" s="41">
        <f t="shared" ca="1" si="15"/>
        <v>6</v>
      </c>
      <c r="AJ15" s="21" t="str">
        <f t="shared" ca="1" si="16"/>
        <v>Guatemala</v>
      </c>
      <c r="AK15" s="43">
        <f t="shared" ca="1" si="17"/>
        <v>42.4</v>
      </c>
      <c r="AL15" s="43">
        <f t="shared" ca="1" si="18"/>
        <v>18</v>
      </c>
      <c r="AM15" s="43">
        <f t="shared" ca="1" si="19"/>
        <v>24.4</v>
      </c>
      <c r="AN15" s="38">
        <f t="shared" ca="1" si="20"/>
        <v>24.4</v>
      </c>
      <c r="AP15" s="38">
        <f t="shared" ca="1" si="21"/>
        <v>21.9</v>
      </c>
      <c r="AQ15" s="38">
        <f t="shared" ca="1" si="22"/>
        <v>16.7</v>
      </c>
      <c r="AR15" s="38">
        <f t="shared" ca="1" si="90"/>
        <v>5.1999999999999993</v>
      </c>
      <c r="AS15" s="47">
        <f t="shared" ca="1" si="91"/>
        <v>5.1999999999999993</v>
      </c>
      <c r="AT15" s="38">
        <f t="shared" ca="1" si="92"/>
        <v>21.9</v>
      </c>
      <c r="AU15">
        <f ca="1">RANK(AT15,AT$10:AT$28)+COUNTIF(AT$10:AT15,AT15)-1</f>
        <v>15</v>
      </c>
      <c r="AV15">
        <f t="shared" ca="1" si="23"/>
        <v>4</v>
      </c>
      <c r="AW15" s="21">
        <f t="shared" ca="1" si="93"/>
        <v>6</v>
      </c>
      <c r="AX15" s="21">
        <f t="shared" ca="1" si="24"/>
        <v>1</v>
      </c>
      <c r="AY15" s="41">
        <f t="shared" ca="1" si="25"/>
        <v>6</v>
      </c>
      <c r="AZ15" s="21" t="str">
        <f t="shared" ca="1" si="26"/>
        <v>Colombia</v>
      </c>
      <c r="BA15" s="43">
        <f t="shared" ca="1" si="27"/>
        <v>50</v>
      </c>
      <c r="BB15" s="43">
        <f t="shared" ca="1" si="28"/>
        <v>33.299999999999997</v>
      </c>
      <c r="BC15" s="43">
        <f t="shared" ca="1" si="29"/>
        <v>16.700000000000003</v>
      </c>
      <c r="BD15" s="38">
        <f t="shared" ca="1" si="30"/>
        <v>16.700000000000003</v>
      </c>
      <c r="BF15" s="38">
        <f t="shared" ca="1" si="31"/>
        <v>8.3000000000000007</v>
      </c>
      <c r="BG15" s="38">
        <f t="shared" ca="1" si="32"/>
        <v>25</v>
      </c>
      <c r="BH15" s="38">
        <f t="shared" ca="1" si="94"/>
        <v>-16.7</v>
      </c>
      <c r="BI15" s="47">
        <f t="shared" ca="1" si="95"/>
        <v>-16.7</v>
      </c>
      <c r="BJ15" s="38">
        <f t="shared" ca="1" si="96"/>
        <v>8.3000000000000007</v>
      </c>
      <c r="BK15">
        <f ca="1">RANK(BJ15,BJ$10:BJ$28)+COUNTIF(BJ$10:BJ15,BJ15)-1</f>
        <v>17</v>
      </c>
      <c r="BL15">
        <f t="shared" ca="1" si="33"/>
        <v>9</v>
      </c>
      <c r="BM15" s="21">
        <f t="shared" ca="1" si="97"/>
        <v>6</v>
      </c>
      <c r="BN15" s="21">
        <f t="shared" ca="1" si="34"/>
        <v>1</v>
      </c>
      <c r="BO15" s="41">
        <f t="shared" ca="1" si="35"/>
        <v>6</v>
      </c>
      <c r="BP15" s="21" t="str">
        <f t="shared" ca="1" si="36"/>
        <v>Guatemala</v>
      </c>
      <c r="BQ15" s="43">
        <f t="shared" ca="1" si="37"/>
        <v>50</v>
      </c>
      <c r="BR15" s="43">
        <f t="shared" ca="1" si="38"/>
        <v>25</v>
      </c>
      <c r="BS15" s="43">
        <f t="shared" ca="1" si="39"/>
        <v>25</v>
      </c>
      <c r="BT15" s="38">
        <f t="shared" ca="1" si="40"/>
        <v>25</v>
      </c>
      <c r="BV15" s="38">
        <f t="shared" ca="1" si="41"/>
        <v>14</v>
      </c>
      <c r="BW15" s="38">
        <f t="shared" ca="1" si="42"/>
        <v>38.6</v>
      </c>
      <c r="BX15" s="38">
        <f t="shared" ca="1" si="98"/>
        <v>-24.6</v>
      </c>
      <c r="BY15" s="47">
        <f t="shared" ca="1" si="99"/>
        <v>-24.6</v>
      </c>
      <c r="BZ15" s="38">
        <f t="shared" ca="1" si="100"/>
        <v>14</v>
      </c>
      <c r="CA15">
        <f ca="1">RANK(BZ15,BZ$10:BZ$28)+COUNTIF(BZ$10:BZ15,BZ15)-1</f>
        <v>15</v>
      </c>
      <c r="CB15">
        <f t="shared" ca="1" si="43"/>
        <v>5</v>
      </c>
      <c r="CC15" s="21">
        <f t="shared" ca="1" si="101"/>
        <v>6</v>
      </c>
      <c r="CD15" s="21">
        <f t="shared" ca="1" si="44"/>
        <v>1</v>
      </c>
      <c r="CE15" s="41">
        <f t="shared" ca="1" si="45"/>
        <v>6</v>
      </c>
      <c r="CF15" s="21" t="str">
        <f t="shared" ca="1" si="46"/>
        <v>Costa Rica</v>
      </c>
      <c r="CG15" s="43">
        <f t="shared" ca="1" si="47"/>
        <v>42.1</v>
      </c>
      <c r="CH15" s="43">
        <f t="shared" ca="1" si="48"/>
        <v>55</v>
      </c>
      <c r="CI15" s="43">
        <f t="shared" ca="1" si="49"/>
        <v>-12.899999999999999</v>
      </c>
      <c r="CJ15" s="38">
        <f t="shared" ca="1" si="50"/>
        <v>-12.899999999999999</v>
      </c>
      <c r="CL15" s="38">
        <f t="shared" ca="1" si="51"/>
        <v>49.1</v>
      </c>
      <c r="CM15" s="38">
        <f t="shared" ca="1" si="52"/>
        <v>35.799999999999997</v>
      </c>
      <c r="CN15" s="38">
        <f t="shared" ca="1" si="102"/>
        <v>13.300000000000004</v>
      </c>
      <c r="CO15" s="47">
        <f t="shared" ca="1" si="103"/>
        <v>13.300000000000004</v>
      </c>
      <c r="CP15" s="38">
        <f t="shared" ca="1" si="104"/>
        <v>49.1</v>
      </c>
      <c r="CQ15">
        <f ca="1">RANK(CP15,CP$10:CP$28)+COUNTIF(CP$10:CP15,CP15)-1</f>
        <v>8</v>
      </c>
      <c r="CR15">
        <f t="shared" ca="1" si="53"/>
        <v>12</v>
      </c>
      <c r="CS15" s="21">
        <f t="shared" ca="1" si="105"/>
        <v>6</v>
      </c>
      <c r="CT15" s="21">
        <f t="shared" ca="1" si="54"/>
        <v>1</v>
      </c>
      <c r="CU15" s="41">
        <f t="shared" ca="1" si="55"/>
        <v>6</v>
      </c>
      <c r="CV15" s="21" t="str">
        <f t="shared" ca="1" si="56"/>
        <v>Mexico</v>
      </c>
      <c r="CW15" s="43">
        <f t="shared" ca="1" si="57"/>
        <v>56.1</v>
      </c>
      <c r="CX15" s="43">
        <f t="shared" ca="1" si="58"/>
        <v>65.099999999999994</v>
      </c>
      <c r="CY15" s="43">
        <f t="shared" ca="1" si="59"/>
        <v>-8.9999999999999929</v>
      </c>
      <c r="CZ15" s="38">
        <f t="shared" ca="1" si="60"/>
        <v>-8.9999999999999929</v>
      </c>
      <c r="DB15" s="38">
        <f t="shared" ca="1" si="61"/>
        <v>30.6</v>
      </c>
      <c r="DC15" s="38">
        <f t="shared" ca="1" si="62"/>
        <v>20.8</v>
      </c>
      <c r="DD15" s="38">
        <f t="shared" ca="1" si="106"/>
        <v>9.8000000000000007</v>
      </c>
      <c r="DE15" s="47">
        <f t="shared" ca="1" si="107"/>
        <v>9.8000000000000007</v>
      </c>
      <c r="DF15" s="38">
        <f t="shared" ca="1" si="108"/>
        <v>30.6</v>
      </c>
      <c r="DG15">
        <f ca="1">RANK(DF15,DF$10:DF$28)+COUNTIF(DF$10:DF15,DF15)-1</f>
        <v>11</v>
      </c>
      <c r="DH15">
        <f t="shared" ca="1" si="63"/>
        <v>17</v>
      </c>
      <c r="DI15" s="21">
        <f t="shared" ca="1" si="109"/>
        <v>6</v>
      </c>
      <c r="DJ15" s="21">
        <f t="shared" ca="1" si="64"/>
        <v>1</v>
      </c>
      <c r="DK15" s="41">
        <f t="shared" ca="1" si="65"/>
        <v>6</v>
      </c>
      <c r="DL15" s="21" t="str">
        <f t="shared" ca="1" si="66"/>
        <v>Trinidad &amp; Tobago</v>
      </c>
      <c r="DM15" s="43">
        <f t="shared" ca="1" si="67"/>
        <v>58.3</v>
      </c>
      <c r="DN15" s="43">
        <f t="shared" ca="1" si="68"/>
        <v>58.3</v>
      </c>
      <c r="DO15" s="43" t="str">
        <f t="shared" ca="1" si="69"/>
        <v>-</v>
      </c>
      <c r="DP15" s="38">
        <f t="shared" ca="1" si="70"/>
        <v>0</v>
      </c>
      <c r="DR15" s="38">
        <f t="shared" ca="1" si="71"/>
        <v>25</v>
      </c>
      <c r="DS15" s="38" t="e">
        <f t="shared" ca="1" si="72"/>
        <v>#REF!</v>
      </c>
      <c r="DT15" s="38" t="e">
        <f t="shared" ca="1" si="110"/>
        <v>#REF!</v>
      </c>
      <c r="DU15" s="47" t="e">
        <f t="shared" ca="1" si="111"/>
        <v>#REF!</v>
      </c>
      <c r="DV15" s="38">
        <f t="shared" ca="1" si="112"/>
        <v>25</v>
      </c>
      <c r="DW15">
        <f ca="1">RANK(DV15,DV$10:DV$28)+COUNTIF(DV$10:DV15,DV15)-1</f>
        <v>7</v>
      </c>
      <c r="DX15">
        <f t="shared" ca="1" si="73"/>
        <v>16</v>
      </c>
      <c r="DY15" s="21" t="e">
        <f t="shared" ca="1" si="113"/>
        <v>#REF!</v>
      </c>
      <c r="DZ15" s="21">
        <f t="shared" ca="1" si="74"/>
        <v>1</v>
      </c>
      <c r="EA15" s="41" t="e">
        <f t="shared" ca="1" si="75"/>
        <v>#REF!</v>
      </c>
      <c r="EB15" s="21" t="str">
        <f t="shared" ca="1" si="76"/>
        <v>Peru</v>
      </c>
      <c r="EC15" s="43">
        <f t="shared" ca="1" si="77"/>
        <v>50</v>
      </c>
      <c r="ED15" s="43" t="e">
        <f t="shared" ca="1" si="78"/>
        <v>#REF!</v>
      </c>
      <c r="EE15" s="43" t="e">
        <f t="shared" ca="1" si="79"/>
        <v>#REF!</v>
      </c>
      <c r="EF15" s="38" t="e">
        <f t="shared" ca="1" si="80"/>
        <v>#REF!</v>
      </c>
    </row>
    <row r="16" spans="1:136">
      <c r="A16">
        <v>7</v>
      </c>
      <c r="B16" t="str">
        <f>tblCountries!E12</f>
        <v>Ecuador</v>
      </c>
      <c r="C16">
        <f>tblCountries!A12</f>
        <v>7</v>
      </c>
      <c r="D16">
        <f ca="1">tblCountries!F12</f>
        <v>1</v>
      </c>
      <c r="G16" s="38">
        <f t="shared" ca="1" si="0"/>
        <v>0</v>
      </c>
      <c r="H16" s="47">
        <f t="shared" ca="1" si="1"/>
        <v>0</v>
      </c>
      <c r="I16" s="38">
        <f t="shared" ca="1" si="2"/>
        <v>0</v>
      </c>
      <c r="J16" s="38">
        <f t="shared" ca="1" si="3"/>
        <v>0</v>
      </c>
      <c r="K16" s="47">
        <f t="shared" si="81"/>
        <v>0</v>
      </c>
      <c r="L16" s="47" t="str">
        <f t="shared" si="82"/>
        <v>-</v>
      </c>
      <c r="M16" s="38">
        <f t="shared" ca="1" si="83"/>
        <v>0</v>
      </c>
      <c r="N16">
        <f ca="1">RANK(M16,M$10:M$28)+COUNTIF(M$10:M16,M16)-1</f>
        <v>18</v>
      </c>
      <c r="O16">
        <f t="shared" ca="1" si="4"/>
        <v>12</v>
      </c>
      <c r="P16" s="21">
        <f t="shared" ca="1" si="84"/>
        <v>5</v>
      </c>
      <c r="Q16" s="21">
        <f t="shared" ca="1" si="5"/>
        <v>1</v>
      </c>
      <c r="R16" s="41" t="str">
        <f t="shared" ca="1" si="6"/>
        <v>=5</v>
      </c>
      <c r="S16" s="21" t="str">
        <f t="shared" ca="1" si="7"/>
        <v>Mexico</v>
      </c>
      <c r="T16" s="41" t="str">
        <f t="shared" ca="1" si="8"/>
        <v>2</v>
      </c>
      <c r="U16" s="43">
        <f t="shared" ca="1" si="9"/>
        <v>50</v>
      </c>
      <c r="V16" s="43" t="str">
        <f t="shared" ca="1" si="10"/>
        <v>-</v>
      </c>
      <c r="W16" t="str">
        <f t="shared" ca="1" si="85"/>
        <v>-</v>
      </c>
      <c r="Z16" s="38">
        <f t="shared" ca="1" si="11"/>
        <v>14.2</v>
      </c>
      <c r="AA16" s="38">
        <f t="shared" ca="1" si="12"/>
        <v>14.5</v>
      </c>
      <c r="AB16" s="38">
        <f t="shared" ca="1" si="86"/>
        <v>-0.30000000000000071</v>
      </c>
      <c r="AC16" s="47">
        <f t="shared" ca="1" si="87"/>
        <v>-0.30000000000000071</v>
      </c>
      <c r="AD16" s="38">
        <f t="shared" ca="1" si="88"/>
        <v>14.2</v>
      </c>
      <c r="AE16">
        <f ca="1">RANK(AD16,AD$10:AD$28)+COUNTIF(AD$10:AD16,AD16)-1</f>
        <v>18</v>
      </c>
      <c r="AF16">
        <f t="shared" ca="1" si="13"/>
        <v>14</v>
      </c>
      <c r="AG16" s="21">
        <f t="shared" ca="1" si="89"/>
        <v>7</v>
      </c>
      <c r="AH16" s="21">
        <f t="shared" ca="1" si="14"/>
        <v>1</v>
      </c>
      <c r="AI16" s="41">
        <f t="shared" ca="1" si="15"/>
        <v>7</v>
      </c>
      <c r="AJ16" s="21" t="str">
        <f t="shared" ca="1" si="16"/>
        <v>Panama</v>
      </c>
      <c r="AK16" s="43">
        <f t="shared" ca="1" si="17"/>
        <v>34.6</v>
      </c>
      <c r="AL16" s="43">
        <f t="shared" ca="1" si="18"/>
        <v>21</v>
      </c>
      <c r="AM16" s="43">
        <f t="shared" ca="1" si="19"/>
        <v>13.600000000000001</v>
      </c>
      <c r="AN16" s="38">
        <f t="shared" ca="1" si="20"/>
        <v>13.600000000000001</v>
      </c>
      <c r="AP16" s="38">
        <f t="shared" ca="1" si="21"/>
        <v>6.3</v>
      </c>
      <c r="AQ16" s="38">
        <f t="shared" ca="1" si="22"/>
        <v>5.6</v>
      </c>
      <c r="AR16" s="38">
        <f t="shared" ca="1" si="90"/>
        <v>0.70000000000000018</v>
      </c>
      <c r="AS16" s="47">
        <f t="shared" ca="1" si="91"/>
        <v>0.70000000000000018</v>
      </c>
      <c r="AT16" s="38">
        <f t="shared" ca="1" si="92"/>
        <v>6.3</v>
      </c>
      <c r="AU16">
        <f ca="1">RANK(AT16,AT$10:AT$28)+COUNTIF(AT$10:AT16,AT16)-1</f>
        <v>18</v>
      </c>
      <c r="AV16">
        <f t="shared" ca="1" si="23"/>
        <v>14</v>
      </c>
      <c r="AW16" s="21">
        <f t="shared" ca="1" si="93"/>
        <v>7</v>
      </c>
      <c r="AX16" s="21">
        <f t="shared" ca="1" si="24"/>
        <v>1</v>
      </c>
      <c r="AY16" s="41">
        <f t="shared" ca="1" si="25"/>
        <v>7</v>
      </c>
      <c r="AZ16" s="21" t="str">
        <f t="shared" ca="1" si="26"/>
        <v>Panama</v>
      </c>
      <c r="BA16" s="43">
        <f t="shared" ca="1" si="27"/>
        <v>37.5</v>
      </c>
      <c r="BB16" s="43">
        <f t="shared" ca="1" si="28"/>
        <v>25</v>
      </c>
      <c r="BC16" s="43">
        <f t="shared" ca="1" si="29"/>
        <v>12.5</v>
      </c>
      <c r="BD16" s="38">
        <f t="shared" ca="1" si="30"/>
        <v>12.5</v>
      </c>
      <c r="BF16" s="38">
        <f t="shared" ca="1" si="31"/>
        <v>0</v>
      </c>
      <c r="BG16" s="38">
        <f t="shared" ca="1" si="32"/>
        <v>0</v>
      </c>
      <c r="BH16" s="38">
        <f t="shared" ca="1" si="94"/>
        <v>0</v>
      </c>
      <c r="BI16" s="47" t="str">
        <f t="shared" ca="1" si="95"/>
        <v>-</v>
      </c>
      <c r="BJ16" s="38">
        <f t="shared" ca="1" si="96"/>
        <v>0</v>
      </c>
      <c r="BK16">
        <f ca="1">RANK(BJ16,BJ$10:BJ$28)+COUNTIF(BJ$10:BJ16,BJ16)-1</f>
        <v>18</v>
      </c>
      <c r="BL16">
        <f t="shared" ca="1" si="33"/>
        <v>1</v>
      </c>
      <c r="BM16" s="21">
        <f t="shared" ca="1" si="97"/>
        <v>7</v>
      </c>
      <c r="BN16" s="21">
        <f t="shared" ca="1" si="34"/>
        <v>1</v>
      </c>
      <c r="BO16" s="41">
        <f t="shared" ca="1" si="35"/>
        <v>7</v>
      </c>
      <c r="BP16" s="21" t="str">
        <f t="shared" ca="1" si="36"/>
        <v>Argentina</v>
      </c>
      <c r="BQ16" s="43">
        <f t="shared" ca="1" si="37"/>
        <v>33.299999999999997</v>
      </c>
      <c r="BR16" s="43">
        <f t="shared" ca="1" si="38"/>
        <v>12.5</v>
      </c>
      <c r="BS16" s="43">
        <f t="shared" ca="1" si="39"/>
        <v>20.799999999999997</v>
      </c>
      <c r="BT16" s="38">
        <f t="shared" ca="1" si="40"/>
        <v>20.799999999999997</v>
      </c>
      <c r="BV16" s="38">
        <f t="shared" ca="1" si="41"/>
        <v>33</v>
      </c>
      <c r="BW16" s="38">
        <f t="shared" ca="1" si="42"/>
        <v>39.4</v>
      </c>
      <c r="BX16" s="38">
        <f t="shared" ca="1" si="98"/>
        <v>-6.3999999999999986</v>
      </c>
      <c r="BY16" s="47">
        <f t="shared" ca="1" si="99"/>
        <v>-6.3999999999999986</v>
      </c>
      <c r="BZ16" s="38">
        <f t="shared" ca="1" si="100"/>
        <v>33</v>
      </c>
      <c r="CA16">
        <f ca="1">RANK(BZ16,BZ$10:BZ$28)+COUNTIF(BZ$10:BZ16,BZ16)-1</f>
        <v>9</v>
      </c>
      <c r="CB16">
        <f t="shared" ca="1" si="43"/>
        <v>9</v>
      </c>
      <c r="CC16" s="21">
        <f t="shared" ca="1" si="101"/>
        <v>7</v>
      </c>
      <c r="CD16" s="21">
        <f t="shared" ca="1" si="44"/>
        <v>1</v>
      </c>
      <c r="CE16" s="41">
        <f t="shared" ca="1" si="45"/>
        <v>7</v>
      </c>
      <c r="CF16" s="21" t="str">
        <f t="shared" ca="1" si="46"/>
        <v>Guatemala</v>
      </c>
      <c r="CG16" s="43">
        <f t="shared" ca="1" si="47"/>
        <v>35.4</v>
      </c>
      <c r="CH16" s="43">
        <f t="shared" ca="1" si="48"/>
        <v>8.6999999999999993</v>
      </c>
      <c r="CI16" s="43">
        <f t="shared" ca="1" si="49"/>
        <v>26.7</v>
      </c>
      <c r="CJ16" s="38">
        <f t="shared" ca="1" si="50"/>
        <v>26.7</v>
      </c>
      <c r="CL16" s="38">
        <f t="shared" ca="1" si="51"/>
        <v>17.899999999999999</v>
      </c>
      <c r="CM16" s="38">
        <f t="shared" ca="1" si="52"/>
        <v>38.4</v>
      </c>
      <c r="CN16" s="38">
        <f t="shared" ca="1" si="102"/>
        <v>-20.5</v>
      </c>
      <c r="CO16" s="47">
        <f t="shared" ca="1" si="103"/>
        <v>-20.5</v>
      </c>
      <c r="CP16" s="38">
        <f t="shared" ca="1" si="104"/>
        <v>17.899999999999999</v>
      </c>
      <c r="CQ16">
        <f ca="1">RANK(CP16,CP$10:CP$28)+COUNTIF(CP$10:CP16,CP16)-1</f>
        <v>17</v>
      </c>
      <c r="CR16">
        <f t="shared" ca="1" si="53"/>
        <v>9</v>
      </c>
      <c r="CS16" s="21">
        <f t="shared" ca="1" si="105"/>
        <v>7</v>
      </c>
      <c r="CT16" s="21">
        <f t="shared" ca="1" si="54"/>
        <v>1</v>
      </c>
      <c r="CU16" s="41">
        <f t="shared" ca="1" si="55"/>
        <v>7</v>
      </c>
      <c r="CV16" s="21" t="str">
        <f t="shared" ca="1" si="56"/>
        <v>Guatemala</v>
      </c>
      <c r="CW16" s="43">
        <f t="shared" ca="1" si="57"/>
        <v>52.9</v>
      </c>
      <c r="CX16" s="43">
        <f t="shared" ca="1" si="58"/>
        <v>33.4</v>
      </c>
      <c r="CY16" s="43">
        <f t="shared" ca="1" si="59"/>
        <v>19.5</v>
      </c>
      <c r="CZ16" s="38">
        <f t="shared" ca="1" si="60"/>
        <v>19.5</v>
      </c>
      <c r="DB16" s="38">
        <f t="shared" ca="1" si="61"/>
        <v>16.7</v>
      </c>
      <c r="DC16" s="38">
        <f t="shared" ca="1" si="62"/>
        <v>16.7</v>
      </c>
      <c r="DD16" s="38">
        <f t="shared" ca="1" si="106"/>
        <v>0</v>
      </c>
      <c r="DE16" s="47" t="str">
        <f t="shared" ca="1" si="107"/>
        <v>-</v>
      </c>
      <c r="DF16" s="38">
        <f t="shared" ca="1" si="108"/>
        <v>16.7</v>
      </c>
      <c r="DG16">
        <f ca="1">RANK(DF16,DF$10:DF$28)+COUNTIF(DF$10:DF16,DF16)-1</f>
        <v>15</v>
      </c>
      <c r="DH16">
        <f t="shared" ca="1" si="63"/>
        <v>4</v>
      </c>
      <c r="DI16" s="21">
        <f t="shared" ca="1" si="109"/>
        <v>7</v>
      </c>
      <c r="DJ16" s="21">
        <f t="shared" ca="1" si="64"/>
        <v>1</v>
      </c>
      <c r="DK16" s="41" t="str">
        <f t="shared" ca="1" si="65"/>
        <v>=7</v>
      </c>
      <c r="DL16" s="21" t="str">
        <f t="shared" ca="1" si="66"/>
        <v>Colombia</v>
      </c>
      <c r="DM16" s="43">
        <f t="shared" ca="1" si="67"/>
        <v>55.6</v>
      </c>
      <c r="DN16" s="43">
        <f t="shared" ca="1" si="68"/>
        <v>54.2</v>
      </c>
      <c r="DO16" s="43">
        <f t="shared" ca="1" si="69"/>
        <v>1.3999999999999986</v>
      </c>
      <c r="DP16" s="38">
        <f t="shared" ca="1" si="70"/>
        <v>1.3999999999999986</v>
      </c>
      <c r="DR16" s="38">
        <f t="shared" ca="1" si="71"/>
        <v>25</v>
      </c>
      <c r="DS16" s="38" t="e">
        <f t="shared" ca="1" si="72"/>
        <v>#REF!</v>
      </c>
      <c r="DT16" s="38" t="e">
        <f t="shared" ca="1" si="110"/>
        <v>#REF!</v>
      </c>
      <c r="DU16" s="47" t="e">
        <f t="shared" ca="1" si="111"/>
        <v>#REF!</v>
      </c>
      <c r="DV16" s="38">
        <f t="shared" ca="1" si="112"/>
        <v>25</v>
      </c>
      <c r="DW16">
        <f ca="1">RANK(DV16,DV$10:DV$28)+COUNTIF(DV$10:DV16,DV16)-1</f>
        <v>8</v>
      </c>
      <c r="DX16">
        <f t="shared" ca="1" si="73"/>
        <v>6</v>
      </c>
      <c r="DY16" s="21" t="e">
        <f t="shared" ca="1" si="113"/>
        <v>#REF!</v>
      </c>
      <c r="DZ16" s="21">
        <f t="shared" ca="1" si="74"/>
        <v>1</v>
      </c>
      <c r="EA16" s="41" t="e">
        <f t="shared" ca="1" si="75"/>
        <v>#REF!</v>
      </c>
      <c r="EB16" s="21" t="str">
        <f t="shared" ca="1" si="76"/>
        <v>Dominican Rep.</v>
      </c>
      <c r="EC16" s="43">
        <f t="shared" ca="1" si="77"/>
        <v>25</v>
      </c>
      <c r="ED16" s="43" t="e">
        <f t="shared" ca="1" si="78"/>
        <v>#REF!</v>
      </c>
      <c r="EE16" s="43" t="e">
        <f t="shared" ca="1" si="79"/>
        <v>#REF!</v>
      </c>
      <c r="EF16" s="38" t="e">
        <f t="shared" ca="1" si="80"/>
        <v>#REF!</v>
      </c>
    </row>
    <row r="17" spans="1:136">
      <c r="A17">
        <v>8</v>
      </c>
      <c r="B17" t="str">
        <f>tblCountries!E13</f>
        <v>El Salvador</v>
      </c>
      <c r="C17">
        <f>tblCountries!A13</f>
        <v>8</v>
      </c>
      <c r="D17">
        <f ca="1">tblCountries!F13</f>
        <v>1</v>
      </c>
      <c r="G17" s="38">
        <f t="shared" ca="1" si="0"/>
        <v>25</v>
      </c>
      <c r="H17" s="47">
        <f t="shared" ca="1" si="1"/>
        <v>1</v>
      </c>
      <c r="I17" s="38">
        <f t="shared" ca="1" si="2"/>
        <v>0</v>
      </c>
      <c r="J17" s="38">
        <f t="shared" ca="1" si="3"/>
        <v>0</v>
      </c>
      <c r="K17" s="47">
        <f t="shared" si="81"/>
        <v>25</v>
      </c>
      <c r="L17" s="47" t="str">
        <f t="shared" si="82"/>
        <v>+25</v>
      </c>
      <c r="M17" s="38">
        <f t="shared" ca="1" si="83"/>
        <v>25</v>
      </c>
      <c r="N17">
        <f ca="1">RANK(M17,M$10:M$28)+COUNTIF(M$10:M17,M17)-1</f>
        <v>11</v>
      </c>
      <c r="O17">
        <f t="shared" ca="1" si="4"/>
        <v>14</v>
      </c>
      <c r="P17" s="21">
        <f t="shared" ca="1" si="84"/>
        <v>5</v>
      </c>
      <c r="Q17" s="21">
        <f t="shared" ca="1" si="5"/>
        <v>1</v>
      </c>
      <c r="R17" s="41" t="str">
        <f t="shared" ca="1" si="6"/>
        <v>=5</v>
      </c>
      <c r="S17" s="21" t="str">
        <f t="shared" ca="1" si="7"/>
        <v>Panama</v>
      </c>
      <c r="T17" s="41" t="str">
        <f t="shared" ca="1" si="8"/>
        <v>2</v>
      </c>
      <c r="U17" s="43">
        <f t="shared" ca="1" si="9"/>
        <v>50</v>
      </c>
      <c r="V17" s="43" t="str">
        <f t="shared" ca="1" si="10"/>
        <v>+25</v>
      </c>
      <c r="W17" t="str">
        <f t="shared" ca="1" si="85"/>
        <v>+25</v>
      </c>
      <c r="Z17" s="38">
        <f t="shared" ca="1" si="11"/>
        <v>30.6</v>
      </c>
      <c r="AA17" s="38">
        <f t="shared" ca="1" si="12"/>
        <v>23.9</v>
      </c>
      <c r="AB17" s="38">
        <f t="shared" ca="1" si="86"/>
        <v>6.7000000000000028</v>
      </c>
      <c r="AC17" s="47">
        <f t="shared" ca="1" si="87"/>
        <v>6.7000000000000028</v>
      </c>
      <c r="AD17" s="38">
        <f t="shared" ca="1" si="88"/>
        <v>30.6</v>
      </c>
      <c r="AE17">
        <f ca="1">RANK(AD17,AD$10:AD$28)+COUNTIF(AD$10:AD17,AD17)-1</f>
        <v>10</v>
      </c>
      <c r="AF17">
        <f t="shared" ca="1" si="13"/>
        <v>5</v>
      </c>
      <c r="AG17" s="21">
        <f t="shared" ca="1" si="89"/>
        <v>8</v>
      </c>
      <c r="AH17" s="21">
        <f t="shared" ca="1" si="14"/>
        <v>1</v>
      </c>
      <c r="AI17" s="41">
        <f t="shared" ca="1" si="15"/>
        <v>8</v>
      </c>
      <c r="AJ17" s="21" t="str">
        <f t="shared" ca="1" si="16"/>
        <v>Costa Rica</v>
      </c>
      <c r="AK17" s="43">
        <f t="shared" ca="1" si="17"/>
        <v>32.299999999999997</v>
      </c>
      <c r="AL17" s="43">
        <f t="shared" ca="1" si="18"/>
        <v>45.1</v>
      </c>
      <c r="AM17" s="43">
        <f t="shared" ca="1" si="19"/>
        <v>-12.800000000000004</v>
      </c>
      <c r="AN17" s="38">
        <f t="shared" ca="1" si="20"/>
        <v>-12.800000000000004</v>
      </c>
      <c r="AP17" s="38">
        <f t="shared" ca="1" si="21"/>
        <v>28.1</v>
      </c>
      <c r="AQ17" s="38">
        <f t="shared" ca="1" si="22"/>
        <v>19.399999999999999</v>
      </c>
      <c r="AR17" s="38">
        <f t="shared" ca="1" si="90"/>
        <v>8.7000000000000028</v>
      </c>
      <c r="AS17" s="47">
        <f t="shared" ca="1" si="91"/>
        <v>8.7000000000000028</v>
      </c>
      <c r="AT17" s="38">
        <f t="shared" ca="1" si="92"/>
        <v>28.1</v>
      </c>
      <c r="AU17">
        <f ca="1">RANK(AT17,AT$10:AT$28)+COUNTIF(AT$10:AT17,AT17)-1</f>
        <v>10</v>
      </c>
      <c r="AV17">
        <f t="shared" ca="1" si="23"/>
        <v>5</v>
      </c>
      <c r="AW17" s="21">
        <f t="shared" ca="1" si="93"/>
        <v>8</v>
      </c>
      <c r="AX17" s="21">
        <f t="shared" ca="1" si="24"/>
        <v>1</v>
      </c>
      <c r="AY17" s="41">
        <f t="shared" ca="1" si="25"/>
        <v>8</v>
      </c>
      <c r="AZ17" s="21" t="str">
        <f t="shared" ca="1" si="26"/>
        <v>Costa Rica</v>
      </c>
      <c r="BA17" s="43">
        <f t="shared" ca="1" si="27"/>
        <v>34.4</v>
      </c>
      <c r="BB17" s="43">
        <f t="shared" ca="1" si="28"/>
        <v>50</v>
      </c>
      <c r="BC17" s="43">
        <f t="shared" ca="1" si="29"/>
        <v>-15.600000000000001</v>
      </c>
      <c r="BD17" s="38">
        <f t="shared" ca="1" si="30"/>
        <v>-15.600000000000001</v>
      </c>
      <c r="BF17" s="38">
        <f t="shared" ca="1" si="31"/>
        <v>33.299999999999997</v>
      </c>
      <c r="BG17" s="38">
        <f t="shared" ca="1" si="32"/>
        <v>25</v>
      </c>
      <c r="BH17" s="38">
        <f t="shared" ca="1" si="94"/>
        <v>8.2999999999999972</v>
      </c>
      <c r="BI17" s="47">
        <f t="shared" ca="1" si="95"/>
        <v>8.2999999999999972</v>
      </c>
      <c r="BJ17" s="38">
        <f t="shared" ca="1" si="96"/>
        <v>33.299999999999997</v>
      </c>
      <c r="BK17">
        <f ca="1">RANK(BJ17,BJ$10:BJ$28)+COUNTIF(BJ$10:BJ17,BJ17)-1</f>
        <v>8</v>
      </c>
      <c r="BL17">
        <f t="shared" ca="1" si="33"/>
        <v>8</v>
      </c>
      <c r="BM17" s="21">
        <f t="shared" ca="1" si="97"/>
        <v>8</v>
      </c>
      <c r="BN17" s="21">
        <f t="shared" ca="1" si="34"/>
        <v>1</v>
      </c>
      <c r="BO17" s="41">
        <f t="shared" ca="1" si="35"/>
        <v>8</v>
      </c>
      <c r="BP17" s="21" t="str">
        <f t="shared" ca="1" si="36"/>
        <v>El Salvador</v>
      </c>
      <c r="BQ17" s="43">
        <f t="shared" ca="1" si="37"/>
        <v>33.299999999999997</v>
      </c>
      <c r="BR17" s="43">
        <f t="shared" ca="1" si="38"/>
        <v>25</v>
      </c>
      <c r="BS17" s="43">
        <f t="shared" ca="1" si="39"/>
        <v>8.2999999999999972</v>
      </c>
      <c r="BT17" s="38">
        <f t="shared" ca="1" si="40"/>
        <v>8.2999999999999972</v>
      </c>
      <c r="BV17" s="38">
        <f t="shared" ca="1" si="41"/>
        <v>25.1</v>
      </c>
      <c r="BW17" s="38">
        <f t="shared" ca="1" si="42"/>
        <v>20.8</v>
      </c>
      <c r="BX17" s="38">
        <f t="shared" ca="1" si="98"/>
        <v>4.3000000000000007</v>
      </c>
      <c r="BY17" s="47">
        <f t="shared" ca="1" si="99"/>
        <v>4.3000000000000007</v>
      </c>
      <c r="BZ17" s="38">
        <f t="shared" ca="1" si="100"/>
        <v>25.1</v>
      </c>
      <c r="CA17">
        <f ca="1">RANK(BZ17,BZ$10:BZ$28)+COUNTIF(BZ$10:BZ17,BZ17)-1</f>
        <v>11</v>
      </c>
      <c r="CB17">
        <f t="shared" ca="1" si="43"/>
        <v>10</v>
      </c>
      <c r="CC17" s="21">
        <f t="shared" ca="1" si="101"/>
        <v>8</v>
      </c>
      <c r="CD17" s="21">
        <f t="shared" ca="1" si="44"/>
        <v>1</v>
      </c>
      <c r="CE17" s="41">
        <f t="shared" ca="1" si="45"/>
        <v>8</v>
      </c>
      <c r="CF17" s="21" t="str">
        <f t="shared" ca="1" si="46"/>
        <v>Honduras</v>
      </c>
      <c r="CG17" s="43">
        <f t="shared" ca="1" si="47"/>
        <v>35.1</v>
      </c>
      <c r="CH17" s="43">
        <f t="shared" ca="1" si="48"/>
        <v>21.3</v>
      </c>
      <c r="CI17" s="43">
        <f t="shared" ca="1" si="49"/>
        <v>13.8</v>
      </c>
      <c r="CJ17" s="38">
        <f t="shared" ca="1" si="50"/>
        <v>13.8</v>
      </c>
      <c r="CL17" s="38">
        <f t="shared" ca="1" si="51"/>
        <v>40.299999999999997</v>
      </c>
      <c r="CM17" s="38">
        <f t="shared" ca="1" si="52"/>
        <v>58.4</v>
      </c>
      <c r="CN17" s="38">
        <f t="shared" ca="1" si="102"/>
        <v>-18.100000000000001</v>
      </c>
      <c r="CO17" s="47">
        <f t="shared" ca="1" si="103"/>
        <v>-18.100000000000001</v>
      </c>
      <c r="CP17" s="38">
        <f t="shared" ca="1" si="104"/>
        <v>40.299999999999997</v>
      </c>
      <c r="CQ17">
        <f ca="1">RANK(CP17,CP$10:CP$28)+COUNTIF(CP$10:CP17,CP17)-1</f>
        <v>12</v>
      </c>
      <c r="CR17">
        <f t="shared" ca="1" si="53"/>
        <v>6</v>
      </c>
      <c r="CS17" s="21">
        <f t="shared" ca="1" si="105"/>
        <v>8</v>
      </c>
      <c r="CT17" s="21">
        <f t="shared" ca="1" si="54"/>
        <v>1</v>
      </c>
      <c r="CU17" s="41">
        <f t="shared" ca="1" si="55"/>
        <v>8</v>
      </c>
      <c r="CV17" s="21" t="str">
        <f t="shared" ca="1" si="56"/>
        <v>Dominican Rep.</v>
      </c>
      <c r="CW17" s="43">
        <f t="shared" ca="1" si="57"/>
        <v>49.1</v>
      </c>
      <c r="CX17" s="43">
        <f t="shared" ca="1" si="58"/>
        <v>35.799999999999997</v>
      </c>
      <c r="CY17" s="43">
        <f t="shared" ca="1" si="59"/>
        <v>13.300000000000004</v>
      </c>
      <c r="CZ17" s="38">
        <f t="shared" ca="1" si="60"/>
        <v>13.300000000000004</v>
      </c>
      <c r="DB17" s="38">
        <f t="shared" ca="1" si="61"/>
        <v>47.2</v>
      </c>
      <c r="DC17" s="38">
        <f t="shared" ca="1" si="62"/>
        <v>45.8</v>
      </c>
      <c r="DD17" s="38">
        <f t="shared" ca="1" si="106"/>
        <v>1.4000000000000057</v>
      </c>
      <c r="DE17" s="47">
        <f t="shared" ca="1" si="107"/>
        <v>1.4000000000000057</v>
      </c>
      <c r="DF17" s="38">
        <f t="shared" ca="1" si="108"/>
        <v>47.2</v>
      </c>
      <c r="DG17">
        <f ca="1">RANK(DF17,DF$10:DF$28)+COUNTIF(DF$10:DF17,DF17)-1</f>
        <v>8</v>
      </c>
      <c r="DH17">
        <f t="shared" ca="1" si="63"/>
        <v>8</v>
      </c>
      <c r="DI17" s="21">
        <f t="shared" ca="1" si="109"/>
        <v>7</v>
      </c>
      <c r="DJ17" s="21">
        <f t="shared" ca="1" si="64"/>
        <v>1</v>
      </c>
      <c r="DK17" s="41" t="str">
        <f t="shared" ca="1" si="65"/>
        <v>=7</v>
      </c>
      <c r="DL17" s="21" t="str">
        <f t="shared" ca="1" si="66"/>
        <v>El Salvador</v>
      </c>
      <c r="DM17" s="43">
        <f t="shared" ca="1" si="67"/>
        <v>47.2</v>
      </c>
      <c r="DN17" s="43">
        <f t="shared" ca="1" si="68"/>
        <v>45.8</v>
      </c>
      <c r="DO17" s="43">
        <f t="shared" ca="1" si="69"/>
        <v>1.4000000000000057</v>
      </c>
      <c r="DP17" s="38">
        <f t="shared" ca="1" si="70"/>
        <v>1.4000000000000057</v>
      </c>
      <c r="DR17" s="38">
        <f t="shared" ca="1" si="71"/>
        <v>0</v>
      </c>
      <c r="DS17" s="38" t="e">
        <f t="shared" ca="1" si="72"/>
        <v>#REF!</v>
      </c>
      <c r="DT17" s="38" t="e">
        <f t="shared" ca="1" si="110"/>
        <v>#REF!</v>
      </c>
      <c r="DU17" s="47" t="e">
        <f t="shared" ca="1" si="111"/>
        <v>#REF!</v>
      </c>
      <c r="DV17" s="38">
        <f t="shared" ca="1" si="112"/>
        <v>0</v>
      </c>
      <c r="DW17">
        <f ca="1">RANK(DV17,DV$10:DV$28)+COUNTIF(DV$10:DV17,DV17)-1</f>
        <v>15</v>
      </c>
      <c r="DX17">
        <f t="shared" ca="1" si="73"/>
        <v>7</v>
      </c>
      <c r="DY17" s="21" t="e">
        <f t="shared" ca="1" si="113"/>
        <v>#REF!</v>
      </c>
      <c r="DZ17" s="21">
        <f t="shared" ca="1" si="74"/>
        <v>1</v>
      </c>
      <c r="EA17" s="41" t="e">
        <f t="shared" ca="1" si="75"/>
        <v>#REF!</v>
      </c>
      <c r="EB17" s="21" t="str">
        <f t="shared" ca="1" si="76"/>
        <v>Ecuador</v>
      </c>
      <c r="EC17" s="43">
        <f t="shared" ca="1" si="77"/>
        <v>25</v>
      </c>
      <c r="ED17" s="43" t="e">
        <f t="shared" ca="1" si="78"/>
        <v>#REF!</v>
      </c>
      <c r="EE17" s="43" t="e">
        <f t="shared" ca="1" si="79"/>
        <v>#REF!</v>
      </c>
      <c r="EF17" s="38" t="e">
        <f t="shared" ca="1" si="80"/>
        <v>#REF!</v>
      </c>
    </row>
    <row r="18" spans="1:136">
      <c r="A18">
        <v>9</v>
      </c>
      <c r="B18" t="str">
        <f>tblCountries!E14</f>
        <v>Guatemala</v>
      </c>
      <c r="C18">
        <f>tblCountries!A14</f>
        <v>9</v>
      </c>
      <c r="D18">
        <f ca="1">tblCountries!F14</f>
        <v>1</v>
      </c>
      <c r="G18" s="38">
        <f t="shared" ca="1" si="0"/>
        <v>75</v>
      </c>
      <c r="H18" s="47">
        <f t="shared" ca="1" si="1"/>
        <v>3</v>
      </c>
      <c r="I18" s="38">
        <f t="shared" ca="1" si="2"/>
        <v>25</v>
      </c>
      <c r="J18" s="38">
        <f t="shared" ca="1" si="3"/>
        <v>1</v>
      </c>
      <c r="K18" s="47">
        <f t="shared" si="81"/>
        <v>50</v>
      </c>
      <c r="L18" s="47" t="str">
        <f t="shared" si="82"/>
        <v>+50</v>
      </c>
      <c r="M18" s="38">
        <f t="shared" ca="1" si="83"/>
        <v>75</v>
      </c>
      <c r="N18">
        <f ca="1">RANK(M18,M$10:M$28)+COUNTIF(M$10:M18,M18)-1</f>
        <v>3</v>
      </c>
      <c r="O18">
        <f t="shared" ca="1" si="4"/>
        <v>5</v>
      </c>
      <c r="P18" s="21">
        <f t="shared" ca="1" si="84"/>
        <v>9</v>
      </c>
      <c r="Q18" s="21">
        <f t="shared" ca="1" si="5"/>
        <v>1</v>
      </c>
      <c r="R18" s="41" t="str">
        <f t="shared" ca="1" si="6"/>
        <v>=9</v>
      </c>
      <c r="S18" s="21" t="str">
        <f t="shared" ca="1" si="7"/>
        <v>Costa Rica</v>
      </c>
      <c r="T18" s="41" t="str">
        <f t="shared" ca="1" si="8"/>
        <v>1</v>
      </c>
      <c r="U18" s="43">
        <f t="shared" ca="1" si="9"/>
        <v>25</v>
      </c>
      <c r="V18" s="43" t="str">
        <f t="shared" ca="1" si="10"/>
        <v>-25</v>
      </c>
      <c r="W18" t="str">
        <f t="shared" ca="1" si="85"/>
        <v>-25</v>
      </c>
      <c r="Z18" s="38">
        <f t="shared" ca="1" si="11"/>
        <v>42.4</v>
      </c>
      <c r="AA18" s="38">
        <f t="shared" ca="1" si="12"/>
        <v>18</v>
      </c>
      <c r="AB18" s="38">
        <f t="shared" ca="1" si="86"/>
        <v>24.4</v>
      </c>
      <c r="AC18" s="47">
        <f t="shared" ca="1" si="87"/>
        <v>24.4</v>
      </c>
      <c r="AD18" s="38">
        <f t="shared" ca="1" si="88"/>
        <v>42.4</v>
      </c>
      <c r="AE18">
        <f ca="1">RANK(AD18,AD$10:AD$28)+COUNTIF(AD$10:AD18,AD18)-1</f>
        <v>6</v>
      </c>
      <c r="AF18">
        <f t="shared" ca="1" si="13"/>
        <v>18</v>
      </c>
      <c r="AG18" s="21">
        <f t="shared" ca="1" si="89"/>
        <v>9</v>
      </c>
      <c r="AH18" s="21">
        <f t="shared" ca="1" si="14"/>
        <v>1</v>
      </c>
      <c r="AI18" s="41">
        <f t="shared" ca="1" si="15"/>
        <v>9</v>
      </c>
      <c r="AJ18" s="21" t="str">
        <f t="shared" ca="1" si="16"/>
        <v>Uruguay</v>
      </c>
      <c r="AK18" s="43">
        <f t="shared" ca="1" si="17"/>
        <v>31.8</v>
      </c>
      <c r="AL18" s="43">
        <f t="shared" ca="1" si="18"/>
        <v>27.3</v>
      </c>
      <c r="AM18" s="43">
        <f t="shared" ca="1" si="19"/>
        <v>4.5</v>
      </c>
      <c r="AN18" s="38">
        <f t="shared" ca="1" si="20"/>
        <v>4.5</v>
      </c>
      <c r="AP18" s="38">
        <f t="shared" ca="1" si="21"/>
        <v>53.1</v>
      </c>
      <c r="AQ18" s="38">
        <f t="shared" ca="1" si="22"/>
        <v>16.7</v>
      </c>
      <c r="AR18" s="38">
        <f t="shared" ca="1" si="90"/>
        <v>36.400000000000006</v>
      </c>
      <c r="AS18" s="47">
        <f t="shared" ca="1" si="91"/>
        <v>36.400000000000006</v>
      </c>
      <c r="AT18" s="38">
        <f t="shared" ca="1" si="92"/>
        <v>53.1</v>
      </c>
      <c r="AU18">
        <f ca="1">RANK(AT18,AT$10:AT$28)+COUNTIF(AT$10:AT18,AT18)-1</f>
        <v>5</v>
      </c>
      <c r="AV18">
        <f t="shared" ca="1" si="23"/>
        <v>18</v>
      </c>
      <c r="AW18" s="21">
        <f t="shared" ca="1" si="93"/>
        <v>9</v>
      </c>
      <c r="AX18" s="21">
        <f t="shared" ca="1" si="24"/>
        <v>1</v>
      </c>
      <c r="AY18" s="41">
        <f t="shared" ca="1" si="25"/>
        <v>9</v>
      </c>
      <c r="AZ18" s="21" t="str">
        <f t="shared" ca="1" si="26"/>
        <v>Uruguay</v>
      </c>
      <c r="BA18" s="43">
        <f t="shared" ca="1" si="27"/>
        <v>34.4</v>
      </c>
      <c r="BB18" s="43">
        <f t="shared" ca="1" si="28"/>
        <v>25</v>
      </c>
      <c r="BC18" s="43">
        <f t="shared" ca="1" si="29"/>
        <v>9.3999999999999986</v>
      </c>
      <c r="BD18" s="38">
        <f t="shared" ca="1" si="30"/>
        <v>9.3999999999999986</v>
      </c>
      <c r="BF18" s="38">
        <f t="shared" ca="1" si="31"/>
        <v>50</v>
      </c>
      <c r="BG18" s="38">
        <f t="shared" ca="1" si="32"/>
        <v>25</v>
      </c>
      <c r="BH18" s="38">
        <f t="shared" ca="1" si="94"/>
        <v>25</v>
      </c>
      <c r="BI18" s="47">
        <f t="shared" ca="1" si="95"/>
        <v>25</v>
      </c>
      <c r="BJ18" s="38">
        <f t="shared" ca="1" si="96"/>
        <v>50</v>
      </c>
      <c r="BK18">
        <f ca="1">RANK(BJ18,BJ$10:BJ$28)+COUNTIF(BJ$10:BJ18,BJ18)-1</f>
        <v>6</v>
      </c>
      <c r="BL18">
        <f t="shared" ca="1" si="33"/>
        <v>10</v>
      </c>
      <c r="BM18" s="21">
        <f t="shared" ca="1" si="97"/>
        <v>9</v>
      </c>
      <c r="BN18" s="21">
        <f t="shared" ca="1" si="34"/>
        <v>1</v>
      </c>
      <c r="BO18" s="41" t="str">
        <f t="shared" ca="1" si="35"/>
        <v>=9</v>
      </c>
      <c r="BP18" s="21" t="str">
        <f t="shared" ca="1" si="36"/>
        <v>Honduras</v>
      </c>
      <c r="BQ18" s="43">
        <f t="shared" ca="1" si="37"/>
        <v>33.299999999999997</v>
      </c>
      <c r="BR18" s="43">
        <f t="shared" ca="1" si="38"/>
        <v>37.5</v>
      </c>
      <c r="BS18" s="43">
        <f t="shared" ca="1" si="39"/>
        <v>-4.2000000000000028</v>
      </c>
      <c r="BT18" s="38">
        <f t="shared" ca="1" si="40"/>
        <v>-4.2000000000000028</v>
      </c>
      <c r="BV18" s="38">
        <f t="shared" ca="1" si="41"/>
        <v>35.4</v>
      </c>
      <c r="BW18" s="38">
        <f t="shared" ca="1" si="42"/>
        <v>8.6999999999999993</v>
      </c>
      <c r="BX18" s="38">
        <f t="shared" ca="1" si="98"/>
        <v>26.7</v>
      </c>
      <c r="BY18" s="47">
        <f t="shared" ca="1" si="99"/>
        <v>26.7</v>
      </c>
      <c r="BZ18" s="38">
        <f t="shared" ca="1" si="100"/>
        <v>35.4</v>
      </c>
      <c r="CA18">
        <f ca="1">RANK(BZ18,BZ$10:BZ$28)+COUNTIF(BZ$10:BZ18,BZ18)-1</f>
        <v>7</v>
      </c>
      <c r="CB18">
        <f t="shared" ca="1" si="43"/>
        <v>7</v>
      </c>
      <c r="CC18" s="21">
        <f t="shared" ca="1" si="101"/>
        <v>9</v>
      </c>
      <c r="CD18" s="21">
        <f t="shared" ca="1" si="44"/>
        <v>1</v>
      </c>
      <c r="CE18" s="41">
        <f t="shared" ca="1" si="45"/>
        <v>9</v>
      </c>
      <c r="CF18" s="21" t="str">
        <f t="shared" ca="1" si="46"/>
        <v>Ecuador</v>
      </c>
      <c r="CG18" s="43">
        <f t="shared" ca="1" si="47"/>
        <v>33</v>
      </c>
      <c r="CH18" s="43">
        <f t="shared" ca="1" si="48"/>
        <v>39.4</v>
      </c>
      <c r="CI18" s="43">
        <f t="shared" ca="1" si="49"/>
        <v>-6.3999999999999986</v>
      </c>
      <c r="CJ18" s="38">
        <f t="shared" ca="1" si="50"/>
        <v>-6.3999999999999986</v>
      </c>
      <c r="CL18" s="38">
        <f t="shared" ca="1" si="51"/>
        <v>52.9</v>
      </c>
      <c r="CM18" s="38">
        <f t="shared" ca="1" si="52"/>
        <v>33.4</v>
      </c>
      <c r="CN18" s="38">
        <f t="shared" ca="1" si="102"/>
        <v>19.5</v>
      </c>
      <c r="CO18" s="47">
        <f t="shared" ca="1" si="103"/>
        <v>19.5</v>
      </c>
      <c r="CP18" s="38">
        <f t="shared" ca="1" si="104"/>
        <v>52.9</v>
      </c>
      <c r="CQ18">
        <f ca="1">RANK(CP18,CP$10:CP$28)+COUNTIF(CP$10:CP18,CP18)-1</f>
        <v>7</v>
      </c>
      <c r="CR18">
        <f t="shared" ca="1" si="53"/>
        <v>10</v>
      </c>
      <c r="CS18" s="21">
        <f t="shared" ca="1" si="105"/>
        <v>9</v>
      </c>
      <c r="CT18" s="21">
        <f t="shared" ca="1" si="54"/>
        <v>1</v>
      </c>
      <c r="CU18" s="41">
        <f t="shared" ca="1" si="55"/>
        <v>9</v>
      </c>
      <c r="CV18" s="21" t="str">
        <f t="shared" ca="1" si="56"/>
        <v>Honduras</v>
      </c>
      <c r="CW18" s="43">
        <f t="shared" ca="1" si="57"/>
        <v>47.1</v>
      </c>
      <c r="CX18" s="43">
        <f t="shared" ca="1" si="58"/>
        <v>39.799999999999997</v>
      </c>
      <c r="CY18" s="43">
        <f t="shared" ca="1" si="59"/>
        <v>7.3000000000000043</v>
      </c>
      <c r="CZ18" s="38">
        <f t="shared" ca="1" si="60"/>
        <v>7.3000000000000043</v>
      </c>
      <c r="DB18" s="38">
        <f t="shared" ca="1" si="61"/>
        <v>22.2</v>
      </c>
      <c r="DC18" s="38">
        <f t="shared" ca="1" si="62"/>
        <v>29.2</v>
      </c>
      <c r="DD18" s="38">
        <f t="shared" ca="1" si="106"/>
        <v>-7</v>
      </c>
      <c r="DE18" s="47">
        <f t="shared" ca="1" si="107"/>
        <v>-7</v>
      </c>
      <c r="DF18" s="38">
        <f t="shared" ca="1" si="108"/>
        <v>22.2</v>
      </c>
      <c r="DG18">
        <f ca="1">RANK(DF18,DF$10:DF$28)+COUNTIF(DF$10:DF18,DF18)-1</f>
        <v>14</v>
      </c>
      <c r="DH18">
        <f t="shared" ca="1" si="63"/>
        <v>5</v>
      </c>
      <c r="DI18" s="21">
        <f t="shared" ca="1" si="109"/>
        <v>9</v>
      </c>
      <c r="DJ18" s="21">
        <f t="shared" ca="1" si="64"/>
        <v>1</v>
      </c>
      <c r="DK18" s="41">
        <f t="shared" ca="1" si="65"/>
        <v>9</v>
      </c>
      <c r="DL18" s="21" t="str">
        <f t="shared" ca="1" si="66"/>
        <v>Costa Rica</v>
      </c>
      <c r="DM18" s="43">
        <f t="shared" ca="1" si="67"/>
        <v>41.7</v>
      </c>
      <c r="DN18" s="43">
        <f t="shared" ca="1" si="68"/>
        <v>41.7</v>
      </c>
      <c r="DO18" s="43" t="str">
        <f t="shared" ca="1" si="69"/>
        <v>-</v>
      </c>
      <c r="DP18" s="38">
        <f t="shared" ca="1" si="70"/>
        <v>0</v>
      </c>
      <c r="DR18" s="38">
        <f t="shared" ca="1" si="71"/>
        <v>25</v>
      </c>
      <c r="DS18" s="38" t="e">
        <f t="shared" ca="1" si="72"/>
        <v>#REF!</v>
      </c>
      <c r="DT18" s="38" t="e">
        <f t="shared" ca="1" si="110"/>
        <v>#REF!</v>
      </c>
      <c r="DU18" s="47" t="e">
        <f t="shared" ca="1" si="111"/>
        <v>#REF!</v>
      </c>
      <c r="DV18" s="38">
        <f t="shared" ca="1" si="112"/>
        <v>25</v>
      </c>
      <c r="DW18">
        <f ca="1">RANK(DV18,DV$10:DV$28)+COUNTIF(DV$10:DV18,DV18)-1</f>
        <v>9</v>
      </c>
      <c r="DX18">
        <f t="shared" ca="1" si="73"/>
        <v>9</v>
      </c>
      <c r="DY18" s="21" t="e">
        <f t="shared" ca="1" si="113"/>
        <v>#REF!</v>
      </c>
      <c r="DZ18" s="21">
        <f t="shared" ca="1" si="74"/>
        <v>1</v>
      </c>
      <c r="EA18" s="41" t="e">
        <f t="shared" ca="1" si="75"/>
        <v>#REF!</v>
      </c>
      <c r="EB18" s="21" t="str">
        <f t="shared" ca="1" si="76"/>
        <v>Guatemala</v>
      </c>
      <c r="EC18" s="43">
        <f t="shared" ca="1" si="77"/>
        <v>25</v>
      </c>
      <c r="ED18" s="43" t="e">
        <f t="shared" ca="1" si="78"/>
        <v>#REF!</v>
      </c>
      <c r="EE18" s="43" t="e">
        <f t="shared" ca="1" si="79"/>
        <v>#REF!</v>
      </c>
      <c r="EF18" s="38" t="e">
        <f t="shared" ca="1" si="80"/>
        <v>#REF!</v>
      </c>
    </row>
    <row r="19" spans="1:136">
      <c r="A19">
        <v>10</v>
      </c>
      <c r="B19" t="str">
        <f>tblCountries!E15</f>
        <v>Honduras</v>
      </c>
      <c r="C19">
        <f>tblCountries!A15</f>
        <v>10</v>
      </c>
      <c r="D19">
        <f ca="1">tblCountries!F15</f>
        <v>1</v>
      </c>
      <c r="G19" s="38">
        <f t="shared" ca="1" si="0"/>
        <v>25</v>
      </c>
      <c r="H19" s="47">
        <f t="shared" ca="1" si="1"/>
        <v>1</v>
      </c>
      <c r="I19" s="38">
        <f t="shared" ca="1" si="2"/>
        <v>0</v>
      </c>
      <c r="J19" s="38">
        <f t="shared" ca="1" si="3"/>
        <v>0</v>
      </c>
      <c r="K19" s="47">
        <f t="shared" si="81"/>
        <v>25</v>
      </c>
      <c r="L19" s="47" t="str">
        <f t="shared" si="82"/>
        <v>+25</v>
      </c>
      <c r="M19" s="38">
        <f t="shared" ca="1" si="83"/>
        <v>25</v>
      </c>
      <c r="N19">
        <f ca="1">RANK(M19,M$10:M$28)+COUNTIF(M$10:M19,M19)-1</f>
        <v>12</v>
      </c>
      <c r="O19">
        <f t="shared" ca="1" si="4"/>
        <v>6</v>
      </c>
      <c r="P19" s="21">
        <f t="shared" ca="1" si="84"/>
        <v>9</v>
      </c>
      <c r="Q19" s="21">
        <f t="shared" ca="1" si="5"/>
        <v>1</v>
      </c>
      <c r="R19" s="41" t="str">
        <f t="shared" ca="1" si="6"/>
        <v>=9</v>
      </c>
      <c r="S19" s="21" t="str">
        <f t="shared" ca="1" si="7"/>
        <v>Dominican Rep.</v>
      </c>
      <c r="T19" s="41" t="str">
        <f t="shared" ca="1" si="8"/>
        <v>1</v>
      </c>
      <c r="U19" s="43">
        <f t="shared" ca="1" si="9"/>
        <v>25</v>
      </c>
      <c r="V19" s="43" t="str">
        <f t="shared" ca="1" si="10"/>
        <v>-</v>
      </c>
      <c r="W19" t="str">
        <f t="shared" ca="1" si="85"/>
        <v>-</v>
      </c>
      <c r="Z19" s="38">
        <f t="shared" ca="1" si="11"/>
        <v>24.6</v>
      </c>
      <c r="AA19" s="38">
        <f t="shared" ca="1" si="12"/>
        <v>23.7</v>
      </c>
      <c r="AB19" s="38">
        <f t="shared" ca="1" si="86"/>
        <v>0.90000000000000213</v>
      </c>
      <c r="AC19" s="47">
        <f t="shared" ca="1" si="87"/>
        <v>0.90000000000000213</v>
      </c>
      <c r="AD19" s="38">
        <f t="shared" ca="1" si="88"/>
        <v>24.6</v>
      </c>
      <c r="AE19">
        <f ca="1">RANK(AD19,AD$10:AD$28)+COUNTIF(AD$10:AD19,AD19)-1</f>
        <v>14</v>
      </c>
      <c r="AF19">
        <f t="shared" ca="1" si="13"/>
        <v>8</v>
      </c>
      <c r="AG19" s="21">
        <f t="shared" ca="1" si="89"/>
        <v>10</v>
      </c>
      <c r="AH19" s="21">
        <f t="shared" ca="1" si="14"/>
        <v>1</v>
      </c>
      <c r="AI19" s="41">
        <f t="shared" ca="1" si="15"/>
        <v>10</v>
      </c>
      <c r="AJ19" s="21" t="str">
        <f t="shared" ca="1" si="16"/>
        <v>El Salvador</v>
      </c>
      <c r="AK19" s="43">
        <f t="shared" ca="1" si="17"/>
        <v>30.6</v>
      </c>
      <c r="AL19" s="43">
        <f t="shared" ca="1" si="18"/>
        <v>23.9</v>
      </c>
      <c r="AM19" s="43">
        <f t="shared" ca="1" si="19"/>
        <v>6.7000000000000028</v>
      </c>
      <c r="AN19" s="38">
        <f t="shared" ca="1" si="20"/>
        <v>6.7000000000000028</v>
      </c>
      <c r="AP19" s="38">
        <f t="shared" ca="1" si="21"/>
        <v>15.6</v>
      </c>
      <c r="AQ19" s="38">
        <f t="shared" ca="1" si="22"/>
        <v>16.7</v>
      </c>
      <c r="AR19" s="38">
        <f t="shared" ca="1" si="90"/>
        <v>-1.0999999999999996</v>
      </c>
      <c r="AS19" s="47">
        <f t="shared" ca="1" si="91"/>
        <v>-1.0999999999999996</v>
      </c>
      <c r="AT19" s="38">
        <f t="shared" ca="1" si="92"/>
        <v>15.6</v>
      </c>
      <c r="AU19">
        <f ca="1">RANK(AT19,AT$10:AT$28)+COUNTIF(AT$10:AT19,AT19)-1</f>
        <v>17</v>
      </c>
      <c r="AV19">
        <f t="shared" ca="1" si="23"/>
        <v>8</v>
      </c>
      <c r="AW19" s="21">
        <f t="shared" ca="1" si="93"/>
        <v>10</v>
      </c>
      <c r="AX19" s="21">
        <f t="shared" ca="1" si="24"/>
        <v>1</v>
      </c>
      <c r="AY19" s="41">
        <f t="shared" ca="1" si="25"/>
        <v>10</v>
      </c>
      <c r="AZ19" s="21" t="str">
        <f t="shared" ca="1" si="26"/>
        <v>El Salvador</v>
      </c>
      <c r="BA19" s="43">
        <f t="shared" ca="1" si="27"/>
        <v>28.1</v>
      </c>
      <c r="BB19" s="43">
        <f t="shared" ca="1" si="28"/>
        <v>19.399999999999999</v>
      </c>
      <c r="BC19" s="43">
        <f t="shared" ca="1" si="29"/>
        <v>8.7000000000000028</v>
      </c>
      <c r="BD19" s="38">
        <f t="shared" ca="1" si="30"/>
        <v>8.7000000000000028</v>
      </c>
      <c r="BF19" s="38">
        <f t="shared" ca="1" si="31"/>
        <v>33.299999999999997</v>
      </c>
      <c r="BG19" s="38">
        <f t="shared" ca="1" si="32"/>
        <v>37.5</v>
      </c>
      <c r="BH19" s="38">
        <f t="shared" ca="1" si="94"/>
        <v>-4.2000000000000028</v>
      </c>
      <c r="BI19" s="47">
        <f t="shared" ca="1" si="95"/>
        <v>-4.2000000000000028</v>
      </c>
      <c r="BJ19" s="38">
        <f t="shared" ca="1" si="96"/>
        <v>33.299999999999997</v>
      </c>
      <c r="BK19">
        <f ca="1">RANK(BJ19,BJ$10:BJ$28)+COUNTIF(BJ$10:BJ19,BJ19)-1</f>
        <v>9</v>
      </c>
      <c r="BL19">
        <f t="shared" ca="1" si="33"/>
        <v>18</v>
      </c>
      <c r="BM19" s="21">
        <f t="shared" ca="1" si="97"/>
        <v>9</v>
      </c>
      <c r="BN19" s="21">
        <f t="shared" ca="1" si="34"/>
        <v>1</v>
      </c>
      <c r="BO19" s="41" t="str">
        <f t="shared" ca="1" si="35"/>
        <v>=9</v>
      </c>
      <c r="BP19" s="21" t="str">
        <f t="shared" ca="1" si="36"/>
        <v>Uruguay</v>
      </c>
      <c r="BQ19" s="43">
        <f t="shared" ca="1" si="37"/>
        <v>33.299999999999997</v>
      </c>
      <c r="BR19" s="43">
        <f t="shared" ca="1" si="38"/>
        <v>37.5</v>
      </c>
      <c r="BS19" s="43">
        <f t="shared" ca="1" si="39"/>
        <v>-4.2000000000000028</v>
      </c>
      <c r="BT19" s="38">
        <f t="shared" ca="1" si="40"/>
        <v>-4.2000000000000028</v>
      </c>
      <c r="BV19" s="38">
        <f t="shared" ca="1" si="41"/>
        <v>35.1</v>
      </c>
      <c r="BW19" s="38">
        <f t="shared" ca="1" si="42"/>
        <v>21.3</v>
      </c>
      <c r="BX19" s="38">
        <f t="shared" ca="1" si="98"/>
        <v>13.8</v>
      </c>
      <c r="BY19" s="47">
        <f t="shared" ca="1" si="99"/>
        <v>13.8</v>
      </c>
      <c r="BZ19" s="38">
        <f t="shared" ca="1" si="100"/>
        <v>35.1</v>
      </c>
      <c r="CA19">
        <f ca="1">RANK(BZ19,BZ$10:BZ$28)+COUNTIF(BZ$10:BZ19,BZ19)-1</f>
        <v>8</v>
      </c>
      <c r="CB19">
        <f t="shared" ca="1" si="43"/>
        <v>11</v>
      </c>
      <c r="CC19" s="21">
        <f t="shared" ca="1" si="101"/>
        <v>10</v>
      </c>
      <c r="CD19" s="21">
        <f t="shared" ca="1" si="44"/>
        <v>1</v>
      </c>
      <c r="CE19" s="41">
        <f t="shared" ca="1" si="45"/>
        <v>10</v>
      </c>
      <c r="CF19" s="21" t="str">
        <f t="shared" ca="1" si="46"/>
        <v>Jamaica</v>
      </c>
      <c r="CG19" s="43">
        <f t="shared" ca="1" si="47"/>
        <v>25.3</v>
      </c>
      <c r="CH19" s="43">
        <f t="shared" ca="1" si="48"/>
        <v>17</v>
      </c>
      <c r="CI19" s="43">
        <f t="shared" ca="1" si="49"/>
        <v>8.3000000000000007</v>
      </c>
      <c r="CJ19" s="38">
        <f t="shared" ca="1" si="50"/>
        <v>8.3000000000000007</v>
      </c>
      <c r="CL19" s="38">
        <f t="shared" ca="1" si="51"/>
        <v>47.1</v>
      </c>
      <c r="CM19" s="38">
        <f t="shared" ca="1" si="52"/>
        <v>39.799999999999997</v>
      </c>
      <c r="CN19" s="38">
        <f t="shared" ca="1" si="102"/>
        <v>7.3000000000000043</v>
      </c>
      <c r="CO19" s="47">
        <f t="shared" ca="1" si="103"/>
        <v>7.3000000000000043</v>
      </c>
      <c r="CP19" s="38">
        <f t="shared" ca="1" si="104"/>
        <v>47.1</v>
      </c>
      <c r="CQ19">
        <f ca="1">RANK(CP19,CP$10:CP$28)+COUNTIF(CP$10:CP19,CP19)-1</f>
        <v>9</v>
      </c>
      <c r="CR19">
        <f t="shared" ca="1" si="53"/>
        <v>18</v>
      </c>
      <c r="CS19" s="21">
        <f t="shared" ca="1" si="105"/>
        <v>10</v>
      </c>
      <c r="CT19" s="21">
        <f t="shared" ca="1" si="54"/>
        <v>1</v>
      </c>
      <c r="CU19" s="41">
        <f t="shared" ca="1" si="55"/>
        <v>10</v>
      </c>
      <c r="CV19" s="21" t="str">
        <f t="shared" ca="1" si="56"/>
        <v>Uruguay</v>
      </c>
      <c r="CW19" s="43">
        <f t="shared" ca="1" si="57"/>
        <v>43.7</v>
      </c>
      <c r="CX19" s="43">
        <f t="shared" ca="1" si="58"/>
        <v>76.2</v>
      </c>
      <c r="CY19" s="43">
        <f t="shared" ca="1" si="59"/>
        <v>-32.5</v>
      </c>
      <c r="CZ19" s="38">
        <f t="shared" ca="1" si="60"/>
        <v>-32.5</v>
      </c>
      <c r="DB19" s="38">
        <f t="shared" ca="1" si="61"/>
        <v>11.1</v>
      </c>
      <c r="DC19" s="38">
        <f t="shared" ca="1" si="62"/>
        <v>8.3000000000000007</v>
      </c>
      <c r="DD19" s="38">
        <f t="shared" ca="1" si="106"/>
        <v>2.7999999999999989</v>
      </c>
      <c r="DE19" s="47">
        <f t="shared" ca="1" si="107"/>
        <v>2.7999999999999989</v>
      </c>
      <c r="DF19" s="38">
        <f t="shared" ca="1" si="108"/>
        <v>11.1</v>
      </c>
      <c r="DG19">
        <f ca="1">RANK(DF19,DF$10:DF$28)+COUNTIF(DF$10:DF19,DF19)-1</f>
        <v>18</v>
      </c>
      <c r="DH19">
        <f t="shared" ca="1" si="63"/>
        <v>1</v>
      </c>
      <c r="DI19" s="21">
        <f t="shared" ca="1" si="109"/>
        <v>10</v>
      </c>
      <c r="DJ19" s="21">
        <f t="shared" ca="1" si="64"/>
        <v>1</v>
      </c>
      <c r="DK19" s="41">
        <f t="shared" ca="1" si="65"/>
        <v>10</v>
      </c>
      <c r="DL19" s="21" t="str">
        <f t="shared" ca="1" si="66"/>
        <v>Argentina</v>
      </c>
      <c r="DM19" s="43">
        <f t="shared" ca="1" si="67"/>
        <v>33.299999999999997</v>
      </c>
      <c r="DN19" s="43">
        <f t="shared" ca="1" si="68"/>
        <v>20.8</v>
      </c>
      <c r="DO19" s="43">
        <f t="shared" ca="1" si="69"/>
        <v>12.499999999999996</v>
      </c>
      <c r="DP19" s="38">
        <f t="shared" ca="1" si="70"/>
        <v>12.499999999999996</v>
      </c>
      <c r="DR19" s="38">
        <f t="shared" ca="1" si="71"/>
        <v>0</v>
      </c>
      <c r="DS19" s="38" t="e">
        <f t="shared" ca="1" si="72"/>
        <v>#REF!</v>
      </c>
      <c r="DT19" s="38" t="e">
        <f t="shared" ca="1" si="110"/>
        <v>#REF!</v>
      </c>
      <c r="DU19" s="47" t="e">
        <f t="shared" ca="1" si="111"/>
        <v>#REF!</v>
      </c>
      <c r="DV19" s="38">
        <f t="shared" ca="1" si="112"/>
        <v>0</v>
      </c>
      <c r="DW19">
        <f ca="1">RANK(DV19,DV$10:DV$28)+COUNTIF(DV$10:DV19,DV19)-1</f>
        <v>16</v>
      </c>
      <c r="DX19">
        <f t="shared" ca="1" si="73"/>
        <v>11</v>
      </c>
      <c r="DY19" s="21" t="e">
        <f t="shared" ca="1" si="113"/>
        <v>#REF!</v>
      </c>
      <c r="DZ19" s="21">
        <f t="shared" ca="1" si="74"/>
        <v>1</v>
      </c>
      <c r="EA19" s="41" t="e">
        <f t="shared" ca="1" si="75"/>
        <v>#REF!</v>
      </c>
      <c r="EB19" s="21" t="str">
        <f t="shared" ca="1" si="76"/>
        <v>Jamaica</v>
      </c>
      <c r="EC19" s="43">
        <f t="shared" ca="1" si="77"/>
        <v>25</v>
      </c>
      <c r="ED19" s="43" t="e">
        <f t="shared" ca="1" si="78"/>
        <v>#REF!</v>
      </c>
      <c r="EE19" s="43" t="e">
        <f t="shared" ca="1" si="79"/>
        <v>#REF!</v>
      </c>
      <c r="EF19" s="38" t="e">
        <f t="shared" ca="1" si="80"/>
        <v>#REF!</v>
      </c>
    </row>
    <row r="20" spans="1:136">
      <c r="A20">
        <v>11</v>
      </c>
      <c r="B20" t="str">
        <f>tblCountries!E16</f>
        <v>Jamaica</v>
      </c>
      <c r="C20">
        <f>tblCountries!A16</f>
        <v>11</v>
      </c>
      <c r="D20">
        <f ca="1">tblCountries!F16</f>
        <v>1</v>
      </c>
      <c r="G20" s="38">
        <f t="shared" ca="1" si="0"/>
        <v>25</v>
      </c>
      <c r="H20" s="47">
        <f t="shared" ca="1" si="1"/>
        <v>1</v>
      </c>
      <c r="I20" s="38">
        <f t="shared" ca="1" si="2"/>
        <v>25</v>
      </c>
      <c r="J20" s="38">
        <f t="shared" ca="1" si="3"/>
        <v>1</v>
      </c>
      <c r="K20" s="47">
        <f t="shared" si="81"/>
        <v>0</v>
      </c>
      <c r="L20" s="47" t="str">
        <f t="shared" si="82"/>
        <v>-</v>
      </c>
      <c r="M20" s="38">
        <f t="shared" ca="1" si="83"/>
        <v>25</v>
      </c>
      <c r="N20">
        <f ca="1">RANK(M20,M$10:M$28)+COUNTIF(M$10:M20,M20)-1</f>
        <v>13</v>
      </c>
      <c r="O20">
        <f t="shared" ca="1" si="4"/>
        <v>8</v>
      </c>
      <c r="P20" s="21">
        <f t="shared" ca="1" si="84"/>
        <v>9</v>
      </c>
      <c r="Q20" s="21">
        <f t="shared" ca="1" si="5"/>
        <v>1</v>
      </c>
      <c r="R20" s="41" t="str">
        <f t="shared" ca="1" si="6"/>
        <v>=9</v>
      </c>
      <c r="S20" s="21" t="str">
        <f t="shared" ca="1" si="7"/>
        <v>El Salvador</v>
      </c>
      <c r="T20" s="41" t="str">
        <f t="shared" ca="1" si="8"/>
        <v>1</v>
      </c>
      <c r="U20" s="43">
        <f t="shared" ca="1" si="9"/>
        <v>25</v>
      </c>
      <c r="V20" s="43" t="str">
        <f t="shared" ca="1" si="10"/>
        <v>+25</v>
      </c>
      <c r="W20" t="str">
        <f t="shared" ca="1" si="85"/>
        <v>+25</v>
      </c>
      <c r="Z20" s="38">
        <f t="shared" ca="1" si="11"/>
        <v>25.4</v>
      </c>
      <c r="AA20" s="38">
        <f t="shared" ca="1" si="12"/>
        <v>25.1</v>
      </c>
      <c r="AB20" s="38">
        <f t="shared" ca="1" si="86"/>
        <v>0.29999999999999716</v>
      </c>
      <c r="AC20" s="47">
        <f t="shared" ca="1" si="87"/>
        <v>0.29999999999999716</v>
      </c>
      <c r="AD20" s="38">
        <f t="shared" ca="1" si="88"/>
        <v>25.4</v>
      </c>
      <c r="AE20">
        <f ca="1">RANK(AD20,AD$10:AD$28)+COUNTIF(AD$10:AD20,AD20)-1</f>
        <v>13</v>
      </c>
      <c r="AF20">
        <f t="shared" ca="1" si="13"/>
        <v>17</v>
      </c>
      <c r="AG20" s="21">
        <f t="shared" ca="1" si="89"/>
        <v>11</v>
      </c>
      <c r="AH20" s="21">
        <f t="shared" ca="1" si="14"/>
        <v>1</v>
      </c>
      <c r="AI20" s="41">
        <f t="shared" ca="1" si="15"/>
        <v>11</v>
      </c>
      <c r="AJ20" s="21" t="str">
        <f t="shared" ca="1" si="16"/>
        <v>Trinidad &amp; Tobago</v>
      </c>
      <c r="AK20" s="43">
        <f t="shared" ca="1" si="17"/>
        <v>29.9</v>
      </c>
      <c r="AL20" s="43">
        <f t="shared" ca="1" si="18"/>
        <v>22.9</v>
      </c>
      <c r="AM20" s="43">
        <f t="shared" ca="1" si="19"/>
        <v>7</v>
      </c>
      <c r="AN20" s="38">
        <f t="shared" ca="1" si="20"/>
        <v>7</v>
      </c>
      <c r="AP20" s="38">
        <f t="shared" ca="1" si="21"/>
        <v>25</v>
      </c>
      <c r="AQ20" s="38">
        <f t="shared" ca="1" si="22"/>
        <v>25</v>
      </c>
      <c r="AR20" s="38">
        <f t="shared" ca="1" si="90"/>
        <v>0</v>
      </c>
      <c r="AS20" s="47" t="str">
        <f t="shared" ca="1" si="91"/>
        <v>-</v>
      </c>
      <c r="AT20" s="38">
        <f t="shared" ca="1" si="92"/>
        <v>25</v>
      </c>
      <c r="AU20">
        <f ca="1">RANK(AT20,AT$10:AT$28)+COUNTIF(AT$10:AT20,AT20)-1</f>
        <v>11</v>
      </c>
      <c r="AV20">
        <f t="shared" ca="1" si="23"/>
        <v>11</v>
      </c>
      <c r="AW20" s="21">
        <f t="shared" ca="1" si="93"/>
        <v>11</v>
      </c>
      <c r="AX20" s="21">
        <f t="shared" ca="1" si="24"/>
        <v>1</v>
      </c>
      <c r="AY20" s="41" t="str">
        <f t="shared" ca="1" si="25"/>
        <v>=11</v>
      </c>
      <c r="AZ20" s="21" t="str">
        <f t="shared" ca="1" si="26"/>
        <v>Jamaica</v>
      </c>
      <c r="BA20" s="43">
        <f t="shared" ca="1" si="27"/>
        <v>25</v>
      </c>
      <c r="BB20" s="43">
        <f t="shared" ca="1" si="28"/>
        <v>25</v>
      </c>
      <c r="BC20" s="43" t="str">
        <f t="shared" ca="1" si="29"/>
        <v>-</v>
      </c>
      <c r="BD20" s="38">
        <f t="shared" ca="1" si="30"/>
        <v>0</v>
      </c>
      <c r="BF20" s="38">
        <f t="shared" ca="1" si="31"/>
        <v>25</v>
      </c>
      <c r="BG20" s="38">
        <f t="shared" ca="1" si="32"/>
        <v>37.5</v>
      </c>
      <c r="BH20" s="38">
        <f t="shared" ca="1" si="94"/>
        <v>-12.5</v>
      </c>
      <c r="BI20" s="47">
        <f t="shared" ca="1" si="95"/>
        <v>-12.5</v>
      </c>
      <c r="BJ20" s="38">
        <f t="shared" ca="1" si="96"/>
        <v>25</v>
      </c>
      <c r="BK20">
        <f ca="1">RANK(BJ20,BJ$10:BJ$28)+COUNTIF(BJ$10:BJ20,BJ20)-1</f>
        <v>12</v>
      </c>
      <c r="BL20">
        <f t="shared" ca="1" si="33"/>
        <v>5</v>
      </c>
      <c r="BM20" s="21">
        <f t="shared" ca="1" si="97"/>
        <v>11</v>
      </c>
      <c r="BN20" s="21">
        <f t="shared" ca="1" si="34"/>
        <v>1</v>
      </c>
      <c r="BO20" s="41">
        <f t="shared" ca="1" si="35"/>
        <v>11</v>
      </c>
      <c r="BP20" s="21" t="str">
        <f t="shared" ca="1" si="36"/>
        <v>Costa Rica</v>
      </c>
      <c r="BQ20" s="43">
        <f t="shared" ca="1" si="37"/>
        <v>25</v>
      </c>
      <c r="BR20" s="43">
        <f t="shared" ca="1" si="38"/>
        <v>25</v>
      </c>
      <c r="BS20" s="43" t="str">
        <f t="shared" ca="1" si="39"/>
        <v>-</v>
      </c>
      <c r="BT20" s="38">
        <f t="shared" ca="1" si="40"/>
        <v>0</v>
      </c>
      <c r="BV20" s="38">
        <f t="shared" ca="1" si="41"/>
        <v>25.3</v>
      </c>
      <c r="BW20" s="38">
        <f t="shared" ca="1" si="42"/>
        <v>17</v>
      </c>
      <c r="BX20" s="38">
        <f t="shared" ca="1" si="98"/>
        <v>8.3000000000000007</v>
      </c>
      <c r="BY20" s="47">
        <f t="shared" ca="1" si="99"/>
        <v>8.3000000000000007</v>
      </c>
      <c r="BZ20" s="38">
        <f t="shared" ca="1" si="100"/>
        <v>25.3</v>
      </c>
      <c r="CA20">
        <f ca="1">RANK(BZ20,BZ$10:BZ$28)+COUNTIF(BZ$10:BZ20,BZ20)-1</f>
        <v>10</v>
      </c>
      <c r="CB20">
        <f t="shared" ca="1" si="43"/>
        <v>8</v>
      </c>
      <c r="CC20" s="21">
        <f t="shared" ca="1" si="101"/>
        <v>11</v>
      </c>
      <c r="CD20" s="21">
        <f t="shared" ca="1" si="44"/>
        <v>1</v>
      </c>
      <c r="CE20" s="41">
        <f t="shared" ca="1" si="45"/>
        <v>11</v>
      </c>
      <c r="CF20" s="21" t="str">
        <f t="shared" ca="1" si="46"/>
        <v>El Salvador</v>
      </c>
      <c r="CG20" s="43">
        <f t="shared" ca="1" si="47"/>
        <v>25.1</v>
      </c>
      <c r="CH20" s="43">
        <f t="shared" ca="1" si="48"/>
        <v>20.8</v>
      </c>
      <c r="CI20" s="43">
        <f t="shared" ca="1" si="49"/>
        <v>4.3000000000000007</v>
      </c>
      <c r="CJ20" s="38">
        <f t="shared" ca="1" si="50"/>
        <v>4.3000000000000007</v>
      </c>
      <c r="CL20" s="38">
        <f t="shared" ca="1" si="51"/>
        <v>35.9</v>
      </c>
      <c r="CM20" s="38">
        <f t="shared" ca="1" si="52"/>
        <v>13.3</v>
      </c>
      <c r="CN20" s="38">
        <f t="shared" ca="1" si="102"/>
        <v>22.599999999999998</v>
      </c>
      <c r="CO20" s="47">
        <f t="shared" ca="1" si="103"/>
        <v>22.599999999999998</v>
      </c>
      <c r="CP20" s="38">
        <f t="shared" ca="1" si="104"/>
        <v>35.9</v>
      </c>
      <c r="CQ20">
        <f ca="1">RANK(CP20,CP$10:CP$28)+COUNTIF(CP$10:CP20,CP20)-1</f>
        <v>14</v>
      </c>
      <c r="CR20">
        <f t="shared" ca="1" si="53"/>
        <v>5</v>
      </c>
      <c r="CS20" s="21">
        <f t="shared" ca="1" si="105"/>
        <v>11</v>
      </c>
      <c r="CT20" s="21">
        <f t="shared" ca="1" si="54"/>
        <v>1</v>
      </c>
      <c r="CU20" s="41">
        <f t="shared" ca="1" si="55"/>
        <v>11</v>
      </c>
      <c r="CV20" s="21" t="str">
        <f t="shared" ca="1" si="56"/>
        <v>Costa Rica</v>
      </c>
      <c r="CW20" s="43">
        <f t="shared" ca="1" si="57"/>
        <v>40.700000000000003</v>
      </c>
      <c r="CX20" s="43">
        <f t="shared" ca="1" si="58"/>
        <v>61.3</v>
      </c>
      <c r="CY20" s="43">
        <f t="shared" ca="1" si="59"/>
        <v>-20.599999999999994</v>
      </c>
      <c r="CZ20" s="38">
        <f t="shared" ca="1" si="60"/>
        <v>-20.599999999999994</v>
      </c>
      <c r="DB20" s="38">
        <f t="shared" ca="1" si="61"/>
        <v>16.7</v>
      </c>
      <c r="DC20" s="38">
        <f t="shared" ca="1" si="62"/>
        <v>12.5</v>
      </c>
      <c r="DD20" s="38">
        <f t="shared" ca="1" si="106"/>
        <v>4.1999999999999993</v>
      </c>
      <c r="DE20" s="47">
        <f t="shared" ca="1" si="107"/>
        <v>4.1999999999999993</v>
      </c>
      <c r="DF20" s="38">
        <f t="shared" ca="1" si="108"/>
        <v>16.7</v>
      </c>
      <c r="DG20">
        <f ca="1">RANK(DF20,DF$10:DF$28)+COUNTIF(DF$10:DF20,DF20)-1</f>
        <v>16</v>
      </c>
      <c r="DH20">
        <f t="shared" ca="1" si="63"/>
        <v>6</v>
      </c>
      <c r="DI20" s="21">
        <f t="shared" ca="1" si="109"/>
        <v>11</v>
      </c>
      <c r="DJ20" s="21">
        <f t="shared" ca="1" si="64"/>
        <v>1</v>
      </c>
      <c r="DK20" s="41">
        <f t="shared" ca="1" si="65"/>
        <v>11</v>
      </c>
      <c r="DL20" s="21" t="str">
        <f t="shared" ca="1" si="66"/>
        <v>Dominican Rep.</v>
      </c>
      <c r="DM20" s="43">
        <f t="shared" ca="1" si="67"/>
        <v>30.6</v>
      </c>
      <c r="DN20" s="43">
        <f t="shared" ca="1" si="68"/>
        <v>20.8</v>
      </c>
      <c r="DO20" s="43">
        <f t="shared" ca="1" si="69"/>
        <v>9.8000000000000007</v>
      </c>
      <c r="DP20" s="38">
        <f t="shared" ca="1" si="70"/>
        <v>9.8000000000000007</v>
      </c>
      <c r="DR20" s="38">
        <f t="shared" ca="1" si="71"/>
        <v>25</v>
      </c>
      <c r="DS20" s="38" t="e">
        <f t="shared" ca="1" si="72"/>
        <v>#REF!</v>
      </c>
      <c r="DT20" s="38" t="e">
        <f t="shared" ca="1" si="110"/>
        <v>#REF!</v>
      </c>
      <c r="DU20" s="47" t="e">
        <f t="shared" ca="1" si="111"/>
        <v>#REF!</v>
      </c>
      <c r="DV20" s="38">
        <f t="shared" ca="1" si="112"/>
        <v>25</v>
      </c>
      <c r="DW20">
        <f ca="1">RANK(DV20,DV$10:DV$28)+COUNTIF(DV$10:DV20,DV20)-1</f>
        <v>10</v>
      </c>
      <c r="DX20">
        <f t="shared" ca="1" si="73"/>
        <v>15</v>
      </c>
      <c r="DY20" s="21" t="e">
        <f t="shared" ca="1" si="113"/>
        <v>#REF!</v>
      </c>
      <c r="DZ20" s="21">
        <f t="shared" ca="1" si="74"/>
        <v>1</v>
      </c>
      <c r="EA20" s="41" t="e">
        <f t="shared" ca="1" si="75"/>
        <v>#REF!</v>
      </c>
      <c r="EB20" s="21" t="str">
        <f t="shared" ca="1" si="76"/>
        <v>Paraguay</v>
      </c>
      <c r="EC20" s="43">
        <f t="shared" ca="1" si="77"/>
        <v>25</v>
      </c>
      <c r="ED20" s="43" t="e">
        <f t="shared" ca="1" si="78"/>
        <v>#REF!</v>
      </c>
      <c r="EE20" s="43" t="e">
        <f t="shared" ca="1" si="79"/>
        <v>#REF!</v>
      </c>
      <c r="EF20" s="38" t="e">
        <f t="shared" ca="1" si="80"/>
        <v>#REF!</v>
      </c>
    </row>
    <row r="21" spans="1:136">
      <c r="A21">
        <v>12</v>
      </c>
      <c r="B21" t="str">
        <f>tblCountries!E17</f>
        <v>Mexico</v>
      </c>
      <c r="C21">
        <f>tblCountries!A17</f>
        <v>12</v>
      </c>
      <c r="D21">
        <f ca="1">tblCountries!F17</f>
        <v>1</v>
      </c>
      <c r="G21" s="38">
        <f t="shared" ca="1" si="0"/>
        <v>50</v>
      </c>
      <c r="H21" s="47">
        <f t="shared" ca="1" si="1"/>
        <v>2</v>
      </c>
      <c r="I21" s="38">
        <f t="shared" ca="1" si="2"/>
        <v>50</v>
      </c>
      <c r="J21" s="38">
        <f t="shared" ca="1" si="3"/>
        <v>2</v>
      </c>
      <c r="K21" s="47">
        <f t="shared" si="81"/>
        <v>0</v>
      </c>
      <c r="L21" s="47" t="str">
        <f t="shared" si="82"/>
        <v>-</v>
      </c>
      <c r="M21" s="38">
        <f t="shared" ca="1" si="83"/>
        <v>50</v>
      </c>
      <c r="N21">
        <f ca="1">RANK(M21,M$10:M$28)+COUNTIF(M$10:M21,M21)-1</f>
        <v>7</v>
      </c>
      <c r="O21">
        <f t="shared" ca="1" si="4"/>
        <v>10</v>
      </c>
      <c r="P21" s="21">
        <f t="shared" ca="1" si="84"/>
        <v>9</v>
      </c>
      <c r="Q21" s="21">
        <f t="shared" ca="1" si="5"/>
        <v>1</v>
      </c>
      <c r="R21" s="41" t="str">
        <f t="shared" ca="1" si="6"/>
        <v>=9</v>
      </c>
      <c r="S21" s="21" t="str">
        <f t="shared" ca="1" si="7"/>
        <v>Honduras</v>
      </c>
      <c r="T21" s="41" t="str">
        <f t="shared" ca="1" si="8"/>
        <v>1</v>
      </c>
      <c r="U21" s="43">
        <f t="shared" ca="1" si="9"/>
        <v>25</v>
      </c>
      <c r="V21" s="43" t="str">
        <f t="shared" ca="1" si="10"/>
        <v>+25</v>
      </c>
      <c r="W21" t="str">
        <f t="shared" ca="1" si="85"/>
        <v>+25</v>
      </c>
      <c r="Z21" s="38">
        <f t="shared" ca="1" si="11"/>
        <v>58.1</v>
      </c>
      <c r="AA21" s="38">
        <f t="shared" ca="1" si="12"/>
        <v>47.5</v>
      </c>
      <c r="AB21" s="38">
        <f t="shared" ca="1" si="86"/>
        <v>10.600000000000001</v>
      </c>
      <c r="AC21" s="47">
        <f t="shared" ca="1" si="87"/>
        <v>10.600000000000001</v>
      </c>
      <c r="AD21" s="38">
        <f t="shared" ca="1" si="88"/>
        <v>58.1</v>
      </c>
      <c r="AE21">
        <f ca="1">RANK(AD21,AD$10:AD$28)+COUNTIF(AD$10:AD21,AD21)-1</f>
        <v>4</v>
      </c>
      <c r="AF21">
        <f t="shared" ca="1" si="13"/>
        <v>1</v>
      </c>
      <c r="AG21" s="21">
        <f t="shared" ca="1" si="89"/>
        <v>12</v>
      </c>
      <c r="AH21" s="21">
        <f t="shared" ca="1" si="14"/>
        <v>1</v>
      </c>
      <c r="AI21" s="41">
        <f t="shared" ca="1" si="15"/>
        <v>12</v>
      </c>
      <c r="AJ21" s="21" t="str">
        <f t="shared" ca="1" si="16"/>
        <v>Argentina</v>
      </c>
      <c r="AK21" s="43">
        <f t="shared" ca="1" si="17"/>
        <v>27.5</v>
      </c>
      <c r="AL21" s="43">
        <f t="shared" ca="1" si="18"/>
        <v>21.9</v>
      </c>
      <c r="AM21" s="43">
        <f t="shared" ca="1" si="19"/>
        <v>5.6000000000000014</v>
      </c>
      <c r="AN21" s="38">
        <f t="shared" ca="1" si="20"/>
        <v>5.6000000000000014</v>
      </c>
      <c r="AP21" s="38">
        <f t="shared" ca="1" si="21"/>
        <v>56.3</v>
      </c>
      <c r="AQ21" s="38">
        <f t="shared" ca="1" si="22"/>
        <v>50</v>
      </c>
      <c r="AR21" s="38">
        <f t="shared" ca="1" si="90"/>
        <v>6.2999999999999972</v>
      </c>
      <c r="AS21" s="47">
        <f t="shared" ca="1" si="91"/>
        <v>6.2999999999999972</v>
      </c>
      <c r="AT21" s="38">
        <f t="shared" ca="1" si="92"/>
        <v>56.3</v>
      </c>
      <c r="AU21">
        <f ca="1">RANK(AT21,AT$10:AT$28)+COUNTIF(AT$10:AT21,AT21)-1</f>
        <v>4</v>
      </c>
      <c r="AV21">
        <f t="shared" ca="1" si="23"/>
        <v>15</v>
      </c>
      <c r="AW21" s="21">
        <f t="shared" ca="1" si="93"/>
        <v>11</v>
      </c>
      <c r="AX21" s="21">
        <f t="shared" ca="1" si="24"/>
        <v>1</v>
      </c>
      <c r="AY21" s="41" t="str">
        <f t="shared" ca="1" si="25"/>
        <v>=11</v>
      </c>
      <c r="AZ21" s="21" t="str">
        <f t="shared" ca="1" si="26"/>
        <v>Paraguay</v>
      </c>
      <c r="BA21" s="43">
        <f t="shared" ca="1" si="27"/>
        <v>25</v>
      </c>
      <c r="BB21" s="43">
        <f t="shared" ca="1" si="28"/>
        <v>25</v>
      </c>
      <c r="BC21" s="43" t="str">
        <f t="shared" ca="1" si="29"/>
        <v>-</v>
      </c>
      <c r="BD21" s="38">
        <f t="shared" ca="1" si="30"/>
        <v>0</v>
      </c>
      <c r="BF21" s="38">
        <f t="shared" ca="1" si="31"/>
        <v>58.3</v>
      </c>
      <c r="BG21" s="38">
        <f t="shared" ca="1" si="32"/>
        <v>37.5</v>
      </c>
      <c r="BH21" s="38">
        <f t="shared" ca="1" si="94"/>
        <v>20.799999999999997</v>
      </c>
      <c r="BI21" s="47">
        <f t="shared" ca="1" si="95"/>
        <v>20.799999999999997</v>
      </c>
      <c r="BJ21" s="38">
        <f t="shared" ca="1" si="96"/>
        <v>58.3</v>
      </c>
      <c r="BK21">
        <f ca="1">RANK(BJ21,BJ$10:BJ$28)+COUNTIF(BJ$10:BJ21,BJ21)-1</f>
        <v>4</v>
      </c>
      <c r="BL21">
        <f t="shared" ca="1" si="33"/>
        <v>11</v>
      </c>
      <c r="BM21" s="21">
        <f t="shared" ca="1" si="97"/>
        <v>12</v>
      </c>
      <c r="BN21" s="21">
        <f t="shared" ca="1" si="34"/>
        <v>1</v>
      </c>
      <c r="BO21" s="41">
        <f t="shared" ca="1" si="35"/>
        <v>12</v>
      </c>
      <c r="BP21" s="21" t="str">
        <f t="shared" ca="1" si="36"/>
        <v>Jamaica</v>
      </c>
      <c r="BQ21" s="43">
        <f t="shared" ca="1" si="37"/>
        <v>25</v>
      </c>
      <c r="BR21" s="43">
        <f t="shared" ca="1" si="38"/>
        <v>37.5</v>
      </c>
      <c r="BS21" s="43">
        <f t="shared" ca="1" si="39"/>
        <v>-12.5</v>
      </c>
      <c r="BT21" s="38">
        <f t="shared" ca="1" si="40"/>
        <v>-12.5</v>
      </c>
      <c r="BV21" s="38">
        <f t="shared" ca="1" si="41"/>
        <v>54</v>
      </c>
      <c r="BW21" s="38">
        <f t="shared" ca="1" si="42"/>
        <v>47.3</v>
      </c>
      <c r="BX21" s="38">
        <f t="shared" ca="1" si="98"/>
        <v>6.7000000000000028</v>
      </c>
      <c r="BY21" s="47">
        <f t="shared" ca="1" si="99"/>
        <v>6.7000000000000028</v>
      </c>
      <c r="BZ21" s="38">
        <f t="shared" ca="1" si="100"/>
        <v>54</v>
      </c>
      <c r="CA21">
        <f ca="1">RANK(BZ21,BZ$10:BZ$28)+COUNTIF(BZ$10:BZ21,BZ21)-1</f>
        <v>3</v>
      </c>
      <c r="CB21">
        <f t="shared" ca="1" si="43"/>
        <v>18</v>
      </c>
      <c r="CC21" s="21">
        <f t="shared" ca="1" si="101"/>
        <v>12</v>
      </c>
      <c r="CD21" s="21">
        <f t="shared" ca="1" si="44"/>
        <v>1</v>
      </c>
      <c r="CE21" s="41">
        <f t="shared" ca="1" si="45"/>
        <v>12</v>
      </c>
      <c r="CF21" s="21" t="str">
        <f t="shared" ca="1" si="46"/>
        <v>Uruguay</v>
      </c>
      <c r="CG21" s="43">
        <f t="shared" ca="1" si="47"/>
        <v>19.3</v>
      </c>
      <c r="CH21" s="43">
        <f t="shared" ca="1" si="48"/>
        <v>13.3</v>
      </c>
      <c r="CI21" s="43">
        <f t="shared" ca="1" si="49"/>
        <v>6</v>
      </c>
      <c r="CJ21" s="38">
        <f t="shared" ca="1" si="50"/>
        <v>6</v>
      </c>
      <c r="CL21" s="38">
        <f t="shared" ca="1" si="51"/>
        <v>56.1</v>
      </c>
      <c r="CM21" s="38">
        <f t="shared" ca="1" si="52"/>
        <v>65.099999999999994</v>
      </c>
      <c r="CN21" s="38">
        <f t="shared" ca="1" si="102"/>
        <v>-8.9999999999999929</v>
      </c>
      <c r="CO21" s="47">
        <f t="shared" ca="1" si="103"/>
        <v>-8.9999999999999929</v>
      </c>
      <c r="CP21" s="38">
        <f t="shared" ca="1" si="104"/>
        <v>56.1</v>
      </c>
      <c r="CQ21">
        <f ca="1">RANK(CP21,CP$10:CP$28)+COUNTIF(CP$10:CP21,CP21)-1</f>
        <v>6</v>
      </c>
      <c r="CR21">
        <f t="shared" ca="1" si="53"/>
        <v>8</v>
      </c>
      <c r="CS21" s="21">
        <f t="shared" ca="1" si="105"/>
        <v>12</v>
      </c>
      <c r="CT21" s="21">
        <f t="shared" ca="1" si="54"/>
        <v>1</v>
      </c>
      <c r="CU21" s="41">
        <f t="shared" ca="1" si="55"/>
        <v>12</v>
      </c>
      <c r="CV21" s="21" t="str">
        <f t="shared" ca="1" si="56"/>
        <v>El Salvador</v>
      </c>
      <c r="CW21" s="43">
        <f t="shared" ca="1" si="57"/>
        <v>40.299999999999997</v>
      </c>
      <c r="CX21" s="43">
        <f t="shared" ca="1" si="58"/>
        <v>58.4</v>
      </c>
      <c r="CY21" s="43">
        <f t="shared" ca="1" si="59"/>
        <v>-18.100000000000001</v>
      </c>
      <c r="CZ21" s="38">
        <f t="shared" ca="1" si="60"/>
        <v>-18.100000000000001</v>
      </c>
      <c r="DB21" s="38">
        <f t="shared" ca="1" si="61"/>
        <v>72.2</v>
      </c>
      <c r="DC21" s="38">
        <f t="shared" ca="1" si="62"/>
        <v>66.7</v>
      </c>
      <c r="DD21" s="38">
        <f t="shared" ca="1" si="106"/>
        <v>5.5</v>
      </c>
      <c r="DE21" s="47">
        <f t="shared" ca="1" si="107"/>
        <v>5.5</v>
      </c>
      <c r="DF21" s="38">
        <f t="shared" ca="1" si="108"/>
        <v>72.2</v>
      </c>
      <c r="DG21">
        <f ca="1">RANK(DF21,DF$10:DF$28)+COUNTIF(DF$10:DF21,DF21)-1</f>
        <v>3</v>
      </c>
      <c r="DH21">
        <f t="shared" ca="1" si="63"/>
        <v>18</v>
      </c>
      <c r="DI21" s="21">
        <f t="shared" ca="1" si="109"/>
        <v>12</v>
      </c>
      <c r="DJ21" s="21">
        <f t="shared" ca="1" si="64"/>
        <v>1</v>
      </c>
      <c r="DK21" s="41">
        <f t="shared" ca="1" si="65"/>
        <v>12</v>
      </c>
      <c r="DL21" s="21" t="str">
        <f t="shared" ca="1" si="66"/>
        <v>Uruguay</v>
      </c>
      <c r="DM21" s="43">
        <f t="shared" ca="1" si="67"/>
        <v>30.6</v>
      </c>
      <c r="DN21" s="43">
        <f t="shared" ca="1" si="68"/>
        <v>25</v>
      </c>
      <c r="DO21" s="43">
        <f t="shared" ca="1" si="69"/>
        <v>5.6000000000000014</v>
      </c>
      <c r="DP21" s="38">
        <f t="shared" ca="1" si="70"/>
        <v>5.6000000000000014</v>
      </c>
      <c r="DR21" s="38">
        <f t="shared" ca="1" si="71"/>
        <v>50</v>
      </c>
      <c r="DS21" s="38" t="e">
        <f t="shared" ca="1" si="72"/>
        <v>#REF!</v>
      </c>
      <c r="DT21" s="38" t="e">
        <f t="shared" ca="1" si="110"/>
        <v>#REF!</v>
      </c>
      <c r="DU21" s="47" t="e">
        <f t="shared" ca="1" si="111"/>
        <v>#REF!</v>
      </c>
      <c r="DV21" s="38">
        <f t="shared" ca="1" si="112"/>
        <v>50</v>
      </c>
      <c r="DW21">
        <f ca="1">RANK(DV21,DV$10:DV$28)+COUNTIF(DV$10:DV21,DV21)-1</f>
        <v>5</v>
      </c>
      <c r="DX21">
        <f t="shared" ca="1" si="73"/>
        <v>17</v>
      </c>
      <c r="DY21" s="21" t="e">
        <f t="shared" ca="1" si="113"/>
        <v>#REF!</v>
      </c>
      <c r="DZ21" s="21">
        <f t="shared" ca="1" si="74"/>
        <v>1</v>
      </c>
      <c r="EA21" s="41" t="e">
        <f t="shared" ca="1" si="75"/>
        <v>#REF!</v>
      </c>
      <c r="EB21" s="21" t="str">
        <f t="shared" ca="1" si="76"/>
        <v>Trinidad &amp; Tobago</v>
      </c>
      <c r="EC21" s="43">
        <f t="shared" ca="1" si="77"/>
        <v>25</v>
      </c>
      <c r="ED21" s="43" t="e">
        <f t="shared" ca="1" si="78"/>
        <v>#REF!</v>
      </c>
      <c r="EE21" s="43" t="e">
        <f t="shared" ca="1" si="79"/>
        <v>#REF!</v>
      </c>
      <c r="EF21" s="38" t="e">
        <f t="shared" ca="1" si="80"/>
        <v>#REF!</v>
      </c>
    </row>
    <row r="22" spans="1:136">
      <c r="A22">
        <v>13</v>
      </c>
      <c r="B22" t="str">
        <f>tblCountries!E18</f>
        <v>Nicaragua</v>
      </c>
      <c r="C22">
        <f>tblCountries!A18</f>
        <v>13</v>
      </c>
      <c r="D22">
        <f ca="1">tblCountries!F18</f>
        <v>1</v>
      </c>
      <c r="G22" s="38">
        <f t="shared" ca="1" si="0"/>
        <v>25</v>
      </c>
      <c r="H22" s="47">
        <f t="shared" ca="1" si="1"/>
        <v>1</v>
      </c>
      <c r="I22" s="38">
        <f t="shared" ca="1" si="2"/>
        <v>0</v>
      </c>
      <c r="J22" s="38">
        <f t="shared" ca="1" si="3"/>
        <v>0</v>
      </c>
      <c r="K22" s="47">
        <f t="shared" si="81"/>
        <v>25</v>
      </c>
      <c r="L22" s="47" t="str">
        <f t="shared" si="82"/>
        <v>+25</v>
      </c>
      <c r="M22" s="38">
        <f t="shared" ca="1" si="83"/>
        <v>25</v>
      </c>
      <c r="N22">
        <f ca="1">RANK(M22,M$10:M$28)+COUNTIF(M$10:M22,M22)-1</f>
        <v>14</v>
      </c>
      <c r="O22">
        <f t="shared" ca="1" si="4"/>
        <v>11</v>
      </c>
      <c r="P22" s="21">
        <f t="shared" ca="1" si="84"/>
        <v>9</v>
      </c>
      <c r="Q22" s="21">
        <f t="shared" ca="1" si="5"/>
        <v>1</v>
      </c>
      <c r="R22" s="41" t="str">
        <f t="shared" ca="1" si="6"/>
        <v>=9</v>
      </c>
      <c r="S22" s="21" t="str">
        <f t="shared" ca="1" si="7"/>
        <v>Jamaica</v>
      </c>
      <c r="T22" s="41" t="str">
        <f t="shared" ca="1" si="8"/>
        <v>1</v>
      </c>
      <c r="U22" s="43">
        <f t="shared" ca="1" si="9"/>
        <v>25</v>
      </c>
      <c r="V22" s="43" t="str">
        <f t="shared" ca="1" si="10"/>
        <v>-</v>
      </c>
      <c r="W22" t="str">
        <f t="shared" ca="1" si="85"/>
        <v>-</v>
      </c>
      <c r="Z22" s="38">
        <f t="shared" ca="1" si="11"/>
        <v>16</v>
      </c>
      <c r="AA22" s="38">
        <f t="shared" ca="1" si="12"/>
        <v>10</v>
      </c>
      <c r="AB22" s="38">
        <f t="shared" ca="1" si="86"/>
        <v>6</v>
      </c>
      <c r="AC22" s="47">
        <f t="shared" ca="1" si="87"/>
        <v>6</v>
      </c>
      <c r="AD22" s="38">
        <f t="shared" ca="1" si="88"/>
        <v>16</v>
      </c>
      <c r="AE22">
        <f ca="1">RANK(AD22,AD$10:AD$28)+COUNTIF(AD$10:AD22,AD22)-1</f>
        <v>17</v>
      </c>
      <c r="AF22">
        <f t="shared" ca="1" si="13"/>
        <v>11</v>
      </c>
      <c r="AG22" s="21">
        <f t="shared" ca="1" si="89"/>
        <v>13</v>
      </c>
      <c r="AH22" s="21">
        <f t="shared" ca="1" si="14"/>
        <v>1</v>
      </c>
      <c r="AI22" s="41">
        <f t="shared" ca="1" si="15"/>
        <v>13</v>
      </c>
      <c r="AJ22" s="21" t="str">
        <f t="shared" ca="1" si="16"/>
        <v>Jamaica</v>
      </c>
      <c r="AK22" s="43">
        <f t="shared" ca="1" si="17"/>
        <v>25.4</v>
      </c>
      <c r="AL22" s="43">
        <f t="shared" ca="1" si="18"/>
        <v>25.1</v>
      </c>
      <c r="AM22" s="43">
        <f t="shared" ca="1" si="19"/>
        <v>0.29999999999999716</v>
      </c>
      <c r="AN22" s="38">
        <f t="shared" ca="1" si="20"/>
        <v>0.29999999999999716</v>
      </c>
      <c r="AP22" s="38">
        <f t="shared" ca="1" si="21"/>
        <v>21.9</v>
      </c>
      <c r="AQ22" s="38">
        <f t="shared" ca="1" si="22"/>
        <v>5.6</v>
      </c>
      <c r="AR22" s="38">
        <f t="shared" ca="1" si="90"/>
        <v>16.299999999999997</v>
      </c>
      <c r="AS22" s="47">
        <f t="shared" ca="1" si="91"/>
        <v>16.299999999999997</v>
      </c>
      <c r="AT22" s="38">
        <f t="shared" ca="1" si="92"/>
        <v>21.9</v>
      </c>
      <c r="AU22">
        <f ca="1">RANK(AT22,AT$10:AT$28)+COUNTIF(AT$10:AT22,AT22)-1</f>
        <v>16</v>
      </c>
      <c r="AV22">
        <f t="shared" ca="1" si="23"/>
        <v>17</v>
      </c>
      <c r="AW22" s="21">
        <f t="shared" ca="1" si="93"/>
        <v>11</v>
      </c>
      <c r="AX22" s="21">
        <f t="shared" ca="1" si="24"/>
        <v>1</v>
      </c>
      <c r="AY22" s="41" t="str">
        <f t="shared" ca="1" si="25"/>
        <v>=11</v>
      </c>
      <c r="AZ22" s="21" t="str">
        <f t="shared" ca="1" si="26"/>
        <v>Trinidad &amp; Tobago</v>
      </c>
      <c r="BA22" s="43">
        <f t="shared" ca="1" si="27"/>
        <v>25</v>
      </c>
      <c r="BB22" s="43">
        <f t="shared" ca="1" si="28"/>
        <v>25</v>
      </c>
      <c r="BC22" s="43" t="str">
        <f t="shared" ca="1" si="29"/>
        <v>-</v>
      </c>
      <c r="BD22" s="38">
        <f t="shared" ca="1" si="30"/>
        <v>0</v>
      </c>
      <c r="BF22" s="38">
        <f t="shared" ca="1" si="31"/>
        <v>25</v>
      </c>
      <c r="BG22" s="38">
        <f t="shared" ca="1" si="32"/>
        <v>12.5</v>
      </c>
      <c r="BH22" s="38">
        <f t="shared" ca="1" si="94"/>
        <v>12.5</v>
      </c>
      <c r="BI22" s="47">
        <f t="shared" ca="1" si="95"/>
        <v>12.5</v>
      </c>
      <c r="BJ22" s="38">
        <f t="shared" ca="1" si="96"/>
        <v>25</v>
      </c>
      <c r="BK22">
        <f ca="1">RANK(BJ22,BJ$10:BJ$28)+COUNTIF(BJ$10:BJ22,BJ22)-1</f>
        <v>13</v>
      </c>
      <c r="BL22">
        <f t="shared" ca="1" si="33"/>
        <v>13</v>
      </c>
      <c r="BM22" s="21">
        <f t="shared" ca="1" si="97"/>
        <v>13</v>
      </c>
      <c r="BN22" s="21">
        <f t="shared" ca="1" si="34"/>
        <v>1</v>
      </c>
      <c r="BO22" s="41" t="str">
        <f t="shared" ca="1" si="35"/>
        <v>=13</v>
      </c>
      <c r="BP22" s="21" t="str">
        <f t="shared" ca="1" si="36"/>
        <v>Nicaragua</v>
      </c>
      <c r="BQ22" s="43">
        <f t="shared" ca="1" si="37"/>
        <v>25</v>
      </c>
      <c r="BR22" s="43">
        <f t="shared" ca="1" si="38"/>
        <v>12.5</v>
      </c>
      <c r="BS22" s="43">
        <f t="shared" ca="1" si="39"/>
        <v>12.5</v>
      </c>
      <c r="BT22" s="38">
        <f t="shared" ca="1" si="40"/>
        <v>12.5</v>
      </c>
      <c r="BV22" s="38">
        <f t="shared" ca="1" si="41"/>
        <v>13.1</v>
      </c>
      <c r="BW22" s="38">
        <f t="shared" ca="1" si="42"/>
        <v>8.5</v>
      </c>
      <c r="BX22" s="38">
        <f t="shared" ca="1" si="98"/>
        <v>4.5999999999999996</v>
      </c>
      <c r="BY22" s="47">
        <f t="shared" ca="1" si="99"/>
        <v>4.5999999999999996</v>
      </c>
      <c r="BZ22" s="38">
        <f t="shared" ca="1" si="100"/>
        <v>13.1</v>
      </c>
      <c r="CA22">
        <f ca="1">RANK(BZ22,BZ$10:BZ$28)+COUNTIF(BZ$10:BZ22,BZ22)-1</f>
        <v>16</v>
      </c>
      <c r="CB22">
        <f t="shared" ca="1" si="43"/>
        <v>1</v>
      </c>
      <c r="CC22" s="21">
        <f t="shared" ca="1" si="101"/>
        <v>13</v>
      </c>
      <c r="CD22" s="21">
        <f t="shared" ca="1" si="44"/>
        <v>1</v>
      </c>
      <c r="CE22" s="41">
        <f t="shared" ca="1" si="45"/>
        <v>13</v>
      </c>
      <c r="CF22" s="21" t="str">
        <f t="shared" ca="1" si="46"/>
        <v>Argentina</v>
      </c>
      <c r="CG22" s="43">
        <f t="shared" ca="1" si="47"/>
        <v>16.7</v>
      </c>
      <c r="CH22" s="43">
        <f t="shared" ca="1" si="48"/>
        <v>16.8</v>
      </c>
      <c r="CI22" s="43">
        <f t="shared" ca="1" si="49"/>
        <v>-0.10000000000000142</v>
      </c>
      <c r="CJ22" s="38">
        <f t="shared" ca="1" si="50"/>
        <v>-0.10000000000000142</v>
      </c>
      <c r="CL22" s="38">
        <f t="shared" ca="1" si="51"/>
        <v>15.6</v>
      </c>
      <c r="CM22" s="38">
        <f t="shared" ca="1" si="52"/>
        <v>53.7</v>
      </c>
      <c r="CN22" s="38">
        <f t="shared" ca="1" si="102"/>
        <v>-38.1</v>
      </c>
      <c r="CO22" s="47">
        <f t="shared" ca="1" si="103"/>
        <v>-38.1</v>
      </c>
      <c r="CP22" s="38">
        <f t="shared" ca="1" si="104"/>
        <v>15.6</v>
      </c>
      <c r="CQ22">
        <f ca="1">RANK(CP22,CP$10:CP$28)+COUNTIF(CP$10:CP22,CP22)-1</f>
        <v>18</v>
      </c>
      <c r="CR22">
        <f t="shared" ca="1" si="53"/>
        <v>17</v>
      </c>
      <c r="CS22" s="21">
        <f t="shared" ca="1" si="105"/>
        <v>13</v>
      </c>
      <c r="CT22" s="21">
        <f t="shared" ca="1" si="54"/>
        <v>1</v>
      </c>
      <c r="CU22" s="41">
        <f t="shared" ca="1" si="55"/>
        <v>13</v>
      </c>
      <c r="CV22" s="21" t="str">
        <f t="shared" ca="1" si="56"/>
        <v>Trinidad &amp; Tobago</v>
      </c>
      <c r="CW22" s="43">
        <f t="shared" ca="1" si="57"/>
        <v>39.9</v>
      </c>
      <c r="CX22" s="43">
        <f t="shared" ca="1" si="58"/>
        <v>64.3</v>
      </c>
      <c r="CY22" s="43">
        <f t="shared" ca="1" si="59"/>
        <v>-24.4</v>
      </c>
      <c r="CZ22" s="38">
        <f t="shared" ca="1" si="60"/>
        <v>-24.4</v>
      </c>
      <c r="DB22" s="38">
        <f t="shared" ca="1" si="61"/>
        <v>8.3000000000000007</v>
      </c>
      <c r="DC22" s="38">
        <f t="shared" ca="1" si="62"/>
        <v>4.2</v>
      </c>
      <c r="DD22" s="38">
        <f t="shared" ca="1" si="106"/>
        <v>4.1000000000000005</v>
      </c>
      <c r="DE22" s="47">
        <f t="shared" ca="1" si="107"/>
        <v>4.1000000000000005</v>
      </c>
      <c r="DF22" s="38">
        <f t="shared" ca="1" si="108"/>
        <v>8.3000000000000007</v>
      </c>
      <c r="DG22">
        <f ca="1">RANK(DF22,DF$10:DF$28)+COUNTIF(DF$10:DF22,DF22)-1</f>
        <v>19</v>
      </c>
      <c r="DH22">
        <f t="shared" ca="1" si="63"/>
        <v>15</v>
      </c>
      <c r="DI22" s="21">
        <f t="shared" ca="1" si="109"/>
        <v>13</v>
      </c>
      <c r="DJ22" s="21">
        <f t="shared" ca="1" si="64"/>
        <v>1</v>
      </c>
      <c r="DK22" s="41">
        <f t="shared" ca="1" si="65"/>
        <v>13</v>
      </c>
      <c r="DL22" s="21" t="str">
        <f t="shared" ca="1" si="66"/>
        <v>Paraguay</v>
      </c>
      <c r="DM22" s="43">
        <f t="shared" ca="1" si="67"/>
        <v>25</v>
      </c>
      <c r="DN22" s="43">
        <f t="shared" ca="1" si="68"/>
        <v>25</v>
      </c>
      <c r="DO22" s="43" t="str">
        <f t="shared" ca="1" si="69"/>
        <v>-</v>
      </c>
      <c r="DP22" s="38">
        <f t="shared" ca="1" si="70"/>
        <v>0</v>
      </c>
      <c r="DR22" s="38">
        <f t="shared" ca="1" si="71"/>
        <v>0</v>
      </c>
      <c r="DS22" s="38" t="e">
        <f t="shared" ca="1" si="72"/>
        <v>#REF!</v>
      </c>
      <c r="DT22" s="38" t="e">
        <f t="shared" ca="1" si="110"/>
        <v>#REF!</v>
      </c>
      <c r="DU22" s="47" t="e">
        <f t="shared" ca="1" si="111"/>
        <v>#REF!</v>
      </c>
      <c r="DV22" s="38">
        <f t="shared" ca="1" si="112"/>
        <v>0</v>
      </c>
      <c r="DW22">
        <f ca="1">RANK(DV22,DV$10:DV$28)+COUNTIF(DV$10:DV22,DV22)-1</f>
        <v>17</v>
      </c>
      <c r="DX22">
        <f t="shared" ca="1" si="73"/>
        <v>18</v>
      </c>
      <c r="DY22" s="21" t="e">
        <f t="shared" ca="1" si="113"/>
        <v>#REF!</v>
      </c>
      <c r="DZ22" s="21">
        <f t="shared" ca="1" si="74"/>
        <v>1</v>
      </c>
      <c r="EA22" s="41" t="e">
        <f t="shared" ca="1" si="75"/>
        <v>#REF!</v>
      </c>
      <c r="EB22" s="21" t="str">
        <f t="shared" ca="1" si="76"/>
        <v>Uruguay</v>
      </c>
      <c r="EC22" s="43">
        <f t="shared" ca="1" si="77"/>
        <v>25</v>
      </c>
      <c r="ED22" s="43" t="e">
        <f t="shared" ca="1" si="78"/>
        <v>#REF!</v>
      </c>
      <c r="EE22" s="43" t="e">
        <f t="shared" ca="1" si="79"/>
        <v>#REF!</v>
      </c>
      <c r="EF22" s="38" t="e">
        <f t="shared" ca="1" si="80"/>
        <v>#REF!</v>
      </c>
    </row>
    <row r="23" spans="1:136">
      <c r="A23">
        <v>14</v>
      </c>
      <c r="B23" t="str">
        <f>tblCountries!E19</f>
        <v>Panama</v>
      </c>
      <c r="C23">
        <f>tblCountries!A19</f>
        <v>14</v>
      </c>
      <c r="D23">
        <f ca="1">tblCountries!F19</f>
        <v>1</v>
      </c>
      <c r="G23" s="38">
        <f t="shared" ca="1" si="0"/>
        <v>50</v>
      </c>
      <c r="H23" s="47">
        <f t="shared" ca="1" si="1"/>
        <v>2</v>
      </c>
      <c r="I23" s="38">
        <f t="shared" ca="1" si="2"/>
        <v>25</v>
      </c>
      <c r="J23" s="38">
        <f t="shared" ca="1" si="3"/>
        <v>1</v>
      </c>
      <c r="K23" s="47">
        <f t="shared" si="81"/>
        <v>25</v>
      </c>
      <c r="L23" s="47" t="str">
        <f t="shared" si="82"/>
        <v>+25</v>
      </c>
      <c r="M23" s="38">
        <f t="shared" ca="1" si="83"/>
        <v>50</v>
      </c>
      <c r="N23">
        <f ca="1">RANK(M23,M$10:M$28)+COUNTIF(M$10:M23,M23)-1</f>
        <v>8</v>
      </c>
      <c r="O23">
        <f t="shared" ca="1" si="4"/>
        <v>13</v>
      </c>
      <c r="P23" s="21">
        <f t="shared" ca="1" si="84"/>
        <v>9</v>
      </c>
      <c r="Q23" s="21">
        <f t="shared" ca="1" si="5"/>
        <v>1</v>
      </c>
      <c r="R23" s="41" t="str">
        <f t="shared" ca="1" si="6"/>
        <v>=9</v>
      </c>
      <c r="S23" s="21" t="str">
        <f t="shared" ca="1" si="7"/>
        <v>Nicaragua</v>
      </c>
      <c r="T23" s="41" t="str">
        <f t="shared" ca="1" si="8"/>
        <v>1</v>
      </c>
      <c r="U23" s="43">
        <f t="shared" ca="1" si="9"/>
        <v>25</v>
      </c>
      <c r="V23" s="43" t="str">
        <f t="shared" ca="1" si="10"/>
        <v>+25</v>
      </c>
      <c r="W23" t="str">
        <f t="shared" ca="1" si="85"/>
        <v>+25</v>
      </c>
      <c r="Z23" s="38">
        <f t="shared" ca="1" si="11"/>
        <v>34.6</v>
      </c>
      <c r="AA23" s="38">
        <f t="shared" ca="1" si="12"/>
        <v>21</v>
      </c>
      <c r="AB23" s="38">
        <f t="shared" ca="1" si="86"/>
        <v>13.600000000000001</v>
      </c>
      <c r="AC23" s="47">
        <f t="shared" ca="1" si="87"/>
        <v>13.600000000000001</v>
      </c>
      <c r="AD23" s="38">
        <f t="shared" ca="1" si="88"/>
        <v>34.6</v>
      </c>
      <c r="AE23">
        <f ca="1">RANK(AD23,AD$10:AD$28)+COUNTIF(AD$10:AD23,AD23)-1</f>
        <v>7</v>
      </c>
      <c r="AF23">
        <f t="shared" ca="1" si="13"/>
        <v>10</v>
      </c>
      <c r="AG23" s="21">
        <f t="shared" ca="1" si="89"/>
        <v>14</v>
      </c>
      <c r="AH23" s="21">
        <f t="shared" ca="1" si="14"/>
        <v>1</v>
      </c>
      <c r="AI23" s="41">
        <f t="shared" ca="1" si="15"/>
        <v>14</v>
      </c>
      <c r="AJ23" s="21" t="str">
        <f t="shared" ca="1" si="16"/>
        <v>Honduras</v>
      </c>
      <c r="AK23" s="43">
        <f t="shared" ca="1" si="17"/>
        <v>24.6</v>
      </c>
      <c r="AL23" s="43">
        <f t="shared" ca="1" si="18"/>
        <v>23.7</v>
      </c>
      <c r="AM23" s="43">
        <f t="shared" ca="1" si="19"/>
        <v>0.90000000000000213</v>
      </c>
      <c r="AN23" s="38">
        <f t="shared" ca="1" si="20"/>
        <v>0.90000000000000213</v>
      </c>
      <c r="AP23" s="38">
        <f t="shared" ca="1" si="21"/>
        <v>37.5</v>
      </c>
      <c r="AQ23" s="38">
        <f t="shared" ca="1" si="22"/>
        <v>25</v>
      </c>
      <c r="AR23" s="38">
        <f t="shared" ca="1" si="90"/>
        <v>12.5</v>
      </c>
      <c r="AS23" s="47">
        <f t="shared" ca="1" si="91"/>
        <v>12.5</v>
      </c>
      <c r="AT23" s="38">
        <f t="shared" ca="1" si="92"/>
        <v>37.5</v>
      </c>
      <c r="AU23">
        <f ca="1">RANK(AT23,AT$10:AT$28)+COUNTIF(AT$10:AT23,AT23)-1</f>
        <v>7</v>
      </c>
      <c r="AV23">
        <f t="shared" ca="1" si="23"/>
        <v>1</v>
      </c>
      <c r="AW23" s="21">
        <f t="shared" ca="1" si="93"/>
        <v>14</v>
      </c>
      <c r="AX23" s="21">
        <f t="shared" ca="1" si="24"/>
        <v>1</v>
      </c>
      <c r="AY23" s="41">
        <f t="shared" ca="1" si="25"/>
        <v>14</v>
      </c>
      <c r="AZ23" s="21" t="str">
        <f t="shared" ca="1" si="26"/>
        <v>Argentina</v>
      </c>
      <c r="BA23" s="43">
        <f t="shared" ca="1" si="27"/>
        <v>21.9</v>
      </c>
      <c r="BB23" s="43">
        <f t="shared" ca="1" si="28"/>
        <v>27.8</v>
      </c>
      <c r="BC23" s="43">
        <f t="shared" ca="1" si="29"/>
        <v>-5.9000000000000021</v>
      </c>
      <c r="BD23" s="38">
        <f t="shared" ca="1" si="30"/>
        <v>-5.9000000000000021</v>
      </c>
      <c r="BF23" s="38">
        <f t="shared" ca="1" si="31"/>
        <v>25</v>
      </c>
      <c r="BG23" s="38">
        <f t="shared" ca="1" si="32"/>
        <v>12.5</v>
      </c>
      <c r="BH23" s="38">
        <f t="shared" ca="1" si="94"/>
        <v>12.5</v>
      </c>
      <c r="BI23" s="47">
        <f t="shared" ca="1" si="95"/>
        <v>12.5</v>
      </c>
      <c r="BJ23" s="38">
        <f t="shared" ca="1" si="96"/>
        <v>25</v>
      </c>
      <c r="BK23">
        <f ca="1">RANK(BJ23,BJ$10:BJ$28)+COUNTIF(BJ$10:BJ23,BJ23)-1</f>
        <v>14</v>
      </c>
      <c r="BL23">
        <f t="shared" ca="1" si="33"/>
        <v>14</v>
      </c>
      <c r="BM23" s="21">
        <f t="shared" ca="1" si="97"/>
        <v>13</v>
      </c>
      <c r="BN23" s="21">
        <f t="shared" ca="1" si="34"/>
        <v>1</v>
      </c>
      <c r="BO23" s="41" t="str">
        <f t="shared" ca="1" si="35"/>
        <v>=13</v>
      </c>
      <c r="BP23" s="21" t="str">
        <f t="shared" ca="1" si="36"/>
        <v>Panama</v>
      </c>
      <c r="BQ23" s="43">
        <f t="shared" ca="1" si="37"/>
        <v>25</v>
      </c>
      <c r="BR23" s="43">
        <f t="shared" ca="1" si="38"/>
        <v>12.5</v>
      </c>
      <c r="BS23" s="43">
        <f t="shared" ca="1" si="39"/>
        <v>12.5</v>
      </c>
      <c r="BT23" s="38">
        <f t="shared" ca="1" si="40"/>
        <v>12.5</v>
      </c>
      <c r="BV23" s="38">
        <f t="shared" ca="1" si="41"/>
        <v>13.1</v>
      </c>
      <c r="BW23" s="38">
        <f t="shared" ca="1" si="42"/>
        <v>8.8000000000000007</v>
      </c>
      <c r="BX23" s="38">
        <f t="shared" ca="1" si="98"/>
        <v>4.2999999999999989</v>
      </c>
      <c r="BY23" s="47">
        <f t="shared" ca="1" si="99"/>
        <v>4.2999999999999989</v>
      </c>
      <c r="BZ23" s="38">
        <f t="shared" ca="1" si="100"/>
        <v>13.1</v>
      </c>
      <c r="CA23">
        <f ca="1">RANK(BZ23,BZ$10:BZ$28)+COUNTIF(BZ$10:BZ23,BZ23)-1</f>
        <v>17</v>
      </c>
      <c r="CB23">
        <f t="shared" ca="1" si="43"/>
        <v>15</v>
      </c>
      <c r="CC23" s="21">
        <f t="shared" ca="1" si="101"/>
        <v>14</v>
      </c>
      <c r="CD23" s="21">
        <f t="shared" ca="1" si="44"/>
        <v>1</v>
      </c>
      <c r="CE23" s="41">
        <f t="shared" ca="1" si="45"/>
        <v>14</v>
      </c>
      <c r="CF23" s="21" t="str">
        <f t="shared" ca="1" si="46"/>
        <v>Paraguay</v>
      </c>
      <c r="CG23" s="43">
        <f t="shared" ca="1" si="47"/>
        <v>15.6</v>
      </c>
      <c r="CH23" s="43">
        <f t="shared" ca="1" si="48"/>
        <v>8.5</v>
      </c>
      <c r="CI23" s="43">
        <f t="shared" ca="1" si="49"/>
        <v>7.1</v>
      </c>
      <c r="CJ23" s="38">
        <f t="shared" ca="1" si="50"/>
        <v>7.1</v>
      </c>
      <c r="CL23" s="38">
        <f t="shared" ca="1" si="51"/>
        <v>58.1</v>
      </c>
      <c r="CM23" s="38">
        <f t="shared" ca="1" si="52"/>
        <v>62.8</v>
      </c>
      <c r="CN23" s="38">
        <f t="shared" ca="1" si="102"/>
        <v>-4.6999999999999957</v>
      </c>
      <c r="CO23" s="47">
        <f t="shared" ca="1" si="103"/>
        <v>-4.6999999999999957</v>
      </c>
      <c r="CP23" s="38">
        <f t="shared" ca="1" si="104"/>
        <v>58.1</v>
      </c>
      <c r="CQ23">
        <f ca="1">RANK(CP23,CP$10:CP$28)+COUNTIF(CP$10:CP23,CP23)-1</f>
        <v>5</v>
      </c>
      <c r="CR23">
        <f t="shared" ca="1" si="53"/>
        <v>11</v>
      </c>
      <c r="CS23" s="21">
        <f t="shared" ca="1" si="105"/>
        <v>14</v>
      </c>
      <c r="CT23" s="21">
        <f t="shared" ca="1" si="54"/>
        <v>1</v>
      </c>
      <c r="CU23" s="41">
        <f t="shared" ca="1" si="55"/>
        <v>14</v>
      </c>
      <c r="CV23" s="21" t="str">
        <f t="shared" ca="1" si="56"/>
        <v>Jamaica</v>
      </c>
      <c r="CW23" s="43">
        <f t="shared" ca="1" si="57"/>
        <v>35.9</v>
      </c>
      <c r="CX23" s="43">
        <f t="shared" ca="1" si="58"/>
        <v>13.3</v>
      </c>
      <c r="CY23" s="43">
        <f t="shared" ca="1" si="59"/>
        <v>22.599999999999998</v>
      </c>
      <c r="CZ23" s="38">
        <f t="shared" ca="1" si="60"/>
        <v>22.599999999999998</v>
      </c>
      <c r="DB23" s="38">
        <f t="shared" ca="1" si="61"/>
        <v>63.9</v>
      </c>
      <c r="DC23" s="38">
        <f t="shared" ca="1" si="62"/>
        <v>62.5</v>
      </c>
      <c r="DD23" s="38">
        <f t="shared" ca="1" si="106"/>
        <v>1.3999999999999986</v>
      </c>
      <c r="DE23" s="47">
        <f t="shared" ca="1" si="107"/>
        <v>1.3999999999999986</v>
      </c>
      <c r="DF23" s="38">
        <f t="shared" ca="1" si="108"/>
        <v>63.9</v>
      </c>
      <c r="DG23">
        <f ca="1">RANK(DF23,DF$10:DF$28)+COUNTIF(DF$10:DF23,DF23)-1</f>
        <v>4</v>
      </c>
      <c r="DH23">
        <f t="shared" ca="1" si="63"/>
        <v>9</v>
      </c>
      <c r="DI23" s="21">
        <f t="shared" ca="1" si="109"/>
        <v>14</v>
      </c>
      <c r="DJ23" s="21">
        <f t="shared" ca="1" si="64"/>
        <v>1</v>
      </c>
      <c r="DK23" s="41">
        <f t="shared" ca="1" si="65"/>
        <v>14</v>
      </c>
      <c r="DL23" s="21" t="str">
        <f t="shared" ca="1" si="66"/>
        <v>Guatemala</v>
      </c>
      <c r="DM23" s="43">
        <f t="shared" ca="1" si="67"/>
        <v>22.2</v>
      </c>
      <c r="DN23" s="43">
        <f t="shared" ca="1" si="68"/>
        <v>29.2</v>
      </c>
      <c r="DO23" s="43">
        <f t="shared" ca="1" si="69"/>
        <v>-7</v>
      </c>
      <c r="DP23" s="38">
        <f t="shared" ca="1" si="70"/>
        <v>-7</v>
      </c>
      <c r="DR23" s="38">
        <f t="shared" ca="1" si="71"/>
        <v>0</v>
      </c>
      <c r="DS23" s="38" t="e">
        <f t="shared" ca="1" si="72"/>
        <v>#REF!</v>
      </c>
      <c r="DT23" s="38" t="e">
        <f t="shared" ca="1" si="110"/>
        <v>#REF!</v>
      </c>
      <c r="DU23" s="47" t="e">
        <f t="shared" ca="1" si="111"/>
        <v>#REF!</v>
      </c>
      <c r="DV23" s="38">
        <f t="shared" ca="1" si="112"/>
        <v>0</v>
      </c>
      <c r="DW23">
        <f ca="1">RANK(DV23,DV$10:DV$28)+COUNTIF(DV$10:DV23,DV23)-1</f>
        <v>18</v>
      </c>
      <c r="DX23">
        <f t="shared" ca="1" si="73"/>
        <v>5</v>
      </c>
      <c r="DY23" s="21" t="e">
        <f t="shared" ca="1" si="113"/>
        <v>#REF!</v>
      </c>
      <c r="DZ23" s="21">
        <f t="shared" ca="1" si="74"/>
        <v>1</v>
      </c>
      <c r="EA23" s="41" t="e">
        <f t="shared" ca="1" si="75"/>
        <v>#REF!</v>
      </c>
      <c r="EB23" s="21" t="str">
        <f t="shared" ca="1" si="76"/>
        <v>Costa Rica</v>
      </c>
      <c r="EC23" s="43">
        <f t="shared" ca="1" si="77"/>
        <v>0</v>
      </c>
      <c r="ED23" s="43" t="e">
        <f t="shared" ca="1" si="78"/>
        <v>#REF!</v>
      </c>
      <c r="EE23" s="43" t="e">
        <f t="shared" ca="1" si="79"/>
        <v>#REF!</v>
      </c>
      <c r="EF23" s="38" t="e">
        <f t="shared" ca="1" si="80"/>
        <v>#REF!</v>
      </c>
    </row>
    <row r="24" spans="1:136">
      <c r="A24">
        <v>15</v>
      </c>
      <c r="B24" t="str">
        <f>tblCountries!E20</f>
        <v>Paraguay</v>
      </c>
      <c r="C24">
        <f>tblCountries!A20</f>
        <v>15</v>
      </c>
      <c r="D24">
        <f ca="1">tblCountries!F20</f>
        <v>1</v>
      </c>
      <c r="G24" s="38">
        <f t="shared" ca="1" si="0"/>
        <v>25</v>
      </c>
      <c r="H24" s="47">
        <f t="shared" ca="1" si="1"/>
        <v>1</v>
      </c>
      <c r="I24" s="38">
        <f t="shared" ca="1" si="2"/>
        <v>25</v>
      </c>
      <c r="J24" s="38">
        <f t="shared" ca="1" si="3"/>
        <v>1</v>
      </c>
      <c r="K24" s="47">
        <f t="shared" si="81"/>
        <v>0</v>
      </c>
      <c r="L24" s="47" t="str">
        <f t="shared" si="82"/>
        <v>-</v>
      </c>
      <c r="M24" s="38">
        <f t="shared" ca="1" si="83"/>
        <v>25</v>
      </c>
      <c r="N24">
        <f ca="1">RANK(M24,M$10:M$28)+COUNTIF(M$10:M24,M24)-1</f>
        <v>15</v>
      </c>
      <c r="O24">
        <f t="shared" ca="1" si="4"/>
        <v>15</v>
      </c>
      <c r="P24" s="21">
        <f t="shared" ca="1" si="84"/>
        <v>9</v>
      </c>
      <c r="Q24" s="21">
        <f t="shared" ca="1" si="5"/>
        <v>1</v>
      </c>
      <c r="R24" s="41" t="str">
        <f t="shared" ca="1" si="6"/>
        <v>=9</v>
      </c>
      <c r="S24" s="21" t="str">
        <f t="shared" ca="1" si="7"/>
        <v>Paraguay</v>
      </c>
      <c r="T24" s="41" t="str">
        <f t="shared" ca="1" si="8"/>
        <v>1</v>
      </c>
      <c r="U24" s="43">
        <f t="shared" ca="1" si="9"/>
        <v>25</v>
      </c>
      <c r="V24" s="43" t="str">
        <f t="shared" ca="1" si="10"/>
        <v>-</v>
      </c>
      <c r="W24" t="str">
        <f t="shared" ca="1" si="85"/>
        <v>-</v>
      </c>
      <c r="Z24" s="38">
        <f t="shared" ca="1" si="11"/>
        <v>24.5</v>
      </c>
      <c r="AA24" s="38">
        <f t="shared" ca="1" si="12"/>
        <v>22.3</v>
      </c>
      <c r="AB24" s="38">
        <f t="shared" ca="1" si="86"/>
        <v>2.1999999999999993</v>
      </c>
      <c r="AC24" s="47">
        <f t="shared" ca="1" si="87"/>
        <v>2.1999999999999993</v>
      </c>
      <c r="AD24" s="38">
        <f t="shared" ca="1" si="88"/>
        <v>24.5</v>
      </c>
      <c r="AE24">
        <f ca="1">RANK(AD24,AD$10:AD$28)+COUNTIF(AD$10:AD24,AD24)-1</f>
        <v>15</v>
      </c>
      <c r="AF24">
        <f t="shared" ca="1" si="13"/>
        <v>15</v>
      </c>
      <c r="AG24" s="21">
        <f t="shared" ca="1" si="89"/>
        <v>15</v>
      </c>
      <c r="AH24" s="21">
        <f t="shared" ca="1" si="14"/>
        <v>1</v>
      </c>
      <c r="AI24" s="41">
        <f t="shared" ca="1" si="15"/>
        <v>15</v>
      </c>
      <c r="AJ24" s="21" t="str">
        <f t="shared" ca="1" si="16"/>
        <v>Paraguay</v>
      </c>
      <c r="AK24" s="43">
        <f t="shared" ca="1" si="17"/>
        <v>24.5</v>
      </c>
      <c r="AL24" s="43">
        <f t="shared" ca="1" si="18"/>
        <v>22.3</v>
      </c>
      <c r="AM24" s="43">
        <f t="shared" ca="1" si="19"/>
        <v>2.1999999999999993</v>
      </c>
      <c r="AN24" s="38">
        <f t="shared" ca="1" si="20"/>
        <v>2.1999999999999993</v>
      </c>
      <c r="AP24" s="38">
        <f t="shared" ca="1" si="21"/>
        <v>25</v>
      </c>
      <c r="AQ24" s="38">
        <f t="shared" ca="1" si="22"/>
        <v>25</v>
      </c>
      <c r="AR24" s="38">
        <f t="shared" ca="1" si="90"/>
        <v>0</v>
      </c>
      <c r="AS24" s="47" t="str">
        <f t="shared" ca="1" si="91"/>
        <v>-</v>
      </c>
      <c r="AT24" s="38">
        <f t="shared" ca="1" si="92"/>
        <v>25</v>
      </c>
      <c r="AU24">
        <f ca="1">RANK(AT24,AT$10:AT$28)+COUNTIF(AT$10:AT24,AT24)-1</f>
        <v>12</v>
      </c>
      <c r="AV24">
        <f t="shared" ca="1" si="23"/>
        <v>6</v>
      </c>
      <c r="AW24" s="21">
        <f t="shared" ca="1" si="93"/>
        <v>15</v>
      </c>
      <c r="AX24" s="21">
        <f t="shared" ca="1" si="24"/>
        <v>1</v>
      </c>
      <c r="AY24" s="41">
        <f t="shared" ca="1" si="25"/>
        <v>15</v>
      </c>
      <c r="AZ24" s="21" t="str">
        <f t="shared" ca="1" si="26"/>
        <v>Dominican Rep.</v>
      </c>
      <c r="BA24" s="43">
        <f t="shared" ca="1" si="27"/>
        <v>21.9</v>
      </c>
      <c r="BB24" s="43">
        <f t="shared" ca="1" si="28"/>
        <v>16.7</v>
      </c>
      <c r="BC24" s="43">
        <f t="shared" ca="1" si="29"/>
        <v>5.1999999999999993</v>
      </c>
      <c r="BD24" s="38">
        <f t="shared" ca="1" si="30"/>
        <v>5.1999999999999993</v>
      </c>
      <c r="BF24" s="38">
        <f t="shared" ca="1" si="31"/>
        <v>25</v>
      </c>
      <c r="BG24" s="38">
        <f t="shared" ca="1" si="32"/>
        <v>25</v>
      </c>
      <c r="BH24" s="38">
        <f t="shared" ca="1" si="94"/>
        <v>0</v>
      </c>
      <c r="BI24" s="47" t="str">
        <f t="shared" ca="1" si="95"/>
        <v>-</v>
      </c>
      <c r="BJ24" s="38">
        <f t="shared" ca="1" si="96"/>
        <v>25</v>
      </c>
      <c r="BK24">
        <f ca="1">RANK(BJ24,BJ$10:BJ$28)+COUNTIF(BJ$10:BJ24,BJ24)-1</f>
        <v>15</v>
      </c>
      <c r="BL24">
        <f t="shared" ca="1" si="33"/>
        <v>15</v>
      </c>
      <c r="BM24" s="21">
        <f t="shared" ca="1" si="97"/>
        <v>15</v>
      </c>
      <c r="BN24" s="21">
        <f t="shared" ca="1" si="34"/>
        <v>1</v>
      </c>
      <c r="BO24" s="41" t="str">
        <f t="shared" ca="1" si="35"/>
        <v>=15</v>
      </c>
      <c r="BP24" s="21" t="str">
        <f t="shared" ca="1" si="36"/>
        <v>Paraguay</v>
      </c>
      <c r="BQ24" s="43">
        <f t="shared" ca="1" si="37"/>
        <v>25</v>
      </c>
      <c r="BR24" s="43">
        <f t="shared" ca="1" si="38"/>
        <v>25</v>
      </c>
      <c r="BS24" s="43" t="str">
        <f t="shared" ca="1" si="39"/>
        <v>-</v>
      </c>
      <c r="BT24" s="38">
        <f t="shared" ca="1" si="40"/>
        <v>0</v>
      </c>
      <c r="BV24" s="38">
        <f t="shared" ca="1" si="41"/>
        <v>15.6</v>
      </c>
      <c r="BW24" s="38">
        <f t="shared" ca="1" si="42"/>
        <v>8.5</v>
      </c>
      <c r="BX24" s="38">
        <f t="shared" ca="1" si="98"/>
        <v>7.1</v>
      </c>
      <c r="BY24" s="47">
        <f t="shared" ca="1" si="99"/>
        <v>7.1</v>
      </c>
      <c r="BZ24" s="38">
        <f t="shared" ca="1" si="100"/>
        <v>15.6</v>
      </c>
      <c r="CA24">
        <f ca="1">RANK(BZ24,BZ$10:BZ$28)+COUNTIF(BZ$10:BZ24,BZ24)-1</f>
        <v>14</v>
      </c>
      <c r="CB24">
        <f t="shared" ca="1" si="43"/>
        <v>6</v>
      </c>
      <c r="CC24" s="21">
        <f t="shared" ca="1" si="101"/>
        <v>15</v>
      </c>
      <c r="CD24" s="21">
        <f t="shared" ca="1" si="44"/>
        <v>1</v>
      </c>
      <c r="CE24" s="41">
        <f t="shared" ca="1" si="45"/>
        <v>15</v>
      </c>
      <c r="CF24" s="21" t="str">
        <f t="shared" ca="1" si="46"/>
        <v>Dominican Rep.</v>
      </c>
      <c r="CG24" s="43">
        <f t="shared" ca="1" si="47"/>
        <v>14</v>
      </c>
      <c r="CH24" s="43">
        <f t="shared" ca="1" si="48"/>
        <v>38.6</v>
      </c>
      <c r="CI24" s="43">
        <f t="shared" ca="1" si="49"/>
        <v>-24.6</v>
      </c>
      <c r="CJ24" s="38">
        <f t="shared" ca="1" si="50"/>
        <v>-24.6</v>
      </c>
      <c r="CL24" s="38">
        <f t="shared" ca="1" si="51"/>
        <v>31.4</v>
      </c>
      <c r="CM24" s="38">
        <f t="shared" ca="1" si="52"/>
        <v>59.4</v>
      </c>
      <c r="CN24" s="38">
        <f t="shared" ca="1" si="102"/>
        <v>-28</v>
      </c>
      <c r="CO24" s="47">
        <f t="shared" ca="1" si="103"/>
        <v>-28</v>
      </c>
      <c r="CP24" s="38">
        <f t="shared" ca="1" si="104"/>
        <v>31.4</v>
      </c>
      <c r="CQ24">
        <f ca="1">RANK(CP24,CP$10:CP$28)+COUNTIF(CP$10:CP24,CP24)-1</f>
        <v>15</v>
      </c>
      <c r="CR24">
        <f t="shared" ca="1" si="53"/>
        <v>15</v>
      </c>
      <c r="CS24" s="21">
        <f t="shared" ca="1" si="105"/>
        <v>15</v>
      </c>
      <c r="CT24" s="21">
        <f t="shared" ca="1" si="54"/>
        <v>1</v>
      </c>
      <c r="CU24" s="41">
        <f t="shared" ca="1" si="55"/>
        <v>15</v>
      </c>
      <c r="CV24" s="21" t="str">
        <f t="shared" ca="1" si="56"/>
        <v>Paraguay</v>
      </c>
      <c r="CW24" s="43">
        <f t="shared" ca="1" si="57"/>
        <v>31.4</v>
      </c>
      <c r="CX24" s="43">
        <f t="shared" ca="1" si="58"/>
        <v>59.4</v>
      </c>
      <c r="CY24" s="43">
        <f t="shared" ca="1" si="59"/>
        <v>-28</v>
      </c>
      <c r="CZ24" s="38">
        <f t="shared" ca="1" si="60"/>
        <v>-28</v>
      </c>
      <c r="DB24" s="38">
        <f t="shared" ca="1" si="61"/>
        <v>25</v>
      </c>
      <c r="DC24" s="38">
        <f t="shared" ca="1" si="62"/>
        <v>25</v>
      </c>
      <c r="DD24" s="38">
        <f t="shared" ca="1" si="106"/>
        <v>0</v>
      </c>
      <c r="DE24" s="47" t="str">
        <f t="shared" ca="1" si="107"/>
        <v>-</v>
      </c>
      <c r="DF24" s="38">
        <f t="shared" ca="1" si="108"/>
        <v>25</v>
      </c>
      <c r="DG24">
        <f ca="1">RANK(DF24,DF$10:DF$28)+COUNTIF(DF$10:DF24,DF24)-1</f>
        <v>13</v>
      </c>
      <c r="DH24">
        <f t="shared" ca="1" si="63"/>
        <v>7</v>
      </c>
      <c r="DI24" s="21">
        <f t="shared" ca="1" si="109"/>
        <v>15</v>
      </c>
      <c r="DJ24" s="21">
        <f t="shared" ca="1" si="64"/>
        <v>1</v>
      </c>
      <c r="DK24" s="41">
        <f t="shared" ca="1" si="65"/>
        <v>15</v>
      </c>
      <c r="DL24" s="21" t="str">
        <f t="shared" ca="1" si="66"/>
        <v>Ecuador</v>
      </c>
      <c r="DM24" s="43">
        <f t="shared" ca="1" si="67"/>
        <v>16.7</v>
      </c>
      <c r="DN24" s="43">
        <f t="shared" ca="1" si="68"/>
        <v>16.7</v>
      </c>
      <c r="DO24" s="43" t="str">
        <f t="shared" ca="1" si="69"/>
        <v>-</v>
      </c>
      <c r="DP24" s="38">
        <f t="shared" ca="1" si="70"/>
        <v>0</v>
      </c>
      <c r="DR24" s="38">
        <f t="shared" ca="1" si="71"/>
        <v>25</v>
      </c>
      <c r="DS24" s="38" t="e">
        <f t="shared" ca="1" si="72"/>
        <v>#REF!</v>
      </c>
      <c r="DT24" s="38" t="e">
        <f t="shared" ca="1" si="110"/>
        <v>#REF!</v>
      </c>
      <c r="DU24" s="47" t="e">
        <f t="shared" ca="1" si="111"/>
        <v>#REF!</v>
      </c>
      <c r="DV24" s="38">
        <f t="shared" ca="1" si="112"/>
        <v>25</v>
      </c>
      <c r="DW24">
        <f ca="1">RANK(DV24,DV$10:DV$28)+COUNTIF(DV$10:DV24,DV24)-1</f>
        <v>11</v>
      </c>
      <c r="DX24">
        <f t="shared" ca="1" si="73"/>
        <v>8</v>
      </c>
      <c r="DY24" s="21" t="e">
        <f t="shared" ca="1" si="113"/>
        <v>#REF!</v>
      </c>
      <c r="DZ24" s="21">
        <f t="shared" ca="1" si="74"/>
        <v>1</v>
      </c>
      <c r="EA24" s="41" t="e">
        <f t="shared" ca="1" si="75"/>
        <v>#REF!</v>
      </c>
      <c r="EB24" s="21" t="str">
        <f t="shared" ca="1" si="76"/>
        <v>El Salvador</v>
      </c>
      <c r="EC24" s="43">
        <f t="shared" ca="1" si="77"/>
        <v>0</v>
      </c>
      <c r="ED24" s="43" t="e">
        <f t="shared" ca="1" si="78"/>
        <v>#REF!</v>
      </c>
      <c r="EE24" s="43" t="e">
        <f t="shared" ca="1" si="79"/>
        <v>#REF!</v>
      </c>
      <c r="EF24" s="38" t="e">
        <f t="shared" ca="1" si="80"/>
        <v>#REF!</v>
      </c>
    </row>
    <row r="25" spans="1:136">
      <c r="A25">
        <v>16</v>
      </c>
      <c r="B25" t="str">
        <f>tblCountries!E21</f>
        <v>Peru</v>
      </c>
      <c r="C25">
        <f>tblCountries!A21</f>
        <v>16</v>
      </c>
      <c r="D25">
        <f ca="1">tblCountries!F21</f>
        <v>1</v>
      </c>
      <c r="G25" s="38">
        <f t="shared" ca="1" si="0"/>
        <v>75</v>
      </c>
      <c r="H25" s="47">
        <f t="shared" ca="1" si="1"/>
        <v>3</v>
      </c>
      <c r="I25" s="38">
        <f t="shared" ca="1" si="2"/>
        <v>75</v>
      </c>
      <c r="J25" s="38">
        <f t="shared" ca="1" si="3"/>
        <v>3</v>
      </c>
      <c r="K25" s="47">
        <f t="shared" si="81"/>
        <v>0</v>
      </c>
      <c r="L25" s="47" t="str">
        <f t="shared" si="82"/>
        <v>-</v>
      </c>
      <c r="M25" s="38">
        <f t="shared" ca="1" si="83"/>
        <v>75</v>
      </c>
      <c r="N25">
        <f ca="1">RANK(M25,M$10:M$28)+COUNTIF(M$10:M25,M25)-1</f>
        <v>4</v>
      </c>
      <c r="O25">
        <f t="shared" ca="1" si="4"/>
        <v>17</v>
      </c>
      <c r="P25" s="21">
        <f t="shared" ca="1" si="84"/>
        <v>9</v>
      </c>
      <c r="Q25" s="21">
        <f t="shared" ca="1" si="5"/>
        <v>1</v>
      </c>
      <c r="R25" s="41" t="str">
        <f t="shared" ca="1" si="6"/>
        <v>=9</v>
      </c>
      <c r="S25" s="21" t="str">
        <f t="shared" ca="1" si="7"/>
        <v>Trinidad &amp; Tobago</v>
      </c>
      <c r="T25" s="41" t="str">
        <f t="shared" ca="1" si="8"/>
        <v>1</v>
      </c>
      <c r="U25" s="43">
        <f t="shared" ca="1" si="9"/>
        <v>25</v>
      </c>
      <c r="V25" s="43" t="str">
        <f t="shared" ca="1" si="10"/>
        <v>-</v>
      </c>
      <c r="W25" t="str">
        <f t="shared" ca="1" si="85"/>
        <v>-</v>
      </c>
      <c r="Z25" s="38">
        <f t="shared" ca="1" si="11"/>
        <v>67.2</v>
      </c>
      <c r="AA25" s="38">
        <f t="shared" ca="1" si="12"/>
        <v>58.9</v>
      </c>
      <c r="AB25" s="38">
        <f t="shared" ca="1" si="86"/>
        <v>8.3000000000000043</v>
      </c>
      <c r="AC25" s="47">
        <f t="shared" ca="1" si="87"/>
        <v>8.3000000000000043</v>
      </c>
      <c r="AD25" s="38">
        <f t="shared" ca="1" si="88"/>
        <v>67.2</v>
      </c>
      <c r="AE25">
        <f ca="1">RANK(AD25,AD$10:AD$28)+COUNTIF(AD$10:AD25,AD25)-1</f>
        <v>3</v>
      </c>
      <c r="AF25">
        <f t="shared" ca="1" si="13"/>
        <v>6</v>
      </c>
      <c r="AG25" s="21">
        <f t="shared" ca="1" si="89"/>
        <v>16</v>
      </c>
      <c r="AH25" s="21">
        <f t="shared" ca="1" si="14"/>
        <v>1</v>
      </c>
      <c r="AI25" s="41">
        <f t="shared" ca="1" si="15"/>
        <v>16</v>
      </c>
      <c r="AJ25" s="21" t="str">
        <f t="shared" ca="1" si="16"/>
        <v>Dominican Rep.</v>
      </c>
      <c r="AK25" s="43">
        <f t="shared" ca="1" si="17"/>
        <v>23.7</v>
      </c>
      <c r="AL25" s="43">
        <f t="shared" ca="1" si="18"/>
        <v>25.2</v>
      </c>
      <c r="AM25" s="43">
        <f t="shared" ca="1" si="19"/>
        <v>-1.5</v>
      </c>
      <c r="AN25" s="38">
        <f t="shared" ca="1" si="20"/>
        <v>-1.5</v>
      </c>
      <c r="AP25" s="38">
        <f t="shared" ca="1" si="21"/>
        <v>75</v>
      </c>
      <c r="AQ25" s="38">
        <f t="shared" ca="1" si="22"/>
        <v>66.7</v>
      </c>
      <c r="AR25" s="38">
        <f t="shared" ca="1" si="90"/>
        <v>8.2999999999999972</v>
      </c>
      <c r="AS25" s="47">
        <f t="shared" ca="1" si="91"/>
        <v>8.2999999999999972</v>
      </c>
      <c r="AT25" s="38">
        <f t="shared" ca="1" si="92"/>
        <v>75</v>
      </c>
      <c r="AU25">
        <f ca="1">RANK(AT25,AT$10:AT$28)+COUNTIF(AT$10:AT25,AT25)-1</f>
        <v>2</v>
      </c>
      <c r="AV25">
        <f t="shared" ca="1" si="23"/>
        <v>13</v>
      </c>
      <c r="AW25" s="21">
        <f t="shared" ca="1" si="93"/>
        <v>16</v>
      </c>
      <c r="AX25" s="21">
        <f t="shared" ca="1" si="24"/>
        <v>1</v>
      </c>
      <c r="AY25" s="41">
        <f t="shared" ca="1" si="25"/>
        <v>16</v>
      </c>
      <c r="AZ25" s="21" t="str">
        <f t="shared" ca="1" si="26"/>
        <v>Nicaragua</v>
      </c>
      <c r="BA25" s="43">
        <f t="shared" ca="1" si="27"/>
        <v>21.9</v>
      </c>
      <c r="BB25" s="43">
        <f t="shared" ca="1" si="28"/>
        <v>5.6</v>
      </c>
      <c r="BC25" s="43">
        <f t="shared" ca="1" si="29"/>
        <v>16.299999999999997</v>
      </c>
      <c r="BD25" s="38">
        <f t="shared" ca="1" si="30"/>
        <v>16.299999999999997</v>
      </c>
      <c r="BF25" s="38">
        <f t="shared" ca="1" si="31"/>
        <v>75</v>
      </c>
      <c r="BG25" s="38">
        <f t="shared" ca="1" si="32"/>
        <v>50</v>
      </c>
      <c r="BH25" s="38">
        <f t="shared" ca="1" si="94"/>
        <v>25</v>
      </c>
      <c r="BI25" s="47">
        <f t="shared" ca="1" si="95"/>
        <v>25</v>
      </c>
      <c r="BJ25" s="38">
        <f t="shared" ca="1" si="96"/>
        <v>75</v>
      </c>
      <c r="BK25">
        <f ca="1">RANK(BJ25,BJ$10:BJ$28)+COUNTIF(BJ$10:BJ25,BJ25)-1</f>
        <v>3</v>
      </c>
      <c r="BL25">
        <f t="shared" ca="1" si="33"/>
        <v>17</v>
      </c>
      <c r="BM25" s="21">
        <f t="shared" ca="1" si="97"/>
        <v>15</v>
      </c>
      <c r="BN25" s="21">
        <f t="shared" ca="1" si="34"/>
        <v>1</v>
      </c>
      <c r="BO25" s="41" t="str">
        <f t="shared" ca="1" si="35"/>
        <v>=15</v>
      </c>
      <c r="BP25" s="21" t="str">
        <f t="shared" ca="1" si="36"/>
        <v>Trinidad &amp; Tobago</v>
      </c>
      <c r="BQ25" s="43">
        <f t="shared" ca="1" si="37"/>
        <v>25</v>
      </c>
      <c r="BR25" s="43">
        <f t="shared" ca="1" si="38"/>
        <v>25</v>
      </c>
      <c r="BS25" s="43" t="str">
        <f t="shared" ca="1" si="39"/>
        <v>-</v>
      </c>
      <c r="BT25" s="38">
        <f t="shared" ca="1" si="40"/>
        <v>0</v>
      </c>
      <c r="BV25" s="38">
        <f t="shared" ca="1" si="41"/>
        <v>53.6</v>
      </c>
      <c r="BW25" s="38">
        <f t="shared" ca="1" si="42"/>
        <v>53</v>
      </c>
      <c r="BX25" s="38">
        <f t="shared" ca="1" si="98"/>
        <v>0.60000000000000142</v>
      </c>
      <c r="BY25" s="47">
        <f t="shared" ca="1" si="99"/>
        <v>0.60000000000000142</v>
      </c>
      <c r="BZ25" s="38">
        <f t="shared" ca="1" si="100"/>
        <v>53.6</v>
      </c>
      <c r="CA25">
        <f ca="1">RANK(BZ25,BZ$10:BZ$28)+COUNTIF(BZ$10:BZ25,BZ25)-1</f>
        <v>4</v>
      </c>
      <c r="CB25">
        <f t="shared" ca="1" si="43"/>
        <v>13</v>
      </c>
      <c r="CC25" s="21">
        <f t="shared" ca="1" si="101"/>
        <v>16</v>
      </c>
      <c r="CD25" s="21">
        <f t="shared" ca="1" si="44"/>
        <v>1</v>
      </c>
      <c r="CE25" s="41">
        <f t="shared" ca="1" si="45"/>
        <v>16</v>
      </c>
      <c r="CF25" s="21" t="str">
        <f t="shared" ca="1" si="46"/>
        <v>Nicaragua</v>
      </c>
      <c r="CG25" s="43">
        <f t="shared" ca="1" si="47"/>
        <v>13.1</v>
      </c>
      <c r="CH25" s="43">
        <f t="shared" ca="1" si="48"/>
        <v>8.5</v>
      </c>
      <c r="CI25" s="43">
        <f t="shared" ca="1" si="49"/>
        <v>4.5999999999999996</v>
      </c>
      <c r="CJ25" s="38">
        <f t="shared" ca="1" si="50"/>
        <v>4.5999999999999996</v>
      </c>
      <c r="CL25" s="38">
        <f t="shared" ca="1" si="51"/>
        <v>75.2</v>
      </c>
      <c r="CM25" s="38">
        <f t="shared" ca="1" si="52"/>
        <v>70</v>
      </c>
      <c r="CN25" s="38">
        <f t="shared" ca="1" si="102"/>
        <v>5.2000000000000028</v>
      </c>
      <c r="CO25" s="47">
        <f t="shared" ca="1" si="103"/>
        <v>5.2000000000000028</v>
      </c>
      <c r="CP25" s="38">
        <f t="shared" ca="1" si="104"/>
        <v>75.2</v>
      </c>
      <c r="CQ25">
        <f ca="1">RANK(CP25,CP$10:CP$28)+COUNTIF(CP$10:CP25,CP25)-1</f>
        <v>2</v>
      </c>
      <c r="CR25">
        <f t="shared" ca="1" si="53"/>
        <v>1</v>
      </c>
      <c r="CS25" s="21">
        <f t="shared" ca="1" si="105"/>
        <v>16</v>
      </c>
      <c r="CT25" s="21">
        <f t="shared" ca="1" si="54"/>
        <v>1</v>
      </c>
      <c r="CU25" s="41">
        <f t="shared" ca="1" si="55"/>
        <v>16</v>
      </c>
      <c r="CV25" s="21" t="str">
        <f t="shared" ca="1" si="56"/>
        <v>Argentina</v>
      </c>
      <c r="CW25" s="43">
        <f t="shared" ca="1" si="57"/>
        <v>19</v>
      </c>
      <c r="CX25" s="43">
        <f t="shared" ca="1" si="58"/>
        <v>51.6</v>
      </c>
      <c r="CY25" s="43">
        <f t="shared" ca="1" si="59"/>
        <v>-32.6</v>
      </c>
      <c r="CZ25" s="38">
        <f t="shared" ca="1" si="60"/>
        <v>-32.6</v>
      </c>
      <c r="DB25" s="38">
        <f t="shared" ca="1" si="61"/>
        <v>61.1</v>
      </c>
      <c r="DC25" s="38">
        <f t="shared" ca="1" si="62"/>
        <v>58.3</v>
      </c>
      <c r="DD25" s="38">
        <f t="shared" ca="1" si="106"/>
        <v>2.8000000000000043</v>
      </c>
      <c r="DE25" s="47">
        <f t="shared" ca="1" si="107"/>
        <v>2.8000000000000043</v>
      </c>
      <c r="DF25" s="38">
        <f t="shared" ca="1" si="108"/>
        <v>61.1</v>
      </c>
      <c r="DG25">
        <f ca="1">RANK(DF25,DF$10:DF$28)+COUNTIF(DF$10:DF25,DF25)-1</f>
        <v>5</v>
      </c>
      <c r="DH25">
        <f t="shared" ca="1" si="63"/>
        <v>11</v>
      </c>
      <c r="DI25" s="21">
        <f t="shared" ca="1" si="109"/>
        <v>16</v>
      </c>
      <c r="DJ25" s="21">
        <f t="shared" ca="1" si="64"/>
        <v>1</v>
      </c>
      <c r="DK25" s="41">
        <f t="shared" ca="1" si="65"/>
        <v>16</v>
      </c>
      <c r="DL25" s="21" t="str">
        <f t="shared" ca="1" si="66"/>
        <v>Jamaica</v>
      </c>
      <c r="DM25" s="43">
        <f t="shared" ca="1" si="67"/>
        <v>16.7</v>
      </c>
      <c r="DN25" s="43">
        <f t="shared" ca="1" si="68"/>
        <v>12.5</v>
      </c>
      <c r="DO25" s="43">
        <f t="shared" ca="1" si="69"/>
        <v>4.1999999999999993</v>
      </c>
      <c r="DP25" s="38">
        <f t="shared" ca="1" si="70"/>
        <v>4.1999999999999993</v>
      </c>
      <c r="DR25" s="38">
        <f t="shared" ca="1" si="71"/>
        <v>50</v>
      </c>
      <c r="DS25" s="38" t="e">
        <f t="shared" ca="1" si="72"/>
        <v>#REF!</v>
      </c>
      <c r="DT25" s="38" t="e">
        <f t="shared" ca="1" si="110"/>
        <v>#REF!</v>
      </c>
      <c r="DU25" s="47" t="e">
        <f t="shared" ca="1" si="111"/>
        <v>#REF!</v>
      </c>
      <c r="DV25" s="38">
        <f t="shared" ca="1" si="112"/>
        <v>50</v>
      </c>
      <c r="DW25">
        <f ca="1">RANK(DV25,DV$10:DV$28)+COUNTIF(DV$10:DV25,DV25)-1</f>
        <v>6</v>
      </c>
      <c r="DX25">
        <f t="shared" ca="1" si="73"/>
        <v>10</v>
      </c>
      <c r="DY25" s="21" t="e">
        <f t="shared" ca="1" si="113"/>
        <v>#REF!</v>
      </c>
      <c r="DZ25" s="21">
        <f t="shared" ca="1" si="74"/>
        <v>1</v>
      </c>
      <c r="EA25" s="41" t="e">
        <f t="shared" ca="1" si="75"/>
        <v>#REF!</v>
      </c>
      <c r="EB25" s="21" t="str">
        <f t="shared" ca="1" si="76"/>
        <v>Honduras</v>
      </c>
      <c r="EC25" s="43">
        <f t="shared" ca="1" si="77"/>
        <v>0</v>
      </c>
      <c r="ED25" s="43" t="e">
        <f t="shared" ca="1" si="78"/>
        <v>#REF!</v>
      </c>
      <c r="EE25" s="43" t="e">
        <f t="shared" ca="1" si="79"/>
        <v>#REF!</v>
      </c>
      <c r="EF25" s="38" t="e">
        <f t="shared" ca="1" si="80"/>
        <v>#REF!</v>
      </c>
    </row>
    <row r="26" spans="1:136">
      <c r="A26">
        <v>17</v>
      </c>
      <c r="B26" t="str">
        <f>tblCountries!E22</f>
        <v>Trinidad &amp; Tobago</v>
      </c>
      <c r="C26">
        <f>tblCountries!A22</f>
        <v>17</v>
      </c>
      <c r="D26">
        <f ca="1">tblCountries!F22</f>
        <v>1</v>
      </c>
      <c r="G26" s="38">
        <f t="shared" ca="1" si="0"/>
        <v>25</v>
      </c>
      <c r="H26" s="47">
        <f t="shared" ca="1" si="1"/>
        <v>1</v>
      </c>
      <c r="I26" s="38">
        <f t="shared" ca="1" si="2"/>
        <v>25</v>
      </c>
      <c r="J26" s="38">
        <f t="shared" ca="1" si="3"/>
        <v>1</v>
      </c>
      <c r="K26" s="47">
        <f t="shared" si="81"/>
        <v>0</v>
      </c>
      <c r="L26" s="47" t="str">
        <f t="shared" si="82"/>
        <v>-</v>
      </c>
      <c r="M26" s="38">
        <f t="shared" ca="1" si="83"/>
        <v>25</v>
      </c>
      <c r="N26">
        <f ca="1">RANK(M26,M$10:M$28)+COUNTIF(M$10:M26,M26)-1</f>
        <v>16</v>
      </c>
      <c r="O26">
        <f t="shared" ca="1" si="4"/>
        <v>18</v>
      </c>
      <c r="P26" s="21">
        <f t="shared" ca="1" si="84"/>
        <v>9</v>
      </c>
      <c r="Q26" s="21">
        <f t="shared" ca="1" si="5"/>
        <v>1</v>
      </c>
      <c r="R26" s="41" t="str">
        <f t="shared" ca="1" si="6"/>
        <v>=9</v>
      </c>
      <c r="S26" s="21" t="str">
        <f t="shared" ca="1" si="7"/>
        <v>Uruguay</v>
      </c>
      <c r="T26" s="41" t="str">
        <f t="shared" ca="1" si="8"/>
        <v>1</v>
      </c>
      <c r="U26" s="43">
        <f t="shared" ca="1" si="9"/>
        <v>25</v>
      </c>
      <c r="V26" s="43" t="str">
        <f t="shared" ca="1" si="10"/>
        <v>-</v>
      </c>
      <c r="W26" t="str">
        <f t="shared" ca="1" si="85"/>
        <v>-</v>
      </c>
      <c r="Z26" s="38">
        <f t="shared" ca="1" si="11"/>
        <v>29.9</v>
      </c>
      <c r="AA26" s="38">
        <f t="shared" ca="1" si="12"/>
        <v>22.9</v>
      </c>
      <c r="AB26" s="38">
        <f t="shared" ca="1" si="86"/>
        <v>7</v>
      </c>
      <c r="AC26" s="47">
        <f t="shared" ca="1" si="87"/>
        <v>7</v>
      </c>
      <c r="AD26" s="38">
        <f t="shared" ca="1" si="88"/>
        <v>29.9</v>
      </c>
      <c r="AE26">
        <f ca="1">RANK(AD26,AD$10:AD$28)+COUNTIF(AD$10:AD26,AD26)-1</f>
        <v>11</v>
      </c>
      <c r="AF26">
        <f t="shared" ca="1" si="13"/>
        <v>13</v>
      </c>
      <c r="AG26" s="21">
        <f t="shared" ca="1" si="89"/>
        <v>17</v>
      </c>
      <c r="AH26" s="21">
        <f t="shared" ca="1" si="14"/>
        <v>1</v>
      </c>
      <c r="AI26" s="41">
        <f t="shared" ca="1" si="15"/>
        <v>17</v>
      </c>
      <c r="AJ26" s="21" t="str">
        <f t="shared" ca="1" si="16"/>
        <v>Nicaragua</v>
      </c>
      <c r="AK26" s="43">
        <f t="shared" ca="1" si="17"/>
        <v>16</v>
      </c>
      <c r="AL26" s="43">
        <f t="shared" ca="1" si="18"/>
        <v>10</v>
      </c>
      <c r="AM26" s="43">
        <f t="shared" ca="1" si="19"/>
        <v>6</v>
      </c>
      <c r="AN26" s="38">
        <f t="shared" ca="1" si="20"/>
        <v>6</v>
      </c>
      <c r="AP26" s="38">
        <f t="shared" ca="1" si="21"/>
        <v>25</v>
      </c>
      <c r="AQ26" s="38">
        <f t="shared" ca="1" si="22"/>
        <v>25</v>
      </c>
      <c r="AR26" s="38">
        <f t="shared" ca="1" si="90"/>
        <v>0</v>
      </c>
      <c r="AS26" s="47" t="str">
        <f t="shared" ca="1" si="91"/>
        <v>-</v>
      </c>
      <c r="AT26" s="38">
        <f t="shared" ca="1" si="92"/>
        <v>25</v>
      </c>
      <c r="AU26">
        <f ca="1">RANK(AT26,AT$10:AT$28)+COUNTIF(AT$10:AT26,AT26)-1</f>
        <v>13</v>
      </c>
      <c r="AV26">
        <f t="shared" ca="1" si="23"/>
        <v>10</v>
      </c>
      <c r="AW26" s="21">
        <f t="shared" ca="1" si="93"/>
        <v>17</v>
      </c>
      <c r="AX26" s="21">
        <f t="shared" ca="1" si="24"/>
        <v>1</v>
      </c>
      <c r="AY26" s="41">
        <f t="shared" ca="1" si="25"/>
        <v>17</v>
      </c>
      <c r="AZ26" s="21" t="str">
        <f t="shared" ca="1" si="26"/>
        <v>Honduras</v>
      </c>
      <c r="BA26" s="43">
        <f t="shared" ca="1" si="27"/>
        <v>15.6</v>
      </c>
      <c r="BB26" s="43">
        <f t="shared" ca="1" si="28"/>
        <v>16.7</v>
      </c>
      <c r="BC26" s="43">
        <f t="shared" ca="1" si="29"/>
        <v>-1.0999999999999996</v>
      </c>
      <c r="BD26" s="38">
        <f t="shared" ca="1" si="30"/>
        <v>-1.0999999999999996</v>
      </c>
      <c r="BF26" s="38">
        <f t="shared" ca="1" si="31"/>
        <v>25</v>
      </c>
      <c r="BG26" s="38">
        <f t="shared" ca="1" si="32"/>
        <v>25</v>
      </c>
      <c r="BH26" s="38">
        <f t="shared" ca="1" si="94"/>
        <v>0</v>
      </c>
      <c r="BI26" s="47" t="str">
        <f t="shared" ca="1" si="95"/>
        <v>-</v>
      </c>
      <c r="BJ26" s="38">
        <f t="shared" ca="1" si="96"/>
        <v>25</v>
      </c>
      <c r="BK26">
        <f ca="1">RANK(BJ26,BJ$10:BJ$28)+COUNTIF(BJ$10:BJ26,BJ26)-1</f>
        <v>16</v>
      </c>
      <c r="BL26">
        <f t="shared" ca="1" si="33"/>
        <v>6</v>
      </c>
      <c r="BM26" s="21">
        <f t="shared" ca="1" si="97"/>
        <v>17</v>
      </c>
      <c r="BN26" s="21">
        <f t="shared" ca="1" si="34"/>
        <v>1</v>
      </c>
      <c r="BO26" s="41">
        <f t="shared" ca="1" si="35"/>
        <v>17</v>
      </c>
      <c r="BP26" s="21" t="str">
        <f t="shared" ca="1" si="36"/>
        <v>Dominican Rep.</v>
      </c>
      <c r="BQ26" s="43">
        <f t="shared" ca="1" si="37"/>
        <v>8.3000000000000007</v>
      </c>
      <c r="BR26" s="43">
        <f t="shared" ca="1" si="38"/>
        <v>25</v>
      </c>
      <c r="BS26" s="43">
        <f t="shared" ca="1" si="39"/>
        <v>-16.7</v>
      </c>
      <c r="BT26" s="38">
        <f t="shared" ca="1" si="40"/>
        <v>-16.7</v>
      </c>
      <c r="BV26" s="38">
        <f t="shared" ca="1" si="41"/>
        <v>9.5</v>
      </c>
      <c r="BW26" s="38">
        <f t="shared" ca="1" si="42"/>
        <v>4.3</v>
      </c>
      <c r="BX26" s="38">
        <f t="shared" ca="1" si="98"/>
        <v>5.2</v>
      </c>
      <c r="BY26" s="47">
        <f t="shared" ca="1" si="99"/>
        <v>5.2</v>
      </c>
      <c r="BZ26" s="38">
        <f t="shared" ca="1" si="100"/>
        <v>9.5</v>
      </c>
      <c r="CA26">
        <f ca="1">RANK(BZ26,BZ$10:BZ$28)+COUNTIF(BZ$10:BZ26,BZ26)-1</f>
        <v>18</v>
      </c>
      <c r="CB26">
        <f t="shared" ca="1" si="43"/>
        <v>14</v>
      </c>
      <c r="CC26" s="21">
        <f t="shared" ca="1" si="101"/>
        <v>17</v>
      </c>
      <c r="CD26" s="21">
        <f t="shared" ca="1" si="44"/>
        <v>1</v>
      </c>
      <c r="CE26" s="41">
        <f t="shared" ca="1" si="45"/>
        <v>17</v>
      </c>
      <c r="CF26" s="21" t="str">
        <f t="shared" ca="1" si="46"/>
        <v>Panama</v>
      </c>
      <c r="CG26" s="43">
        <f t="shared" ca="1" si="47"/>
        <v>13.1</v>
      </c>
      <c r="CH26" s="43">
        <f t="shared" ca="1" si="48"/>
        <v>8.8000000000000007</v>
      </c>
      <c r="CI26" s="43">
        <f t="shared" ca="1" si="49"/>
        <v>4.2999999999999989</v>
      </c>
      <c r="CJ26" s="38">
        <f t="shared" ca="1" si="50"/>
        <v>4.2999999999999989</v>
      </c>
      <c r="CL26" s="38">
        <f t="shared" ca="1" si="51"/>
        <v>39.9</v>
      </c>
      <c r="CM26" s="38">
        <f t="shared" ca="1" si="52"/>
        <v>64.3</v>
      </c>
      <c r="CN26" s="38">
        <f t="shared" ca="1" si="102"/>
        <v>-24.4</v>
      </c>
      <c r="CO26" s="47">
        <f t="shared" ca="1" si="103"/>
        <v>-24.4</v>
      </c>
      <c r="CP26" s="38">
        <f t="shared" ca="1" si="104"/>
        <v>39.9</v>
      </c>
      <c r="CQ26">
        <f ca="1">RANK(CP26,CP$10:CP$28)+COUNTIF(CP$10:CP26,CP26)-1</f>
        <v>13</v>
      </c>
      <c r="CR26">
        <f t="shared" ca="1" si="53"/>
        <v>7</v>
      </c>
      <c r="CS26" s="21">
        <f t="shared" ca="1" si="105"/>
        <v>17</v>
      </c>
      <c r="CT26" s="21">
        <f t="shared" ca="1" si="54"/>
        <v>1</v>
      </c>
      <c r="CU26" s="41">
        <f t="shared" ca="1" si="55"/>
        <v>17</v>
      </c>
      <c r="CV26" s="21" t="str">
        <f t="shared" ca="1" si="56"/>
        <v>Ecuador</v>
      </c>
      <c r="CW26" s="43">
        <f t="shared" ca="1" si="57"/>
        <v>17.899999999999999</v>
      </c>
      <c r="CX26" s="43">
        <f t="shared" ca="1" si="58"/>
        <v>38.4</v>
      </c>
      <c r="CY26" s="43">
        <f t="shared" ca="1" si="59"/>
        <v>-20.5</v>
      </c>
      <c r="CZ26" s="38">
        <f t="shared" ca="1" si="60"/>
        <v>-20.5</v>
      </c>
      <c r="DB26" s="38">
        <f t="shared" ca="1" si="61"/>
        <v>58.3</v>
      </c>
      <c r="DC26" s="38">
        <f t="shared" ca="1" si="62"/>
        <v>58.3</v>
      </c>
      <c r="DD26" s="38">
        <f t="shared" ca="1" si="106"/>
        <v>0</v>
      </c>
      <c r="DE26" s="47" t="str">
        <f t="shared" ca="1" si="107"/>
        <v>-</v>
      </c>
      <c r="DF26" s="38">
        <f t="shared" ca="1" si="108"/>
        <v>58.3</v>
      </c>
      <c r="DG26">
        <f ca="1">RANK(DF26,DF$10:DF$28)+COUNTIF(DF$10:DF26,DF26)-1</f>
        <v>6</v>
      </c>
      <c r="DH26">
        <f t="shared" ca="1" si="63"/>
        <v>19</v>
      </c>
      <c r="DI26" s="21">
        <f t="shared" ca="1" si="109"/>
        <v>17</v>
      </c>
      <c r="DJ26" s="21">
        <f t="shared" ca="1" si="64"/>
        <v>1</v>
      </c>
      <c r="DK26" s="41">
        <f t="shared" ca="1" si="65"/>
        <v>17</v>
      </c>
      <c r="DL26" s="21" t="str">
        <f t="shared" ca="1" si="66"/>
        <v>Venezuela</v>
      </c>
      <c r="DM26" s="43">
        <f t="shared" ca="1" si="67"/>
        <v>16.7</v>
      </c>
      <c r="DN26" s="43">
        <f t="shared" ca="1" si="68"/>
        <v>20.8</v>
      </c>
      <c r="DO26" s="43">
        <f t="shared" ca="1" si="69"/>
        <v>-4.1000000000000014</v>
      </c>
      <c r="DP26" s="38">
        <f t="shared" ca="1" si="70"/>
        <v>-4.1000000000000014</v>
      </c>
      <c r="DR26" s="38">
        <f t="shared" ca="1" si="71"/>
        <v>25</v>
      </c>
      <c r="DS26" s="38" t="e">
        <f t="shared" ca="1" si="72"/>
        <v>#REF!</v>
      </c>
      <c r="DT26" s="38" t="e">
        <f t="shared" ca="1" si="110"/>
        <v>#REF!</v>
      </c>
      <c r="DU26" s="47" t="e">
        <f t="shared" ca="1" si="111"/>
        <v>#REF!</v>
      </c>
      <c r="DV26" s="38">
        <f t="shared" ca="1" si="112"/>
        <v>25</v>
      </c>
      <c r="DW26">
        <f ca="1">RANK(DV26,DV$10:DV$28)+COUNTIF(DV$10:DV26,DV26)-1</f>
        <v>12</v>
      </c>
      <c r="DX26">
        <f t="shared" ca="1" si="73"/>
        <v>13</v>
      </c>
      <c r="DY26" s="21" t="e">
        <f t="shared" ca="1" si="113"/>
        <v>#REF!</v>
      </c>
      <c r="DZ26" s="21">
        <f t="shared" ca="1" si="74"/>
        <v>1</v>
      </c>
      <c r="EA26" s="41" t="e">
        <f t="shared" ca="1" si="75"/>
        <v>#REF!</v>
      </c>
      <c r="EB26" s="21" t="str">
        <f t="shared" ca="1" si="76"/>
        <v>Nicaragua</v>
      </c>
      <c r="EC26" s="43">
        <f t="shared" ca="1" si="77"/>
        <v>0</v>
      </c>
      <c r="ED26" s="43" t="e">
        <f t="shared" ca="1" si="78"/>
        <v>#REF!</v>
      </c>
      <c r="EE26" s="43" t="e">
        <f t="shared" ca="1" si="79"/>
        <v>#REF!</v>
      </c>
      <c r="EF26" s="38" t="e">
        <f t="shared" ca="1" si="80"/>
        <v>#REF!</v>
      </c>
    </row>
    <row r="27" spans="1:136">
      <c r="A27">
        <v>18</v>
      </c>
      <c r="B27" t="str">
        <f>tblCountries!E23</f>
        <v>Uruguay</v>
      </c>
      <c r="C27">
        <f>tblCountries!A23</f>
        <v>18</v>
      </c>
      <c r="D27">
        <f ca="1">tblCountries!F23</f>
        <v>1</v>
      </c>
      <c r="G27" s="38">
        <f t="shared" ca="1" si="0"/>
        <v>25</v>
      </c>
      <c r="H27" s="47">
        <f t="shared" ca="1" si="1"/>
        <v>1</v>
      </c>
      <c r="I27" s="38">
        <f t="shared" ca="1" si="2"/>
        <v>25</v>
      </c>
      <c r="J27" s="38">
        <f t="shared" ca="1" si="3"/>
        <v>1</v>
      </c>
      <c r="K27" s="47">
        <f t="shared" si="81"/>
        <v>0</v>
      </c>
      <c r="L27" s="47" t="str">
        <f t="shared" si="82"/>
        <v>-</v>
      </c>
      <c r="M27" s="38">
        <f t="shared" ca="1" si="83"/>
        <v>25</v>
      </c>
      <c r="N27">
        <f ca="1">RANK(M27,M$10:M$28)+COUNTIF(M$10:M27,M27)-1</f>
        <v>17</v>
      </c>
      <c r="O27">
        <f t="shared" ca="1" si="4"/>
        <v>7</v>
      </c>
      <c r="P27" s="21">
        <f t="shared" ca="1" si="84"/>
        <v>18</v>
      </c>
      <c r="Q27" s="21">
        <f t="shared" ca="1" si="5"/>
        <v>1</v>
      </c>
      <c r="R27" s="41" t="str">
        <f t="shared" ca="1" si="6"/>
        <v>=18</v>
      </c>
      <c r="S27" s="21" t="str">
        <f t="shared" ca="1" si="7"/>
        <v>Ecuador</v>
      </c>
      <c r="T27" s="41" t="str">
        <f t="shared" ca="1" si="8"/>
        <v>0</v>
      </c>
      <c r="U27" s="43">
        <f t="shared" ca="1" si="9"/>
        <v>0</v>
      </c>
      <c r="V27" s="43" t="str">
        <f t="shared" ca="1" si="10"/>
        <v>-</v>
      </c>
      <c r="W27" t="str">
        <f t="shared" ca="1" si="85"/>
        <v>-</v>
      </c>
      <c r="Z27" s="38">
        <f t="shared" ca="1" si="11"/>
        <v>31.8</v>
      </c>
      <c r="AA27" s="38">
        <f t="shared" ca="1" si="12"/>
        <v>27.3</v>
      </c>
      <c r="AB27" s="38">
        <f t="shared" ca="1" si="86"/>
        <v>4.5</v>
      </c>
      <c r="AC27" s="47">
        <f t="shared" ca="1" si="87"/>
        <v>4.5</v>
      </c>
      <c r="AD27" s="38">
        <f t="shared" ca="1" si="88"/>
        <v>31.8</v>
      </c>
      <c r="AE27">
        <f ca="1">RANK(AD27,AD$10:AD$28)+COUNTIF(AD$10:AD27,AD27)-1</f>
        <v>9</v>
      </c>
      <c r="AF27">
        <f t="shared" ca="1" si="13"/>
        <v>7</v>
      </c>
      <c r="AG27" s="21">
        <f t="shared" ca="1" si="89"/>
        <v>18</v>
      </c>
      <c r="AH27" s="21">
        <f t="shared" ca="1" si="14"/>
        <v>1</v>
      </c>
      <c r="AI27" s="41">
        <f t="shared" ca="1" si="15"/>
        <v>18</v>
      </c>
      <c r="AJ27" s="21" t="str">
        <f t="shared" ca="1" si="16"/>
        <v>Ecuador</v>
      </c>
      <c r="AK27" s="43">
        <f t="shared" ca="1" si="17"/>
        <v>14.2</v>
      </c>
      <c r="AL27" s="43">
        <f t="shared" ca="1" si="18"/>
        <v>14.5</v>
      </c>
      <c r="AM27" s="43">
        <f t="shared" ca="1" si="19"/>
        <v>-0.30000000000000071</v>
      </c>
      <c r="AN27" s="38">
        <f t="shared" ca="1" si="20"/>
        <v>-0.30000000000000071</v>
      </c>
      <c r="AP27" s="38">
        <f t="shared" ca="1" si="21"/>
        <v>34.4</v>
      </c>
      <c r="AQ27" s="38">
        <f t="shared" ca="1" si="22"/>
        <v>25</v>
      </c>
      <c r="AR27" s="38">
        <f t="shared" ca="1" si="90"/>
        <v>9.3999999999999986</v>
      </c>
      <c r="AS27" s="47">
        <f t="shared" ca="1" si="91"/>
        <v>9.3999999999999986</v>
      </c>
      <c r="AT27" s="38">
        <f t="shared" ca="1" si="92"/>
        <v>34.4</v>
      </c>
      <c r="AU27">
        <f ca="1">RANK(AT27,AT$10:AT$28)+COUNTIF(AT$10:AT27,AT27)-1</f>
        <v>9</v>
      </c>
      <c r="AV27">
        <f t="shared" ca="1" si="23"/>
        <v>7</v>
      </c>
      <c r="AW27" s="21">
        <f t="shared" ca="1" si="93"/>
        <v>18</v>
      </c>
      <c r="AX27" s="21">
        <f t="shared" ca="1" si="24"/>
        <v>1</v>
      </c>
      <c r="AY27" s="41">
        <f t="shared" ca="1" si="25"/>
        <v>18</v>
      </c>
      <c r="AZ27" s="21" t="str">
        <f t="shared" ca="1" si="26"/>
        <v>Ecuador</v>
      </c>
      <c r="BA27" s="43">
        <f t="shared" ca="1" si="27"/>
        <v>6.3</v>
      </c>
      <c r="BB27" s="43">
        <f t="shared" ca="1" si="28"/>
        <v>5.6</v>
      </c>
      <c r="BC27" s="43">
        <f t="shared" ca="1" si="29"/>
        <v>0.70000000000000018</v>
      </c>
      <c r="BD27" s="38">
        <f t="shared" ca="1" si="30"/>
        <v>0.70000000000000018</v>
      </c>
      <c r="BF27" s="38">
        <f t="shared" ca="1" si="31"/>
        <v>33.299999999999997</v>
      </c>
      <c r="BG27" s="38">
        <f t="shared" ca="1" si="32"/>
        <v>37.5</v>
      </c>
      <c r="BH27" s="38">
        <f t="shared" ca="1" si="94"/>
        <v>-4.2000000000000028</v>
      </c>
      <c r="BI27" s="47">
        <f t="shared" ca="1" si="95"/>
        <v>-4.2000000000000028</v>
      </c>
      <c r="BJ27" s="38">
        <f t="shared" ca="1" si="96"/>
        <v>33.299999999999997</v>
      </c>
      <c r="BK27">
        <f ca="1">RANK(BJ27,BJ$10:BJ$28)+COUNTIF(BJ$10:BJ27,BJ27)-1</f>
        <v>10</v>
      </c>
      <c r="BL27">
        <f t="shared" ca="1" si="33"/>
        <v>7</v>
      </c>
      <c r="BM27" s="21">
        <f t="shared" ca="1" si="97"/>
        <v>18</v>
      </c>
      <c r="BN27" s="21">
        <f t="shared" ca="1" si="34"/>
        <v>1</v>
      </c>
      <c r="BO27" s="41" t="str">
        <f t="shared" ca="1" si="35"/>
        <v>=18</v>
      </c>
      <c r="BP27" s="21" t="str">
        <f t="shared" ca="1" si="36"/>
        <v>Ecuador</v>
      </c>
      <c r="BQ27" s="43">
        <f t="shared" ca="1" si="37"/>
        <v>0</v>
      </c>
      <c r="BR27" s="43">
        <f t="shared" ca="1" si="38"/>
        <v>0</v>
      </c>
      <c r="BS27" s="43" t="str">
        <f t="shared" ca="1" si="39"/>
        <v>-</v>
      </c>
      <c r="BT27" s="38">
        <f t="shared" ca="1" si="40"/>
        <v>0</v>
      </c>
      <c r="BV27" s="38">
        <f t="shared" ca="1" si="41"/>
        <v>19.3</v>
      </c>
      <c r="BW27" s="38">
        <f t="shared" ca="1" si="42"/>
        <v>13.3</v>
      </c>
      <c r="BX27" s="38">
        <f t="shared" ca="1" si="98"/>
        <v>6</v>
      </c>
      <c r="BY27" s="47">
        <f t="shared" ca="1" si="99"/>
        <v>6</v>
      </c>
      <c r="BZ27" s="38">
        <f t="shared" ca="1" si="100"/>
        <v>19.3</v>
      </c>
      <c r="CA27">
        <f ca="1">RANK(BZ27,BZ$10:BZ$28)+COUNTIF(BZ$10:BZ27,BZ27)-1</f>
        <v>12</v>
      </c>
      <c r="CB27">
        <f t="shared" ca="1" si="43"/>
        <v>17</v>
      </c>
      <c r="CC27" s="21">
        <f t="shared" ca="1" si="101"/>
        <v>18</v>
      </c>
      <c r="CD27" s="21">
        <f t="shared" ca="1" si="44"/>
        <v>1</v>
      </c>
      <c r="CE27" s="41">
        <f t="shared" ca="1" si="45"/>
        <v>18</v>
      </c>
      <c r="CF27" s="21" t="str">
        <f t="shared" ca="1" si="46"/>
        <v>Trinidad &amp; Tobago</v>
      </c>
      <c r="CG27" s="43">
        <f t="shared" ca="1" si="47"/>
        <v>9.5</v>
      </c>
      <c r="CH27" s="43">
        <f t="shared" ca="1" si="48"/>
        <v>4.3</v>
      </c>
      <c r="CI27" s="43">
        <f t="shared" ca="1" si="49"/>
        <v>5.2</v>
      </c>
      <c r="CJ27" s="38">
        <f t="shared" ca="1" si="50"/>
        <v>5.2</v>
      </c>
      <c r="CL27" s="38">
        <f t="shared" ca="1" si="51"/>
        <v>43.7</v>
      </c>
      <c r="CM27" s="38">
        <f t="shared" ca="1" si="52"/>
        <v>76.2</v>
      </c>
      <c r="CN27" s="38">
        <f t="shared" ca="1" si="102"/>
        <v>-32.5</v>
      </c>
      <c r="CO27" s="47">
        <f t="shared" ca="1" si="103"/>
        <v>-32.5</v>
      </c>
      <c r="CP27" s="38">
        <f t="shared" ca="1" si="104"/>
        <v>43.7</v>
      </c>
      <c r="CQ27">
        <f ca="1">RANK(CP27,CP$10:CP$28)+COUNTIF(CP$10:CP27,CP27)-1</f>
        <v>10</v>
      </c>
      <c r="CR27">
        <f t="shared" ca="1" si="53"/>
        <v>13</v>
      </c>
      <c r="CS27" s="21">
        <f t="shared" ca="1" si="105"/>
        <v>18</v>
      </c>
      <c r="CT27" s="21">
        <f t="shared" ca="1" si="54"/>
        <v>1</v>
      </c>
      <c r="CU27" s="41">
        <f t="shared" ca="1" si="55"/>
        <v>18</v>
      </c>
      <c r="CV27" s="21" t="str">
        <f t="shared" ca="1" si="56"/>
        <v>Nicaragua</v>
      </c>
      <c r="CW27" s="43">
        <f t="shared" ca="1" si="57"/>
        <v>15.6</v>
      </c>
      <c r="CX27" s="43">
        <f t="shared" ca="1" si="58"/>
        <v>53.7</v>
      </c>
      <c r="CY27" s="43">
        <f t="shared" ca="1" si="59"/>
        <v>-38.1</v>
      </c>
      <c r="CZ27" s="38">
        <f t="shared" ca="1" si="60"/>
        <v>-38.1</v>
      </c>
      <c r="DB27" s="38">
        <f t="shared" ca="1" si="61"/>
        <v>30.6</v>
      </c>
      <c r="DC27" s="38">
        <f t="shared" ca="1" si="62"/>
        <v>25</v>
      </c>
      <c r="DD27" s="38">
        <f t="shared" ca="1" si="106"/>
        <v>5.6000000000000014</v>
      </c>
      <c r="DE27" s="47">
        <f t="shared" ca="1" si="107"/>
        <v>5.6000000000000014</v>
      </c>
      <c r="DF27" s="38">
        <f t="shared" ca="1" si="108"/>
        <v>30.6</v>
      </c>
      <c r="DG27">
        <f ca="1">RANK(DF27,DF$10:DF$28)+COUNTIF(DF$10:DF27,DF27)-1</f>
        <v>12</v>
      </c>
      <c r="DH27">
        <f t="shared" ca="1" si="63"/>
        <v>10</v>
      </c>
      <c r="DI27" s="21">
        <f t="shared" ca="1" si="109"/>
        <v>18</v>
      </c>
      <c r="DJ27" s="21">
        <f t="shared" ca="1" si="64"/>
        <v>1</v>
      </c>
      <c r="DK27" s="41">
        <f t="shared" ca="1" si="65"/>
        <v>18</v>
      </c>
      <c r="DL27" s="21" t="str">
        <f t="shared" ca="1" si="66"/>
        <v>Honduras</v>
      </c>
      <c r="DM27" s="43">
        <f t="shared" ca="1" si="67"/>
        <v>11.1</v>
      </c>
      <c r="DN27" s="43">
        <f t="shared" ca="1" si="68"/>
        <v>8.3000000000000007</v>
      </c>
      <c r="DO27" s="43">
        <f t="shared" ca="1" si="69"/>
        <v>2.7999999999999989</v>
      </c>
      <c r="DP27" s="38">
        <f t="shared" ca="1" si="70"/>
        <v>2.7999999999999989</v>
      </c>
      <c r="DR27" s="38">
        <f t="shared" ca="1" si="71"/>
        <v>25</v>
      </c>
      <c r="DS27" s="38" t="e">
        <f t="shared" ca="1" si="72"/>
        <v>#REF!</v>
      </c>
      <c r="DT27" s="38" t="e">
        <f t="shared" ca="1" si="110"/>
        <v>#REF!</v>
      </c>
      <c r="DU27" s="47" t="e">
        <f t="shared" ca="1" si="111"/>
        <v>#REF!</v>
      </c>
      <c r="DV27" s="38">
        <f t="shared" ca="1" si="112"/>
        <v>25</v>
      </c>
      <c r="DW27">
        <f ca="1">RANK(DV27,DV$10:DV$28)+COUNTIF(DV$10:DV27,DV27)-1</f>
        <v>13</v>
      </c>
      <c r="DX27">
        <f t="shared" ca="1" si="73"/>
        <v>14</v>
      </c>
      <c r="DY27" s="21" t="e">
        <f t="shared" ca="1" si="113"/>
        <v>#REF!</v>
      </c>
      <c r="DZ27" s="21">
        <f t="shared" ca="1" si="74"/>
        <v>1</v>
      </c>
      <c r="EA27" s="41" t="e">
        <f t="shared" ca="1" si="75"/>
        <v>#REF!</v>
      </c>
      <c r="EB27" s="21" t="str">
        <f t="shared" ca="1" si="76"/>
        <v>Panama</v>
      </c>
      <c r="EC27" s="43">
        <f t="shared" ca="1" si="77"/>
        <v>0</v>
      </c>
      <c r="ED27" s="43" t="e">
        <f t="shared" ca="1" si="78"/>
        <v>#REF!</v>
      </c>
      <c r="EE27" s="43" t="e">
        <f t="shared" ca="1" si="79"/>
        <v>#REF!</v>
      </c>
      <c r="EF27" s="38" t="e">
        <f t="shared" ca="1" si="80"/>
        <v>#REF!</v>
      </c>
    </row>
    <row r="28" spans="1:136">
      <c r="A28">
        <v>19</v>
      </c>
      <c r="B28" t="str">
        <f>tblCountries!E24</f>
        <v>Venezuela</v>
      </c>
      <c r="C28">
        <f>tblCountries!A24</f>
        <v>19</v>
      </c>
      <c r="D28">
        <f ca="1">tblCountries!F24</f>
        <v>1</v>
      </c>
      <c r="G28" s="38">
        <f t="shared" ca="1" si="0"/>
        <v>0</v>
      </c>
      <c r="H28" s="47">
        <f ca="1">IF($D28=0,"",IF($G$4&lt;2,"-",ROUND(INDEX(data_2009,G$7,$C28),$G$5)))</f>
        <v>0</v>
      </c>
      <c r="I28" s="38">
        <f ca="1">IF($D28=0,"",ROUND(INDEX(scores2008_yoy,G$7,$C28),1))</f>
        <v>25</v>
      </c>
      <c r="J28" s="38">
        <f ca="1">IF($D28=0,"",IF($G$4&lt;2,"-",ROUND(INDEX(data_2008,G$7,$C28),$G$5)))</f>
        <v>1</v>
      </c>
      <c r="K28" s="47">
        <f>IF(ISNUMBER(INDEX(yoy,G$7,$C28)),INDEX(yoy,G$7,$C28),0)</f>
        <v>-25</v>
      </c>
      <c r="L28" s="47" t="str">
        <f>IF(OR(K28=0,K28="-"),"-",IF(K28&gt;0,CONCATENATE("+",ROUND(K28,1)),CONCATENATE("-",ABS(ROUND(K28,1)))))</f>
        <v>-25</v>
      </c>
      <c r="M28" s="38">
        <f ca="1">IF($B$4=1,G28,K28)</f>
        <v>0</v>
      </c>
      <c r="N28">
        <f ca="1">RANK(M28,M$10:M$28)+COUNTIF(M$10:M28,M28)-1</f>
        <v>19</v>
      </c>
      <c r="O28">
        <f ca="1">MATCH($A28,N$10:N$28,0)</f>
        <v>19</v>
      </c>
      <c r="P28" s="21">
        <f ca="1">IF(ISERROR(O28),"",IF(ROUND(U28,$B$3)=ROUND(U27,$B$3),P27,$A28))</f>
        <v>18</v>
      </c>
      <c r="Q28" s="21">
        <f t="shared" ca="1" si="5"/>
        <v>1</v>
      </c>
      <c r="R28" s="41" t="str">
        <f ca="1">IF(Q28=0,"",IF(OR(P28=P27,P28=P29),CONCATENATE($B$2,P28),P28))</f>
        <v>=18</v>
      </c>
      <c r="S28" s="21" t="str">
        <f t="shared" ca="1" si="7"/>
        <v>Venezuela</v>
      </c>
      <c r="T28" s="41" t="str">
        <f t="shared" ca="1" si="8"/>
        <v>0</v>
      </c>
      <c r="U28" s="43">
        <f t="shared" ca="1" si="9"/>
        <v>0</v>
      </c>
      <c r="V28" s="43" t="str">
        <f t="shared" ca="1" si="10"/>
        <v>-25</v>
      </c>
      <c r="W28" t="str">
        <f ca="1">IF($G$4=2,V28,"")</f>
        <v>-25</v>
      </c>
      <c r="Z28" s="38">
        <f t="shared" ca="1" si="11"/>
        <v>4.2</v>
      </c>
      <c r="AA28" s="38">
        <f ca="1">IF($D28=0,"",ROUND(INDEX(scores_2008,Z$7,$C28),1))</f>
        <v>7.1</v>
      </c>
      <c r="AB28" s="38">
        <f ca="1">Z28-AA28</f>
        <v>-2.8999999999999995</v>
      </c>
      <c r="AC28" s="47">
        <f t="shared" ca="1" si="87"/>
        <v>-2.8999999999999995</v>
      </c>
      <c r="AD28" s="38">
        <f ca="1">IF($B$3=1,ROUND(Z28,3),ROUND(AB28,3))</f>
        <v>4.2</v>
      </c>
      <c r="AE28">
        <f ca="1">RANK(AD28,AD$10:AD$28)+COUNTIF(AD$10:AD28,AD28)-1</f>
        <v>19</v>
      </c>
      <c r="AF28">
        <f ca="1">MATCH($A28,AE$10:AE$28,0)</f>
        <v>19</v>
      </c>
      <c r="AG28" s="21">
        <f ca="1">IF(ISERROR(AF28),"",IF(ROUND(AN28,$B$3)=ROUND(AN27,$B$3),AG27,$A28))</f>
        <v>19</v>
      </c>
      <c r="AH28" s="21">
        <f ca="1">IF(ISERROR(AF28),0,INDEX($D$10:$D$28,AF28))</f>
        <v>1</v>
      </c>
      <c r="AI28" s="41">
        <f ca="1">IF(AH28=0,"",IF(OR(AG28=AG27,AG28=AG29),CONCATENATE($B$2,AG28),AG28))</f>
        <v>19</v>
      </c>
      <c r="AJ28" s="21" t="str">
        <f ca="1">IF(ISERROR(AF28),0,INDEX($B$10:$B$28,AF28))</f>
        <v>Venezuela</v>
      </c>
      <c r="AK28" s="43">
        <f ca="1">IF(ISERROR(AF28),0,INDEX(Z$10:Z$28,AF28))</f>
        <v>4.2</v>
      </c>
      <c r="AL28" s="43">
        <f ca="1">IF(ISERROR(AF28),0,INDEX(AA$10:AA$28,AF28))</f>
        <v>7.1</v>
      </c>
      <c r="AM28" s="43">
        <f ca="1">IF(ISERROR(AF28),0,INDEX(AC$10:AC$28,AF28))</f>
        <v>-2.8999999999999995</v>
      </c>
      <c r="AN28" s="38">
        <f ca="1">IF(ISERROR(AF28),0,INDEX(AB$10:AB$28,AF28))</f>
        <v>-2.8999999999999995</v>
      </c>
      <c r="AP28" s="38">
        <f t="shared" ca="1" si="21"/>
        <v>0</v>
      </c>
      <c r="AQ28" s="38">
        <f ca="1">IF($D28=0,"",ROUND(INDEX(scores_2008,AP$7,$C28),1))</f>
        <v>8.3000000000000007</v>
      </c>
      <c r="AR28" s="38">
        <f ca="1">AP28-AQ28</f>
        <v>-8.3000000000000007</v>
      </c>
      <c r="AS28" s="47">
        <f t="shared" ca="1" si="91"/>
        <v>-8.3000000000000007</v>
      </c>
      <c r="AT28" s="38">
        <f ca="1">IF($B$3=1,ROUND(AP28,3),ROUND(AR28,3))</f>
        <v>0</v>
      </c>
      <c r="AU28">
        <f ca="1">RANK(AT28,AT$10:AT$28)+COUNTIF(AT$10:AT28,AT28)-1</f>
        <v>19</v>
      </c>
      <c r="AV28">
        <f ca="1">MATCH($A28,AU$10:AU$28,0)</f>
        <v>19</v>
      </c>
      <c r="AW28" s="21">
        <f ca="1">IF(ISERROR(AV28),"",IF(ROUND(BD28,$B$3)=ROUND(BD27,$B$3),AW27,$A28))</f>
        <v>19</v>
      </c>
      <c r="AX28" s="21">
        <f ca="1">IF(ISERROR(AV28),0,INDEX($D$10:$D$28,AV28))</f>
        <v>1</v>
      </c>
      <c r="AY28" s="41">
        <f ca="1">IF(AX28=0,"",IF(OR(AW28=AW27,AW28=AW29),CONCATENATE($B$2,AW28),AW28))</f>
        <v>19</v>
      </c>
      <c r="AZ28" s="21" t="str">
        <f ca="1">IF(ISERROR(AV28),0,INDEX($B$10:$B$28,AV28))</f>
        <v>Venezuela</v>
      </c>
      <c r="BA28" s="43">
        <f ca="1">IF(ISERROR(AV28),0,INDEX(AP$10:AP$28,AV28))</f>
        <v>0</v>
      </c>
      <c r="BB28" s="43">
        <f ca="1">IF(ISERROR(AV28),0,INDEX(AQ$10:AQ$28,AV28))</f>
        <v>8.3000000000000007</v>
      </c>
      <c r="BC28" s="43">
        <f ca="1">IF(ISERROR(AV28),0,INDEX(AS$10:AS$28,AV28))</f>
        <v>-8.3000000000000007</v>
      </c>
      <c r="BD28" s="38">
        <f ca="1">IF(ISERROR(AV28),0,INDEX(AR$10:AR$28,AV28))</f>
        <v>-8.3000000000000007</v>
      </c>
      <c r="BF28" s="38">
        <f t="shared" ca="1" si="31"/>
        <v>0</v>
      </c>
      <c r="BG28" s="38">
        <f ca="1">IF($D28=0,"",ROUND(INDEX(scores_2008,BF$7,$C28),1))</f>
        <v>0</v>
      </c>
      <c r="BH28" s="38">
        <f ca="1">BF28-BG28</f>
        <v>0</v>
      </c>
      <c r="BI28" s="47" t="str">
        <f t="shared" ca="1" si="95"/>
        <v>-</v>
      </c>
      <c r="BJ28" s="38">
        <f ca="1">IF($B$3=1,ROUND(BF28,3),ROUND(BH28,3))</f>
        <v>0</v>
      </c>
      <c r="BK28">
        <f ca="1">RANK(BJ28,BJ$10:BJ$28)+COUNTIF(BJ$10:BJ28,BJ28)-1</f>
        <v>19</v>
      </c>
      <c r="BL28">
        <f ca="1">MATCH($A28,BK$10:BK$28,0)</f>
        <v>19</v>
      </c>
      <c r="BM28" s="21">
        <f ca="1">IF(ISERROR(BL28),"",IF(ROUND(BT28,$B$3)=ROUND(BT27,$B$3),BM27,$A28))</f>
        <v>18</v>
      </c>
      <c r="BN28" s="21">
        <f ca="1">IF(ISERROR(BL28),0,INDEX($D$10:$D$28,BL28))</f>
        <v>1</v>
      </c>
      <c r="BO28" s="41" t="str">
        <f ca="1">IF(BN28=0,"",IF(OR(BM28=BM27,BM28=BM29),CONCATENATE($B$2,BM28),BM28))</f>
        <v>=18</v>
      </c>
      <c r="BP28" s="21" t="str">
        <f ca="1">IF(ISERROR(BL28),0,INDEX($B$10:$B$28,BL28))</f>
        <v>Venezuela</v>
      </c>
      <c r="BQ28" s="43">
        <f ca="1">IF(ISERROR(BL28),0,INDEX(BF$10:BF$28,BL28))</f>
        <v>0</v>
      </c>
      <c r="BR28" s="43">
        <f ca="1">IF(ISERROR(BL28),0,INDEX(BG$10:BG$28,BL28))</f>
        <v>0</v>
      </c>
      <c r="BS28" s="43" t="str">
        <f ca="1">IF(ISERROR(BL28),0,INDEX(BI$10:BI$28,BL28))</f>
        <v>-</v>
      </c>
      <c r="BT28" s="38">
        <f ca="1">IF(ISERROR(BL28),0,INDEX(BH$10:BH$28,BL28))</f>
        <v>0</v>
      </c>
      <c r="BV28" s="38">
        <f t="shared" ca="1" si="41"/>
        <v>0.6</v>
      </c>
      <c r="BW28" s="38">
        <f ca="1">IF($D28=0,"",ROUND(INDEX(scores_2008,BV$7,$C28),1))</f>
        <v>4.8</v>
      </c>
      <c r="BX28" s="38">
        <f ca="1">BV28-BW28</f>
        <v>-4.2</v>
      </c>
      <c r="BY28" s="47">
        <f t="shared" ca="1" si="99"/>
        <v>-4.2</v>
      </c>
      <c r="BZ28" s="38">
        <f ca="1">IF($B$3=1,ROUND(BV28,3),ROUND(BX28,3))</f>
        <v>0.6</v>
      </c>
      <c r="CA28">
        <f ca="1">RANK(BZ28,BZ$10:BZ$28)+COUNTIF(BZ$10:BZ28,BZ28)-1</f>
        <v>19</v>
      </c>
      <c r="CB28">
        <f ca="1">MATCH($A28,CA$10:CA$28,0)</f>
        <v>19</v>
      </c>
      <c r="CC28" s="21">
        <f ca="1">IF(ISERROR(CB28),"",IF(ROUND(CJ28,$B$3)=ROUND(CJ27,$B$3),CC27,$A28))</f>
        <v>19</v>
      </c>
      <c r="CD28" s="21">
        <f ca="1">IF(ISERROR(CB28),0,INDEX($D$10:$D$28,CB28))</f>
        <v>1</v>
      </c>
      <c r="CE28" s="41">
        <f ca="1">IF(CD28=0,"",IF(OR(CC28=CC27,CC28=CC29),CONCATENATE($B$2,CC28),CC28))</f>
        <v>19</v>
      </c>
      <c r="CF28" s="21" t="str">
        <f ca="1">IF(ISERROR(CB28),0,INDEX($B$10:$B$28,CB28))</f>
        <v>Venezuela</v>
      </c>
      <c r="CG28" s="43">
        <f ca="1">IF(ISERROR(CB28),0,INDEX(BV$10:BV$28,CB28))</f>
        <v>0.6</v>
      </c>
      <c r="CH28" s="43">
        <f ca="1">IF(ISERROR(CB28),0,INDEX(BW$10:BW$28,CB28))</f>
        <v>4.8</v>
      </c>
      <c r="CI28" s="43">
        <f ca="1">IF(ISERROR(CB28),0,INDEX(BY$10:BY$28,CB28))</f>
        <v>-4.2</v>
      </c>
      <c r="CJ28" s="38">
        <f ca="1">IF(ISERROR(CB28),0,INDEX(BX$10:BX$28,CB28))</f>
        <v>-4.2</v>
      </c>
      <c r="CL28" s="38">
        <f t="shared" ca="1" si="51"/>
        <v>10.5</v>
      </c>
      <c r="CM28" s="38">
        <f ca="1">IF($D28=0,"",ROUND(INDEX(scores_2008,CL$7,$C28),1))</f>
        <v>37.1</v>
      </c>
      <c r="CN28" s="38">
        <f ca="1">CL28-CM28</f>
        <v>-26.6</v>
      </c>
      <c r="CO28" s="47">
        <f t="shared" ca="1" si="103"/>
        <v>-26.6</v>
      </c>
      <c r="CP28" s="38">
        <f ca="1">IF($B$3=1,ROUND(CL28,3),ROUND(CN28,3))</f>
        <v>10.5</v>
      </c>
      <c r="CQ28">
        <f ca="1">RANK(CP28,CP$10:CP$28)+COUNTIF(CP$10:CP28,CP28)-1</f>
        <v>19</v>
      </c>
      <c r="CR28">
        <f ca="1">MATCH($A28,CQ$10:CQ$28,0)</f>
        <v>19</v>
      </c>
      <c r="CS28" s="21">
        <f ca="1">IF(ISERROR(CR28),"",IF(ROUND(CZ28,$B$3)=ROUND(CZ27,$B$3),CS27,$A28))</f>
        <v>19</v>
      </c>
      <c r="CT28" s="21">
        <f ca="1">IF(ISERROR(CR28),0,INDEX($D$10:$D$28,CR28))</f>
        <v>1</v>
      </c>
      <c r="CU28" s="41">
        <f ca="1">IF(CT28=0,"",IF(OR(CS28=CS27,CS28=CS29),CONCATENATE($B$2,CS28),CS28))</f>
        <v>19</v>
      </c>
      <c r="CV28" s="21" t="str">
        <f ca="1">IF(ISERROR(CR28),0,INDEX($B$10:$B$28,CR28))</f>
        <v>Venezuela</v>
      </c>
      <c r="CW28" s="43">
        <f ca="1">IF(ISERROR(CR28),0,INDEX(CL$10:CL$28,CR28))</f>
        <v>10.5</v>
      </c>
      <c r="CX28" s="43">
        <f ca="1">IF(ISERROR(CR28),0,INDEX(CM$10:CM$28,CR28))</f>
        <v>37.1</v>
      </c>
      <c r="CY28" s="43">
        <f ca="1">IF(ISERROR(CR28),0,INDEX(CO$10:CO$28,CR28))</f>
        <v>-26.6</v>
      </c>
      <c r="CZ28" s="38">
        <f ca="1">IF(ISERROR(CR28),0,INDEX(CN$10:CN$28,CR28))</f>
        <v>-26.6</v>
      </c>
      <c r="DB28" s="38">
        <f t="shared" ca="1" si="61"/>
        <v>16.7</v>
      </c>
      <c r="DC28" s="38">
        <f ca="1">IF($D28=0,"",ROUND(INDEX(scores_2008,DB$7,$C28),1))</f>
        <v>20.8</v>
      </c>
      <c r="DD28" s="38">
        <f ca="1">DB28-DC28</f>
        <v>-4.1000000000000014</v>
      </c>
      <c r="DE28" s="47">
        <f t="shared" ca="1" si="107"/>
        <v>-4.1000000000000014</v>
      </c>
      <c r="DF28" s="38">
        <f ca="1">IF($B$3=1,ROUND(DB28,3),ROUND(DD28,3))</f>
        <v>16.7</v>
      </c>
      <c r="DG28">
        <f ca="1">RANK(DF28,DF$10:DF$28)+COUNTIF(DF$10:DF28,DF28)-1</f>
        <v>17</v>
      </c>
      <c r="DH28">
        <f ca="1">MATCH($A28,DG$10:DG$28,0)</f>
        <v>13</v>
      </c>
      <c r="DI28" s="21">
        <f ca="1">IF(ISERROR(DH28),"",IF(ROUND(DP28,$B$3)=ROUND(DP27,$B$3),DI27,$A28))</f>
        <v>19</v>
      </c>
      <c r="DJ28" s="21">
        <f ca="1">IF(ISERROR(DH28),0,INDEX($D$10:$D$28,DH28))</f>
        <v>1</v>
      </c>
      <c r="DK28" s="41">
        <f ca="1">IF(DJ28=0,"",IF(OR(DI28=DI27,DI28=DI29),CONCATENATE($B$2,DI28),DI28))</f>
        <v>19</v>
      </c>
      <c r="DL28" s="21" t="str">
        <f ca="1">IF(ISERROR(DH28),0,INDEX($B$10:$B$28,DH28))</f>
        <v>Nicaragua</v>
      </c>
      <c r="DM28" s="43">
        <f ca="1">IF(ISERROR(DH28),0,INDEX(DB$10:DB$28,DH28))</f>
        <v>8.3000000000000007</v>
      </c>
      <c r="DN28" s="43">
        <f ca="1">IF(ISERROR(DH28),0,INDEX(DC$10:DC$28,DH28))</f>
        <v>4.2</v>
      </c>
      <c r="DO28" s="43">
        <f ca="1">IF(ISERROR(DH28),0,INDEX(DE$10:DE$28,DH28))</f>
        <v>4.1000000000000005</v>
      </c>
      <c r="DP28" s="38">
        <f ca="1">IF(ISERROR(DH28),0,INDEX(DD$10:DD$28,DH28))</f>
        <v>4.1000000000000005</v>
      </c>
      <c r="DR28" s="38">
        <f t="shared" ca="1" si="71"/>
        <v>0</v>
      </c>
      <c r="DS28" s="38" t="e">
        <f ca="1">IF($D28=0,"",ROUND(INDEX(scores_2008,DR$7,$C28),1))</f>
        <v>#REF!</v>
      </c>
      <c r="DT28" s="38" t="e">
        <f ca="1">DR28-DS28</f>
        <v>#REF!</v>
      </c>
      <c r="DU28" s="47" t="e">
        <f t="shared" ca="1" si="111"/>
        <v>#REF!</v>
      </c>
      <c r="DV28" s="38">
        <f ca="1">IF($B$3=1,ROUND(DR28,3),ROUND(DT28,3))</f>
        <v>0</v>
      </c>
      <c r="DW28">
        <f ca="1">RANK(DV28,DV$10:DV$28)+COUNTIF(DV$10:DV28,DV28)-1</f>
        <v>19</v>
      </c>
      <c r="DX28">
        <f ca="1">MATCH($A28,DW$10:DW$28,0)</f>
        <v>19</v>
      </c>
      <c r="DY28" s="21" t="e">
        <f ca="1">IF(ISERROR(DX28),"",IF(ROUND(EF28,$B$3)=ROUND(EF27,$B$3),DY27,$A28))</f>
        <v>#REF!</v>
      </c>
      <c r="DZ28" s="21">
        <f ca="1">IF(ISERROR(DX28),0,INDEX($D$10:$D$28,DX28))</f>
        <v>1</v>
      </c>
      <c r="EA28" s="41" t="e">
        <f ca="1">IF(DZ28=0,"",IF(OR(DY28=DY27,DY28=DY29),CONCATENATE($B$2,DY28),DY28))</f>
        <v>#REF!</v>
      </c>
      <c r="EB28" s="21" t="str">
        <f ca="1">IF(ISERROR(DX28),0,INDEX($B$10:$B$28,DX28))</f>
        <v>Venezuela</v>
      </c>
      <c r="EC28" s="43">
        <f ca="1">IF(ISERROR(DX28),0,INDEX(DR$10:DR$28,DX28))</f>
        <v>0</v>
      </c>
      <c r="ED28" s="43" t="e">
        <f ca="1">IF(ISERROR(DX28),0,INDEX(DS$10:DS$28,DX28))</f>
        <v>#REF!</v>
      </c>
      <c r="EE28" s="43" t="e">
        <f ca="1">IF(ISERROR(DX28),0,INDEX(DU$10:DU$28,DX28))</f>
        <v>#REF!</v>
      </c>
      <c r="EF28" s="38" t="e">
        <f ca="1">IF(ISERROR(DX28),0,INDEX(DT$10:DT$28,DX28))</f>
        <v>#REF!</v>
      </c>
    </row>
    <row r="29" spans="1:136">
      <c r="AC29" s="47"/>
    </row>
    <row r="30" spans="1:136">
      <c r="AC30" s="47"/>
      <c r="AM30" s="43"/>
    </row>
    <row r="31" spans="1:136">
      <c r="AC31" s="47"/>
    </row>
    <row r="32" spans="1:136">
      <c r="AC32" s="47"/>
    </row>
    <row r="33" spans="8:29">
      <c r="AC33" s="47"/>
    </row>
    <row r="34" spans="8:29">
      <c r="AC34" s="47"/>
    </row>
    <row r="35" spans="8:29">
      <c r="H35" t="s">
        <v>570</v>
      </c>
      <c r="AC35" s="47"/>
    </row>
    <row r="36" spans="8:29">
      <c r="H36" t="s">
        <v>571</v>
      </c>
      <c r="AC36" s="47"/>
    </row>
  </sheetData>
  <phoneticPr fontId="61" type="noConversion"/>
  <pageMargins left="0.7" right="0.7" top="0.75" bottom="0.75" header="0.3" footer="0.3"/>
  <pageSetup paperSize="0" orientation="portrait" horizontalDpi="0" verticalDpi="0" copies="0"/>
</worksheet>
</file>

<file path=xl/worksheets/sheet6.xml><?xml version="1.0" encoding="utf-8"?>
<worksheet xmlns="http://schemas.openxmlformats.org/spreadsheetml/2006/main" xmlns:r="http://schemas.openxmlformats.org/officeDocument/2006/relationships">
  <sheetPr codeName="Sheet29"/>
  <dimension ref="A1:DY36"/>
  <sheetViews>
    <sheetView topLeftCell="BM1" zoomScale="90" zoomScaleNormal="90" workbookViewId="0">
      <selection activeCell="H4" sqref="H4"/>
    </sheetView>
  </sheetViews>
  <sheetFormatPr defaultRowHeight="15"/>
  <cols>
    <col min="2" max="2" width="17.28515625" bestFit="1" customWidth="1"/>
    <col min="21" max="21" width="11.7109375" customWidth="1"/>
    <col min="25" max="28" width="5.42578125" customWidth="1"/>
    <col min="29" max="29" width="7.140625" customWidth="1"/>
    <col min="30" max="30" width="10.140625" customWidth="1"/>
    <col min="31" max="31" width="9.85546875" customWidth="1"/>
    <col min="32" max="38" width="5.42578125" customWidth="1"/>
    <col min="39" max="39" width="5.7109375" customWidth="1"/>
    <col min="40" max="42" width="3.140625" customWidth="1"/>
    <col min="43" max="43" width="7.42578125" customWidth="1"/>
    <col min="44" max="44" width="6.140625" customWidth="1"/>
    <col min="45" max="45" width="8.42578125" customWidth="1"/>
    <col min="46" max="46" width="3.140625" customWidth="1"/>
    <col min="47" max="47" width="3.7109375" customWidth="1"/>
    <col min="48" max="74" width="3.140625" customWidth="1"/>
    <col min="75" max="75" width="6.28515625" customWidth="1"/>
    <col min="76" max="76" width="5.140625" customWidth="1"/>
    <col min="77" max="77" width="5.85546875" customWidth="1"/>
    <col min="78" max="78" width="4.28515625" customWidth="1"/>
    <col min="79" max="79" width="3.140625" customWidth="1"/>
    <col min="80" max="80" width="6.5703125" customWidth="1"/>
    <col min="81" max="83" width="3.140625" customWidth="1"/>
    <col min="84" max="84" width="5.140625" customWidth="1"/>
    <col min="85" max="112" width="3.140625" customWidth="1"/>
    <col min="116" max="130" width="4.5703125" customWidth="1"/>
  </cols>
  <sheetData>
    <row r="1" spans="1:129">
      <c r="A1" t="s">
        <v>541</v>
      </c>
      <c r="B1">
        <v>1</v>
      </c>
      <c r="AS1" s="8"/>
    </row>
    <row r="2" spans="1:129">
      <c r="A2" t="s">
        <v>546</v>
      </c>
      <c r="B2" s="42" t="s">
        <v>547</v>
      </c>
      <c r="AS2" s="8"/>
    </row>
    <row r="3" spans="1:129">
      <c r="A3" s="48" t="str">
        <f>uxbWorks!A5</f>
        <v>RANK_ABS_OR_YOY</v>
      </c>
      <c r="B3" s="48">
        <f>uxbWorks!B5</f>
        <v>1</v>
      </c>
      <c r="F3" t="s">
        <v>835</v>
      </c>
      <c r="G3" s="91" t="str">
        <f>uxbWorks!Q9</f>
        <v>0</v>
      </c>
      <c r="AS3" s="8"/>
    </row>
    <row r="4" spans="1:129">
      <c r="A4" t="s">
        <v>896</v>
      </c>
      <c r="B4">
        <f>IF(SUM(K10:K28)=0,1,B3)</f>
        <v>1</v>
      </c>
      <c r="F4" t="s">
        <v>573</v>
      </c>
      <c r="G4" s="48">
        <f>uxbWorks!E9</f>
        <v>2</v>
      </c>
      <c r="AS4" s="8"/>
    </row>
    <row r="5" spans="1:129">
      <c r="F5" t="s">
        <v>572</v>
      </c>
      <c r="G5" s="48">
        <f>uxbWorks!R9</f>
        <v>0</v>
      </c>
      <c r="AS5" s="8"/>
    </row>
    <row r="6" spans="1:129">
      <c r="F6" t="s">
        <v>658</v>
      </c>
      <c r="G6" s="48" t="str">
        <f>uxbWorks!C9</f>
        <v>LEGF01</v>
      </c>
      <c r="Y6" t="s">
        <v>658</v>
      </c>
      <c r="Z6" t="s">
        <v>981</v>
      </c>
      <c r="AN6" t="s">
        <v>658</v>
      </c>
      <c r="AO6" t="s">
        <v>987</v>
      </c>
      <c r="BC6" t="s">
        <v>658</v>
      </c>
      <c r="BD6" s="8" t="s">
        <v>1009</v>
      </c>
      <c r="BR6" t="s">
        <v>658</v>
      </c>
      <c r="BS6" s="8" t="s">
        <v>1021</v>
      </c>
      <c r="CG6" t="s">
        <v>658</v>
      </c>
      <c r="CH6" s="8" t="s">
        <v>794</v>
      </c>
      <c r="CV6" t="s">
        <v>658</v>
      </c>
      <c r="CW6" s="8" t="s">
        <v>807</v>
      </c>
      <c r="DL6" s="8" t="s">
        <v>1047</v>
      </c>
    </row>
    <row r="7" spans="1:129">
      <c r="F7" t="s">
        <v>659</v>
      </c>
      <c r="G7" s="48">
        <f>MATCH(G6,score2009_indi,0)</f>
        <v>3</v>
      </c>
      <c r="Y7" t="s">
        <v>659</v>
      </c>
      <c r="Z7">
        <f>MATCH(Z6,score2009_indi,0)</f>
        <v>1</v>
      </c>
      <c r="AI7" t="str">
        <f>INDEX(tblIndicators!$H$2:$H$28,Z7)</f>
        <v>OVERALL SCORE</v>
      </c>
      <c r="AN7" t="s">
        <v>659</v>
      </c>
      <c r="AO7">
        <f>MATCH(AO6,score2009_indi,0)</f>
        <v>2</v>
      </c>
      <c r="AX7" t="str">
        <f>INDEX(tblIndicators!$H$2:$H$28,AO7)</f>
        <v>Regulatory framework</v>
      </c>
      <c r="BC7" t="s">
        <v>659</v>
      </c>
      <c r="BD7">
        <f>MATCH(BD6,score2009_indi,0)</f>
        <v>7</v>
      </c>
      <c r="BM7" t="str">
        <f>INDEX(tblIndicators!$H$2:$H$28,BD7)</f>
        <v>Institutional framework</v>
      </c>
      <c r="BR7" t="s">
        <v>659</v>
      </c>
      <c r="BS7">
        <f>MATCH(BS6,score2009_indi,0)</f>
        <v>10</v>
      </c>
      <c r="CB7" t="str">
        <f>INDEX(tblIndicators!$H$2:$H$28,BS7)</f>
        <v>Operational maturity</v>
      </c>
      <c r="CG7" t="s">
        <v>659</v>
      </c>
      <c r="CH7">
        <f>MATCH(CH6,score2009_indi,0)</f>
        <v>16</v>
      </c>
      <c r="CQ7" t="str">
        <f>INDEX(tblIndicators!$H$2:$H$28,CH7)</f>
        <v>Investment climate</v>
      </c>
      <c r="CV7" t="s">
        <v>659</v>
      </c>
      <c r="CW7">
        <f>MATCH(CW6,score2009_indi,0)</f>
        <v>20</v>
      </c>
      <c r="DF7" t="str">
        <f>INDEX(tblIndicators!$H$2:$H$28,CW7)</f>
        <v>Financial facilities</v>
      </c>
      <c r="DL7">
        <f>MATCH(DL6,score2009_indi,0)</f>
        <v>25</v>
      </c>
      <c r="DU7" t="str">
        <f>INDEX(tblIndicators!$H$2:$H$28,DL7)</f>
        <v>Subnational adjustment</v>
      </c>
    </row>
    <row r="9" spans="1:129" s="44" customFormat="1">
      <c r="A9" s="44" t="s">
        <v>655</v>
      </c>
      <c r="B9" s="44" t="s">
        <v>901</v>
      </c>
      <c r="C9" s="44" t="s">
        <v>656</v>
      </c>
      <c r="D9" s="44" t="s">
        <v>657</v>
      </c>
      <c r="G9" s="44" t="s">
        <v>660</v>
      </c>
      <c r="H9" s="44" t="s">
        <v>661</v>
      </c>
      <c r="I9" s="44" t="s">
        <v>662</v>
      </c>
      <c r="J9" s="44" t="s">
        <v>663</v>
      </c>
      <c r="K9" s="44" t="s">
        <v>537</v>
      </c>
      <c r="M9" s="44" t="s">
        <v>538</v>
      </c>
      <c r="N9" s="44" t="s">
        <v>539</v>
      </c>
      <c r="O9" s="44" t="s">
        <v>540</v>
      </c>
      <c r="P9" s="44" t="s">
        <v>542</v>
      </c>
      <c r="Q9" s="44" t="s">
        <v>543</v>
      </c>
      <c r="R9" s="44" t="s">
        <v>544</v>
      </c>
      <c r="S9" s="44" t="s">
        <v>901</v>
      </c>
      <c r="T9" s="44" t="s">
        <v>551</v>
      </c>
      <c r="U9" s="44" t="s">
        <v>548</v>
      </c>
      <c r="V9" s="44" t="s">
        <v>545</v>
      </c>
      <c r="W9" s="44" t="s">
        <v>1054</v>
      </c>
      <c r="Z9" s="44" t="s">
        <v>660</v>
      </c>
      <c r="AA9" s="44" t="s">
        <v>662</v>
      </c>
      <c r="AB9" s="44" t="s">
        <v>537</v>
      </c>
      <c r="AD9" s="44" t="s">
        <v>538</v>
      </c>
      <c r="AE9" s="44" t="s">
        <v>539</v>
      </c>
      <c r="AF9" s="44" t="s">
        <v>540</v>
      </c>
      <c r="AG9" s="44" t="s">
        <v>542</v>
      </c>
      <c r="AH9" s="44" t="s">
        <v>543</v>
      </c>
      <c r="AI9" s="44" t="s">
        <v>544</v>
      </c>
      <c r="AJ9" s="44" t="s">
        <v>901</v>
      </c>
      <c r="AK9" s="44" t="s">
        <v>548</v>
      </c>
      <c r="AL9" s="44" t="s">
        <v>545</v>
      </c>
      <c r="AM9" s="44" t="s">
        <v>539</v>
      </c>
      <c r="AO9" s="44" t="s">
        <v>660</v>
      </c>
      <c r="AP9" s="44" t="s">
        <v>662</v>
      </c>
      <c r="AQ9" s="44" t="s">
        <v>537</v>
      </c>
      <c r="AS9" s="44" t="s">
        <v>538</v>
      </c>
      <c r="AT9" s="44" t="s">
        <v>539</v>
      </c>
      <c r="AU9" s="44" t="s">
        <v>540</v>
      </c>
      <c r="AV9" s="44" t="s">
        <v>542</v>
      </c>
      <c r="AW9" s="44" t="s">
        <v>543</v>
      </c>
      <c r="AX9" s="44" t="s">
        <v>544</v>
      </c>
      <c r="AY9" s="44" t="s">
        <v>901</v>
      </c>
      <c r="AZ9" s="44" t="s">
        <v>548</v>
      </c>
      <c r="BA9" s="44" t="s">
        <v>545</v>
      </c>
      <c r="BB9" s="44" t="s">
        <v>539</v>
      </c>
      <c r="BD9" s="44" t="s">
        <v>660</v>
      </c>
      <c r="BE9" s="44" t="s">
        <v>662</v>
      </c>
      <c r="BF9" s="44" t="s">
        <v>537</v>
      </c>
      <c r="BH9" s="44" t="s">
        <v>538</v>
      </c>
      <c r="BI9" s="44" t="s">
        <v>539</v>
      </c>
      <c r="BJ9" s="44" t="s">
        <v>540</v>
      </c>
      <c r="BK9" s="44" t="s">
        <v>542</v>
      </c>
      <c r="BL9" s="44" t="s">
        <v>543</v>
      </c>
      <c r="BM9" s="44" t="s">
        <v>544</v>
      </c>
      <c r="BN9" s="44" t="s">
        <v>901</v>
      </c>
      <c r="BO9" s="44" t="s">
        <v>548</v>
      </c>
      <c r="BP9" s="44" t="s">
        <v>545</v>
      </c>
      <c r="BQ9" s="44" t="s">
        <v>539</v>
      </c>
      <c r="BS9" s="44" t="s">
        <v>660</v>
      </c>
      <c r="BT9" s="44" t="s">
        <v>662</v>
      </c>
      <c r="BU9" s="44" t="s">
        <v>537</v>
      </c>
      <c r="BW9" s="44" t="s">
        <v>538</v>
      </c>
      <c r="BX9" s="44" t="s">
        <v>539</v>
      </c>
      <c r="BY9" s="44" t="s">
        <v>540</v>
      </c>
      <c r="BZ9" s="44" t="s">
        <v>542</v>
      </c>
      <c r="CA9" s="44" t="s">
        <v>543</v>
      </c>
      <c r="CB9" s="44" t="s">
        <v>544</v>
      </c>
      <c r="CC9" s="44" t="s">
        <v>901</v>
      </c>
      <c r="CD9" s="44" t="s">
        <v>548</v>
      </c>
      <c r="CE9" s="44" t="s">
        <v>545</v>
      </c>
      <c r="CF9" s="44" t="s">
        <v>539</v>
      </c>
      <c r="CH9" s="44" t="s">
        <v>660</v>
      </c>
      <c r="CI9" s="44" t="s">
        <v>662</v>
      </c>
      <c r="CJ9" s="44" t="s">
        <v>537</v>
      </c>
      <c r="CL9" s="44" t="s">
        <v>538</v>
      </c>
      <c r="CM9" s="44" t="s">
        <v>539</v>
      </c>
      <c r="CN9" s="44" t="s">
        <v>540</v>
      </c>
      <c r="CO9" s="44" t="s">
        <v>542</v>
      </c>
      <c r="CP9" s="44" t="s">
        <v>543</v>
      </c>
      <c r="CQ9" s="44" t="s">
        <v>544</v>
      </c>
      <c r="CR9" s="44" t="s">
        <v>901</v>
      </c>
      <c r="CS9" s="44" t="s">
        <v>548</v>
      </c>
      <c r="CT9" s="44" t="s">
        <v>545</v>
      </c>
      <c r="CU9" s="44" t="s">
        <v>539</v>
      </c>
      <c r="CW9" s="44" t="s">
        <v>660</v>
      </c>
      <c r="CX9" s="44" t="s">
        <v>662</v>
      </c>
      <c r="CY9" s="44" t="s">
        <v>537</v>
      </c>
      <c r="DA9" s="44" t="s">
        <v>538</v>
      </c>
      <c r="DB9" s="44" t="s">
        <v>539</v>
      </c>
      <c r="DC9" s="44" t="s">
        <v>540</v>
      </c>
      <c r="DD9" s="44" t="s">
        <v>542</v>
      </c>
      <c r="DE9" s="44" t="s">
        <v>543</v>
      </c>
      <c r="DF9" s="44" t="s">
        <v>544</v>
      </c>
      <c r="DG9" s="44" t="s">
        <v>901</v>
      </c>
      <c r="DH9" s="44" t="s">
        <v>548</v>
      </c>
      <c r="DI9" s="44" t="s">
        <v>545</v>
      </c>
      <c r="DJ9" s="44" t="s">
        <v>539</v>
      </c>
      <c r="DL9" s="44" t="s">
        <v>660</v>
      </c>
      <c r="DM9" s="44" t="s">
        <v>662</v>
      </c>
      <c r="DN9" s="44" t="s">
        <v>537</v>
      </c>
      <c r="DP9" s="44" t="s">
        <v>538</v>
      </c>
      <c r="DQ9" s="44" t="s">
        <v>539</v>
      </c>
      <c r="DR9" s="44" t="s">
        <v>540</v>
      </c>
      <c r="DS9" s="44" t="s">
        <v>542</v>
      </c>
      <c r="DT9" s="44" t="s">
        <v>543</v>
      </c>
      <c r="DU9" s="44" t="s">
        <v>544</v>
      </c>
      <c r="DV9" s="44" t="s">
        <v>901</v>
      </c>
      <c r="DW9" s="44" t="s">
        <v>548</v>
      </c>
      <c r="DX9" s="44" t="s">
        <v>545</v>
      </c>
      <c r="DY9" s="44" t="s">
        <v>539</v>
      </c>
    </row>
    <row r="10" spans="1:129">
      <c r="A10">
        <v>1</v>
      </c>
      <c r="B10" t="str">
        <f>tblCountries!E6</f>
        <v>Argentina</v>
      </c>
      <c r="C10">
        <f>tblCountries!A6</f>
        <v>1</v>
      </c>
      <c r="D10">
        <f ca="1">tblCountries!F6</f>
        <v>1</v>
      </c>
      <c r="G10" s="38">
        <f t="shared" ref="G10:G28" ca="1" si="0">IF($D10=0,"",ROUND(INDEX(scores2009_yoy,G$7,$C10),1))</f>
        <v>50</v>
      </c>
      <c r="H10" s="47">
        <f t="shared" ref="H10:H27" ca="1" si="1">IF($D10=0,"",IF($G$4&lt;2,"-",ROUND(INDEX(data_2009,G$7,$C10),$G$5)))</f>
        <v>2</v>
      </c>
      <c r="I10" s="38">
        <f t="shared" ref="I10:I27" ca="1" si="2">IF($D10=0,"",ROUND(INDEX(scores2008_yoy,G$7,$C10),1))</f>
        <v>50</v>
      </c>
      <c r="J10" s="38">
        <f t="shared" ref="J10:J27" ca="1" si="3">IF($D10=0,"",IF($G$4&lt;2,"-",ROUND(INDEX(data_2008,G$7,$C10),$G$5)))</f>
        <v>2</v>
      </c>
      <c r="K10" s="47">
        <f>IF(G6="INVT03",0,IF(ISNUMBER(INDEX(yoy,G$7,$C10)),INDEX(yoy,G$7,$C10),0))</f>
        <v>0</v>
      </c>
      <c r="L10" s="47" t="str">
        <f>IF(OR(K10=0,K10="-"),"-",IF(K10&gt;0,CONCATENATE("+",ROUND(K10,1)),CONCATENATE("-",ABS(ROUND(K10,1)))))</f>
        <v>-</v>
      </c>
      <c r="M10" s="38">
        <f ca="1">IF($B$4=1,G10,K10)</f>
        <v>50</v>
      </c>
      <c r="N10">
        <f ca="1">RANK(M10,M$10:M$28)+COUNTIF(M$10:M10,M10)-1</f>
        <v>5</v>
      </c>
      <c r="O10">
        <f t="shared" ref="O10:O28" ca="1" si="4">MATCH($A10,N$10:N$28,0)</f>
        <v>3</v>
      </c>
      <c r="P10" s="40">
        <v>1</v>
      </c>
      <c r="Q10" s="21">
        <f t="shared" ref="Q10:Q28" ca="1" si="5">IF(ISERROR($O10),0,INDEX($D$10:$D$28,$O10))</f>
        <v>1</v>
      </c>
      <c r="R10" s="41">
        <f ca="1">IF(Q10=0,"",IF(OR(P10=P9,P10=P11),CONCATENATE($B$2,P10),P10))</f>
        <v>1</v>
      </c>
      <c r="S10" s="21" t="str">
        <f t="shared" ref="S10:S28" ca="1" si="6">IF(ISERROR($O10),0,INDEX($B$10:$B$28,$O10))</f>
        <v xml:space="preserve">Chile </v>
      </c>
      <c r="T10" s="41" t="str">
        <f t="shared" ref="T10:T28" ca="1" si="7">IF(ISERROR($O10),0,TEXT(INDEX($H$10:$H$28,$O10),$G$3))</f>
        <v>4</v>
      </c>
      <c r="U10" s="43">
        <f t="shared" ref="U10:U28" ca="1" si="8">IF(ISERROR($O10),0,INDEX($G$10:$G$28,$O10))</f>
        <v>100</v>
      </c>
      <c r="V10" s="43" t="str">
        <f t="shared" ref="V10:V28" ca="1" si="9">IF(ISERROR($O10),0,INDEX($L$10:$L$28,$O10))</f>
        <v>+25</v>
      </c>
      <c r="W10" t="str">
        <f ca="1">IF($G$4=2,V10,"")</f>
        <v>+25</v>
      </c>
      <c r="Z10" s="38">
        <f t="shared" ref="Z10:Z28" ca="1" si="10">IF($D10=0,"",ROUND(INDEX(scores2009_yoy,Z$7,$C10),1))</f>
        <v>28.1</v>
      </c>
      <c r="AA10" s="38">
        <f t="shared" ref="AA10:AA27" ca="1" si="11">IF($D10=0,"",ROUND(INDEX(scores2008_yoy,Z$7,$C10),1))</f>
        <v>27.2</v>
      </c>
      <c r="AB10" s="38">
        <f t="shared" ref="AB10:AB27" si="12">IF(ISNUMBER(INDEX(yoy,Z$7,$C10)),INDEX(yoy,Z$7,$C10),0)</f>
        <v>0.9</v>
      </c>
      <c r="AC10" s="47">
        <f>IF(OR(AB10=0,AB10="-"),"-",AB10)</f>
        <v>0.9</v>
      </c>
      <c r="AD10" s="38">
        <f ca="1">IF($B$3=1,ROUND(Z10,3),ROUND(AB10,3))</f>
        <v>28.1</v>
      </c>
      <c r="AE10">
        <f ca="1">RANK(AD10,AD$10:AD$28)+COUNTIF(AD$10:AD10,AD10)-1</f>
        <v>12</v>
      </c>
      <c r="AF10">
        <f t="shared" ref="AF10:AF28" ca="1" si="13">MATCH($A10,AE$10:AE$28,0)</f>
        <v>3</v>
      </c>
      <c r="AG10" s="40">
        <v>1</v>
      </c>
      <c r="AH10" s="21">
        <f t="shared" ref="AH10:AH28" ca="1" si="14">IF(ISERROR(AF10),0,INDEX($D$10:$D$28,AF10))</f>
        <v>1</v>
      </c>
      <c r="AI10" s="41">
        <f ca="1">IF(AH10=0,"",IF(OR(AG10=AG9,AG10=AG11),CONCATENATE($B$2,AG10),AG10))</f>
        <v>1</v>
      </c>
      <c r="AJ10" s="21" t="str">
        <f t="shared" ref="AJ10:AJ28" ca="1" si="15">IF(ISERROR(AF10),0,INDEX($B$10:$B$28,AF10))</f>
        <v xml:space="preserve">Chile </v>
      </c>
      <c r="AK10" s="43">
        <f t="shared" ref="AK10:AK28" ca="1" si="16">IF(ISERROR(AF10),0,INDEX(Z$10:Z$28,AF10))</f>
        <v>80.099999999999994</v>
      </c>
      <c r="AL10" s="43">
        <f t="shared" ref="AL10:AL28" ca="1" si="17">IF(ISERROR(AF10),0,INDEX(AC$10:AC$28,AF10))</f>
        <v>11.9</v>
      </c>
      <c r="AM10" s="38">
        <f t="shared" ref="AM10:AM28" ca="1" si="18">IF(ISERROR(AF10),0,INDEX(AB$10:AB$28,AF10))</f>
        <v>11.9</v>
      </c>
      <c r="AO10" s="38">
        <f t="shared" ref="AO10:AO28" ca="1" si="19">IF($D10=0,"",ROUND(INDEX(scores2009_yoy,AO$7,$C10),1))</f>
        <v>21.9</v>
      </c>
      <c r="AP10" s="38">
        <f t="shared" ref="AP10:AP27" ca="1" si="20">IF($D10=0,"",ROUND(INDEX(scores2008_yoy,AO$7,$C10),1))</f>
        <v>28.1</v>
      </c>
      <c r="AQ10" s="38">
        <f t="shared" ref="AQ10:AQ27" si="21">IF(ISNUMBER(INDEX(yoy,AO$7,$C10)),INDEX(yoy,AO$7,$C10),0)</f>
        <v>-6.3</v>
      </c>
      <c r="AR10" s="47">
        <f>IF(OR(AQ10=0,AQ10="-"),"-",AQ10)</f>
        <v>-6.3</v>
      </c>
      <c r="AS10" s="38">
        <f ca="1">IF($B$3=1,ROUND(AO10,3),ROUND(AQ10,3))</f>
        <v>21.9</v>
      </c>
      <c r="AT10">
        <f ca="1">RANK(AS10,AS$10:AS$28)+COUNTIF(AS$10:AS10,AS10)-1</f>
        <v>14</v>
      </c>
      <c r="AU10">
        <f t="shared" ref="AU10:AU28" ca="1" si="22">MATCH($A10,AT$10:AT$28,0)</f>
        <v>3</v>
      </c>
      <c r="AV10" s="40">
        <v>1</v>
      </c>
      <c r="AW10" s="21">
        <f t="shared" ref="AW10:AW28" ca="1" si="23">IF(ISERROR(AU10),0,INDEX($D$10:$D$28,AU10))</f>
        <v>1</v>
      </c>
      <c r="AX10" s="41">
        <f ca="1">IF(AW10=0,"",IF(OR(AV10=AV9,AV10=AV11),CONCATENATE($B$2,AV10),AV10))</f>
        <v>1</v>
      </c>
      <c r="AY10" s="21" t="str">
        <f t="shared" ref="AY10:AY28" ca="1" si="24">IF(ISERROR(AU10),0,INDEX($B$10:$B$28,AU10))</f>
        <v xml:space="preserve">Chile </v>
      </c>
      <c r="AZ10" s="43">
        <f t="shared" ref="AZ10:AZ28" ca="1" si="25">IF(ISERROR(AU10),0,INDEX(AO$10:AO$28,AU10))</f>
        <v>84.4</v>
      </c>
      <c r="BA10" s="43">
        <f t="shared" ref="BA10:BA28" ca="1" si="26">IF(ISERROR(AU10),0,INDEX(AR$10:AR$28,AU10))</f>
        <v>21.9</v>
      </c>
      <c r="BB10" s="38">
        <f t="shared" ref="BB10:BB28" ca="1" si="27">IF(ISERROR(AU10),0,INDEX(AQ$10:AQ$28,AU10))</f>
        <v>21.9</v>
      </c>
      <c r="BD10" s="38">
        <f t="shared" ref="BD10:BD28" ca="1" si="28">IF($D10=0,"",ROUND(INDEX(scores2009_yoy,BD$7,$C10),1))</f>
        <v>33.299999999999997</v>
      </c>
      <c r="BE10" s="38">
        <f t="shared" ref="BE10:BE27" ca="1" si="29">IF($D10=0,"",ROUND(INDEX(scores2008_yoy,BD$7,$C10),1))</f>
        <v>16.7</v>
      </c>
      <c r="BF10" s="38">
        <f t="shared" ref="BF10:BF27" si="30">IF(ISNUMBER(INDEX(yoy,BD$7,$C10)),INDEX(yoy,BD$7,$C10),0)</f>
        <v>16.7</v>
      </c>
      <c r="BG10" s="47">
        <f>IF(OR(BF10=0,BF10="-"),"-",BF10)</f>
        <v>16.7</v>
      </c>
      <c r="BH10" s="38">
        <f ca="1">IF($B$3=1,ROUND(BD10,3),ROUND(BF10,3))</f>
        <v>33.299999999999997</v>
      </c>
      <c r="BI10">
        <f ca="1">RANK(BH10,BH$10:BH$28)+COUNTIF(BH$10:BH10,BH10)-1</f>
        <v>7</v>
      </c>
      <c r="BJ10">
        <f t="shared" ref="BJ10:BJ28" ca="1" si="31">MATCH($A10,BI$10:BI$28,0)</f>
        <v>2</v>
      </c>
      <c r="BK10" s="40">
        <v>1</v>
      </c>
      <c r="BL10" s="21">
        <f t="shared" ref="BL10:BL28" ca="1" si="32">IF(ISERROR(BJ10),0,INDEX($D$10:$D$28,BJ10))</f>
        <v>1</v>
      </c>
      <c r="BM10" s="41">
        <f ca="1">IF(BL10=0,"",IF(OR(BK10=BK9,BK10=BK11),CONCATENATE($B$2,BK10),BK10))</f>
        <v>1</v>
      </c>
      <c r="BN10" s="21" t="str">
        <f t="shared" ref="BN10:BN28" ca="1" si="33">IF(ISERROR(BJ10),0,INDEX($B$10:$B$28,BJ10))</f>
        <v>Brazil</v>
      </c>
      <c r="BO10" s="43">
        <f t="shared" ref="BO10:BO28" ca="1" si="34">IF(ISERROR(BJ10),0,INDEX(BD$10:BD$28,BJ10))</f>
        <v>75</v>
      </c>
      <c r="BP10" s="43">
        <f t="shared" ref="BP10:BP28" ca="1" si="35">IF(ISERROR(BJ10),0,INDEX(BG$10:BG$28,BJ10))</f>
        <v>8.3000000000000007</v>
      </c>
      <c r="BQ10" s="38">
        <f t="shared" ref="BQ10:BQ28" ca="1" si="36">IF(ISERROR(BJ10),0,INDEX(BF$10:BF$28,BJ10))</f>
        <v>8.3000000000000007</v>
      </c>
      <c r="BS10" s="38">
        <f t="shared" ref="BS10:BS28" ca="1" si="37">IF($D10=0,"",ROUND(INDEX(scores2009_yoy,BS$7,$C10),1))</f>
        <v>16.7</v>
      </c>
      <c r="BT10" s="38">
        <f t="shared" ref="BT10:BT27" ca="1" si="38">IF($D10=0,"",ROUND(INDEX(scores2008_yoy,BS$7,$C10),1))</f>
        <v>22.1</v>
      </c>
      <c r="BU10" s="38">
        <f t="shared" ref="BU10:BU27" si="39">IF(ISNUMBER(INDEX(yoy,BS$7,$C10)),INDEX(yoy,BS$7,$C10),0)</f>
        <v>-5.4</v>
      </c>
      <c r="BV10" s="47">
        <f>IF(OR(BU10=0,BU10="-"),"-",BU10)</f>
        <v>-5.4</v>
      </c>
      <c r="BW10" s="38">
        <f ca="1">IF($B$3=1,ROUND(BS10,3),ROUND(BU10,3))</f>
        <v>16.7</v>
      </c>
      <c r="BX10">
        <f ca="1">RANK(BW10,BW$10:BW$28)+COUNTIF(BW$10:BW10,BW10)-1</f>
        <v>13</v>
      </c>
      <c r="BY10">
        <f t="shared" ref="BY10:BY28" ca="1" si="40">MATCH($A10,BX$10:BX$28,0)</f>
        <v>2</v>
      </c>
      <c r="BZ10" s="40">
        <v>1</v>
      </c>
      <c r="CA10" s="21">
        <f t="shared" ref="CA10:CA28" ca="1" si="41">IF(ISERROR(BY10),0,INDEX($D$10:$D$28,BY10))</f>
        <v>1</v>
      </c>
      <c r="CB10" s="41">
        <f ca="1">IF(CA10=0,"",IF(OR(BZ10=BZ9,BZ10=BZ11),CONCATENATE($B$2,BZ10),BZ10))</f>
        <v>1</v>
      </c>
      <c r="CC10" s="21" t="str">
        <f t="shared" ref="CC10:CC28" ca="1" si="42">IF(ISERROR(BY10),0,INDEX($B$10:$B$28,BY10))</f>
        <v>Brazil</v>
      </c>
      <c r="CD10" s="43">
        <f t="shared" ref="CD10:CD28" ca="1" si="43">IF(ISERROR(BY10),0,INDEX(BS$10:BS$28,BY10))</f>
        <v>87.5</v>
      </c>
      <c r="CE10" s="43">
        <f t="shared" ref="CE10:CE28" ca="1" si="44">IF(ISERROR(BY10),0,INDEX(BV$10:BV$28,BY10))</f>
        <v>18.8</v>
      </c>
      <c r="CF10" s="38">
        <f t="shared" ref="CF10:CF28" ca="1" si="45">IF(ISERROR(BY10),0,INDEX(BU$10:BU$28,BY10))</f>
        <v>18.8</v>
      </c>
      <c r="CH10" s="38">
        <f t="shared" ref="CH10:CH28" ca="1" si="46">IF($D10=0,"",ROUND(INDEX(scores2009_yoy,CH$7,$C10),1))</f>
        <v>38</v>
      </c>
      <c r="CI10" s="38">
        <f t="shared" ref="CI10:CI27" ca="1" si="47">IF($D10=0,"",ROUND(INDEX(scores2008_yoy,CH$7,$C10),1))</f>
        <v>44.2</v>
      </c>
      <c r="CJ10" s="38">
        <f t="shared" ref="CJ10:CJ27" si="48">IF(ISNUMBER(INDEX(yoy,CH$7,$C10)),INDEX(yoy,CH$7,$C10),0)</f>
        <v>-6.3</v>
      </c>
      <c r="CK10" s="47">
        <f>IF(OR(CJ10=0,CJ10="-"),"-",CJ10)</f>
        <v>-6.3</v>
      </c>
      <c r="CL10" s="38">
        <f ca="1">IF($B$3=1,ROUND(CH10,3),ROUND(CJ10,3))</f>
        <v>38</v>
      </c>
      <c r="CM10">
        <f ca="1">RANK(CL10,CL$10:CL$28)+COUNTIF(CL$10:CL10,CL10)-1</f>
        <v>13</v>
      </c>
      <c r="CN10">
        <f t="shared" ref="CN10:CN28" ca="1" si="49">MATCH($A10,CM$10:CM$28,0)</f>
        <v>3</v>
      </c>
      <c r="CO10" s="40">
        <v>1</v>
      </c>
      <c r="CP10" s="21">
        <f t="shared" ref="CP10:CP28" ca="1" si="50">IF(ISERROR(CN10),0,INDEX($D$10:$D$28,CN10))</f>
        <v>1</v>
      </c>
      <c r="CQ10" s="41">
        <f ca="1">IF(CP10=0,"",IF(OR(CO10=CO9,CO10=CO11),CONCATENATE($B$2,CO10),CO10))</f>
        <v>1</v>
      </c>
      <c r="CR10" s="21" t="str">
        <f t="shared" ref="CR10:CR28" ca="1" si="51">IF(ISERROR(CN10),0,INDEX($B$10:$B$28,CN10))</f>
        <v xml:space="preserve">Chile </v>
      </c>
      <c r="CS10" s="43">
        <f t="shared" ref="CS10:CS28" ca="1" si="52">IF(ISERROR(CN10),0,INDEX(CH$10:CH$28,CN10))</f>
        <v>70.8</v>
      </c>
      <c r="CT10" s="43">
        <f t="shared" ref="CT10:CT28" ca="1" si="53">IF(ISERROR(CN10),0,INDEX(CK$10:CK$28,CN10))</f>
        <v>-0.5</v>
      </c>
      <c r="CU10" s="38">
        <f t="shared" ref="CU10:CU28" ca="1" si="54">IF(ISERROR(CN10),0,INDEX(CJ$10:CJ$28,CN10))</f>
        <v>-0.5</v>
      </c>
      <c r="CW10" s="38">
        <f t="shared" ref="CW10:CW28" ca="1" si="55">IF($D10=0,"",ROUND(INDEX(scores2009_yoy,CW$7,$C10),1))</f>
        <v>33.299999999999997</v>
      </c>
      <c r="CX10" s="38">
        <f t="shared" ref="CX10:CX27" ca="1" si="56">IF($D10=0,"",ROUND(INDEX(scores2008_yoy,CW$7,$C10),1))</f>
        <v>27.8</v>
      </c>
      <c r="CY10" s="38">
        <f t="shared" ref="CY10:CY27" si="57">IF(ISNUMBER(INDEX(yoy,CW$7,$C10)),INDEX(yoy,CW$7,$C10),0)</f>
        <v>5.6</v>
      </c>
      <c r="CZ10" s="47">
        <f>IF(OR(CY10=0,CY10="-"),"-",CY10)</f>
        <v>5.6</v>
      </c>
      <c r="DA10" s="38">
        <f ca="1">IF($B$3=1,ROUND(CW10,3),ROUND(CY10,3))</f>
        <v>33.299999999999997</v>
      </c>
      <c r="DB10">
        <f ca="1">RANK(DA10,DA$10:DA$28)+COUNTIF(DA$10:DA10,DA10)-1</f>
        <v>10</v>
      </c>
      <c r="DC10">
        <f t="shared" ref="DC10:DC28" ca="1" si="58">MATCH($A10,DB$10:DB$28,0)</f>
        <v>3</v>
      </c>
      <c r="DD10" s="40">
        <v>1</v>
      </c>
      <c r="DE10" s="21">
        <f t="shared" ref="DE10:DE28" ca="1" si="59">IF(ISERROR(DC10),0,INDEX($D$10:$D$28,DC10))</f>
        <v>1</v>
      </c>
      <c r="DF10" s="41">
        <f ca="1">IF(DE10=0,"",IF(OR(DD10=DD9,DD10=DD11),CONCATENATE($B$2,DD10),DD10))</f>
        <v>1</v>
      </c>
      <c r="DG10" s="21" t="str">
        <f t="shared" ref="DG10:DG28" ca="1" si="60">IF(ISERROR(DC10),0,INDEX($B$10:$B$28,DC10))</f>
        <v xml:space="preserve">Chile </v>
      </c>
      <c r="DH10" s="43">
        <f t="shared" ref="DH10:DH28" ca="1" si="61">IF(ISERROR(DC10),0,INDEX(CW$10:CW$28,DC10))</f>
        <v>97.2</v>
      </c>
      <c r="DI10" s="43" t="str">
        <f t="shared" ref="DI10:DI28" ca="1" si="62">IF(ISERROR(DC10),0,INDEX(CZ$10:CZ$28,DC10))</f>
        <v>-</v>
      </c>
      <c r="DJ10" s="38">
        <f t="shared" ref="DJ10:DJ28" ca="1" si="63">IF(ISERROR(DC10),0,INDEX(CY$10:CY$28,DC10))</f>
        <v>0</v>
      </c>
      <c r="DL10" s="38">
        <f t="shared" ref="DL10:DL28" ca="1" si="64">IF($D10=0,"",ROUND(INDEX(scores2009_yoy,DL$7,$C10),1))</f>
        <v>0</v>
      </c>
      <c r="DM10" s="38">
        <f t="shared" ref="DM10:DM27" ca="1" si="65">IF($D10=0,"",ROUND(INDEX(scores2008_yoy,DL$7,$C10),1))</f>
        <v>0</v>
      </c>
      <c r="DN10" s="38">
        <f t="shared" ref="DN10:DN27" si="66">IF(ISNUMBER(INDEX(yoy,DL$7,$C10)),INDEX(yoy,DL$7,$C10),0)</f>
        <v>0</v>
      </c>
      <c r="DO10" s="47" t="str">
        <f>IF(OR(DN10=0,DN10="-"),"-",DN10)</f>
        <v>-</v>
      </c>
      <c r="DP10" s="38">
        <f ca="1">IF($B$3=1,ROUND(DL10,3),ROUND(DN10,3))</f>
        <v>0</v>
      </c>
      <c r="DQ10">
        <f ca="1">RANK(DP10,DP$10:DP$28)+COUNTIF(DP$10:DP10,DP10)-1</f>
        <v>1</v>
      </c>
      <c r="DR10">
        <f t="shared" ref="DR10:DR28" ca="1" si="67">MATCH($A10,DQ$10:DQ$28,0)</f>
        <v>1</v>
      </c>
      <c r="DS10" s="40">
        <v>1</v>
      </c>
      <c r="DT10" s="21">
        <f t="shared" ref="DT10:DT28" ca="1" si="68">IF(ISERROR(DR10),0,INDEX($D$10:$D$28,DR10))</f>
        <v>1</v>
      </c>
      <c r="DU10" s="41" t="str">
        <f ca="1">IF(DT10=0,"",IF(OR(DS10=DS9,DS10=DS11),CONCATENATE($B$2,DS10),DS10))</f>
        <v>=1</v>
      </c>
      <c r="DV10" s="21" t="str">
        <f t="shared" ref="DV10:DV28" ca="1" si="69">IF(ISERROR(DR10),0,INDEX($B$10:$B$28,DR10))</f>
        <v>Argentina</v>
      </c>
      <c r="DW10" s="43">
        <f t="shared" ref="DW10:DW28" ca="1" si="70">IF(ISERROR(DR10),0,INDEX(DL$10:DL$28,DR10))</f>
        <v>0</v>
      </c>
      <c r="DX10" s="43" t="str">
        <f t="shared" ref="DX10:DX28" ca="1" si="71">IF(ISERROR(DR10),0,INDEX(DO$10:DO$28,DR10))</f>
        <v>-</v>
      </c>
      <c r="DY10" s="38">
        <f t="shared" ref="DY10:DY28" ca="1" si="72">IF(ISERROR(DR10),0,INDEX(DN$10:DN$28,DR10))</f>
        <v>0</v>
      </c>
    </row>
    <row r="11" spans="1:129">
      <c r="A11">
        <v>2</v>
      </c>
      <c r="B11" t="str">
        <f>tblCountries!E7</f>
        <v>Brazil</v>
      </c>
      <c r="C11">
        <f>tblCountries!A7</f>
        <v>2</v>
      </c>
      <c r="D11">
        <f ca="1">tblCountries!F7</f>
        <v>1</v>
      </c>
      <c r="G11" s="38">
        <f t="shared" ca="1" si="0"/>
        <v>75</v>
      </c>
      <c r="H11" s="47">
        <f t="shared" ca="1" si="1"/>
        <v>3</v>
      </c>
      <c r="I11" s="38">
        <f t="shared" ca="1" si="2"/>
        <v>50</v>
      </c>
      <c r="J11" s="38">
        <f t="shared" ca="1" si="3"/>
        <v>2</v>
      </c>
      <c r="K11" s="47">
        <f t="shared" ref="K11:K27" si="73">IF(ISNUMBER(INDEX(yoy,G$7,$C11)),INDEX(yoy,G$7,$C11),0)</f>
        <v>25</v>
      </c>
      <c r="L11" s="47" t="str">
        <f t="shared" ref="L11:L27" si="74">IF(OR(K11=0,K11="-"),"-",IF(K11&gt;0,CONCATENATE("+",ROUND(K11,1)),CONCATENATE("-",ABS(ROUND(K11,1)))))</f>
        <v>+25</v>
      </c>
      <c r="M11" s="38">
        <f t="shared" ref="M11:M27" ca="1" si="75">IF($B$4=1,G11,K11)</f>
        <v>75</v>
      </c>
      <c r="N11">
        <f ca="1">RANK(M11,M$10:M$28)+COUNTIF(M$10:M11,M11)-1</f>
        <v>2</v>
      </c>
      <c r="O11">
        <f t="shared" ca="1" si="4"/>
        <v>2</v>
      </c>
      <c r="P11" s="21">
        <f ca="1">IF(ISERROR(O11),"",IF(ROUND(U11,$B$3)=ROUND(U10,$B$3),P10,$A11))</f>
        <v>2</v>
      </c>
      <c r="Q11" s="21">
        <f t="shared" ca="1" si="5"/>
        <v>1</v>
      </c>
      <c r="R11" s="41" t="str">
        <f t="shared" ref="R11:R27" ca="1" si="76">IF(Q11=0,"",IF(OR(P11=P10,P11=P12),CONCATENATE($B$2,P11),P11))</f>
        <v>=2</v>
      </c>
      <c r="S11" s="21" t="str">
        <f t="shared" ca="1" si="6"/>
        <v>Brazil</v>
      </c>
      <c r="T11" s="41" t="str">
        <f t="shared" ca="1" si="7"/>
        <v>3</v>
      </c>
      <c r="U11" s="43">
        <f t="shared" ca="1" si="8"/>
        <v>75</v>
      </c>
      <c r="V11" s="43" t="str">
        <f t="shared" ca="1" si="9"/>
        <v>+25</v>
      </c>
      <c r="W11" t="str">
        <f t="shared" ref="W11:W27" ca="1" si="77">IF($G$4=2,V11,"")</f>
        <v>+25</v>
      </c>
      <c r="Z11" s="38">
        <f t="shared" ca="1" si="10"/>
        <v>71.7</v>
      </c>
      <c r="AA11" s="38">
        <f t="shared" ca="1" si="11"/>
        <v>58.4</v>
      </c>
      <c r="AB11" s="38">
        <f t="shared" si="12"/>
        <v>13.3</v>
      </c>
      <c r="AC11" s="47">
        <f t="shared" ref="AC11:AC28" si="78">IF(OR(AB11=0,AB11="-"),"-",AB11)</f>
        <v>13.3</v>
      </c>
      <c r="AD11" s="38">
        <f t="shared" ref="AD11:AD27" ca="1" si="79">IF($B$3=1,ROUND(Z11,3),ROUND(AB11,3))</f>
        <v>71.7</v>
      </c>
      <c r="AE11">
        <f ca="1">RANK(AD11,AD$10:AD$28)+COUNTIF(AD$10:AD11,AD11)-1</f>
        <v>2</v>
      </c>
      <c r="AF11">
        <f t="shared" ca="1" si="13"/>
        <v>2</v>
      </c>
      <c r="AG11" s="21">
        <f t="shared" ref="AG11:AG27" ca="1" si="80">IF(ISERROR(AF11),"",IF(ROUND(AM11,$B$3)=ROUND(AM10,$B$3),AG10,$A11))</f>
        <v>2</v>
      </c>
      <c r="AH11" s="21">
        <f t="shared" ca="1" si="14"/>
        <v>1</v>
      </c>
      <c r="AI11" s="41">
        <f t="shared" ref="AI11:AI27" ca="1" si="81">IF(AH11=0,"",IF(OR(AG11=AG10,AG11=AG12),CONCATENATE($B$2,AG11),AG11))</f>
        <v>2</v>
      </c>
      <c r="AJ11" s="21" t="str">
        <f t="shared" ca="1" si="15"/>
        <v>Brazil</v>
      </c>
      <c r="AK11" s="43">
        <f t="shared" ca="1" si="16"/>
        <v>71.7</v>
      </c>
      <c r="AL11" s="43">
        <f t="shared" ca="1" si="17"/>
        <v>13.3</v>
      </c>
      <c r="AM11" s="38">
        <f t="shared" ca="1" si="18"/>
        <v>13.3</v>
      </c>
      <c r="AO11" s="38">
        <f t="shared" ca="1" si="19"/>
        <v>71.900000000000006</v>
      </c>
      <c r="AP11" s="38">
        <f t="shared" ca="1" si="20"/>
        <v>46.9</v>
      </c>
      <c r="AQ11" s="38">
        <f t="shared" si="21"/>
        <v>25</v>
      </c>
      <c r="AR11" s="47">
        <f t="shared" ref="AR11:AR28" si="82">IF(OR(AQ11=0,AQ11="-"),"-",AQ11)</f>
        <v>25</v>
      </c>
      <c r="AS11" s="38">
        <f t="shared" ref="AS11:AS27" ca="1" si="83">IF($B$3=1,ROUND(AO11,3),ROUND(AQ11,3))</f>
        <v>71.900000000000006</v>
      </c>
      <c r="AT11">
        <f ca="1">RANK(AS11,AS$10:AS$28)+COUNTIF(AS$10:AS11,AS11)-1</f>
        <v>3</v>
      </c>
      <c r="AU11">
        <f t="shared" ca="1" si="22"/>
        <v>16</v>
      </c>
      <c r="AV11" s="21">
        <f ca="1">IF(ISERROR(AU11),"",IF(ROUND(BB11,$B$3)=ROUND(BB10,$B$3),AV10,$A11))</f>
        <v>2</v>
      </c>
      <c r="AW11" s="21">
        <f t="shared" ca="1" si="23"/>
        <v>1</v>
      </c>
      <c r="AX11" s="41">
        <f t="shared" ref="AX11:AX27" ca="1" si="84">IF(AW11=0,"",IF(OR(AV11=AV10,AV11=AV12),CONCATENATE($B$2,AV11),AV11))</f>
        <v>2</v>
      </c>
      <c r="AY11" s="21" t="str">
        <f t="shared" ca="1" si="24"/>
        <v>Peru</v>
      </c>
      <c r="AZ11" s="43">
        <f t="shared" ca="1" si="25"/>
        <v>75</v>
      </c>
      <c r="BA11" s="43">
        <f t="shared" ca="1" si="26"/>
        <v>9.4</v>
      </c>
      <c r="BB11" s="38">
        <f t="shared" ca="1" si="27"/>
        <v>9.4</v>
      </c>
      <c r="BD11" s="38">
        <f t="shared" ca="1" si="28"/>
        <v>75</v>
      </c>
      <c r="BE11" s="38">
        <f t="shared" ca="1" si="29"/>
        <v>66.7</v>
      </c>
      <c r="BF11" s="38">
        <f t="shared" si="30"/>
        <v>8.3000000000000007</v>
      </c>
      <c r="BG11" s="47">
        <f t="shared" ref="BG11:BG28" si="85">IF(OR(BF11=0,BF11="-"),"-",BF11)</f>
        <v>8.3000000000000007</v>
      </c>
      <c r="BH11" s="38">
        <f t="shared" ref="BH11:BH27" ca="1" si="86">IF($B$3=1,ROUND(BD11,3),ROUND(BF11,3))</f>
        <v>75</v>
      </c>
      <c r="BI11">
        <f ca="1">RANK(BH11,BH$10:BH$28)+COUNTIF(BH$10:BH11,BH11)-1</f>
        <v>1</v>
      </c>
      <c r="BJ11">
        <f t="shared" ca="1" si="31"/>
        <v>3</v>
      </c>
      <c r="BK11" s="21">
        <f ca="1">IF(ISERROR(BJ11),"",IF(ROUND(BQ11,$B$3)=ROUND(BQ10,$B$3),BK10,$A11))</f>
        <v>2</v>
      </c>
      <c r="BL11" s="21">
        <f t="shared" ca="1" si="32"/>
        <v>1</v>
      </c>
      <c r="BM11" s="41" t="str">
        <f t="shared" ref="BM11:BM27" ca="1" si="87">IF(BL11=0,"",IF(OR(BK11=BK10,BK11=BK12),CONCATENATE($B$2,BK11),BK11))</f>
        <v>=2</v>
      </c>
      <c r="BN11" s="21" t="str">
        <f t="shared" ca="1" si="33"/>
        <v xml:space="preserve">Chile </v>
      </c>
      <c r="BO11" s="43">
        <f t="shared" ca="1" si="34"/>
        <v>75</v>
      </c>
      <c r="BP11" s="43">
        <f t="shared" ca="1" si="35"/>
        <v>25</v>
      </c>
      <c r="BQ11" s="38">
        <f t="shared" ca="1" si="36"/>
        <v>25</v>
      </c>
      <c r="BS11" s="38">
        <f t="shared" ca="1" si="37"/>
        <v>87.5</v>
      </c>
      <c r="BT11" s="38">
        <f t="shared" ca="1" si="38"/>
        <v>68.8</v>
      </c>
      <c r="BU11" s="38">
        <f t="shared" si="39"/>
        <v>18.8</v>
      </c>
      <c r="BV11" s="47">
        <f t="shared" ref="BV11:BV28" si="88">IF(OR(BU11=0,BU11="-"),"-",BU11)</f>
        <v>18.8</v>
      </c>
      <c r="BW11" s="38">
        <f t="shared" ref="BW11:BW27" ca="1" si="89">IF($B$3=1,ROUND(BS11,3),ROUND(BU11,3))</f>
        <v>87.5</v>
      </c>
      <c r="BX11">
        <f ca="1">RANK(BW11,BW$10:BW$28)+COUNTIF(BW$10:BW11,BW11)-1</f>
        <v>1</v>
      </c>
      <c r="BY11">
        <f t="shared" ca="1" si="40"/>
        <v>3</v>
      </c>
      <c r="BZ11" s="21">
        <f ca="1">IF(ISERROR(BY11),"",IF(ROUND(CF11,$B$3)=ROUND(CF10,$B$3),BZ10,$A11))</f>
        <v>2</v>
      </c>
      <c r="CA11" s="21">
        <f t="shared" ca="1" si="41"/>
        <v>1</v>
      </c>
      <c r="CB11" s="41">
        <f t="shared" ref="CB11:CB27" ca="1" si="90">IF(CA11=0,"",IF(OR(BZ11=BZ10,BZ11=BZ12),CONCATENATE($B$2,BZ11),BZ11))</f>
        <v>2</v>
      </c>
      <c r="CC11" s="21" t="str">
        <f t="shared" ca="1" si="42"/>
        <v xml:space="preserve">Chile </v>
      </c>
      <c r="CD11" s="43">
        <f t="shared" ca="1" si="43"/>
        <v>72.2</v>
      </c>
      <c r="CE11" s="43">
        <f t="shared" ca="1" si="44"/>
        <v>2</v>
      </c>
      <c r="CF11" s="38">
        <f t="shared" ca="1" si="45"/>
        <v>2</v>
      </c>
      <c r="CH11" s="38">
        <f t="shared" ca="1" si="46"/>
        <v>50.9</v>
      </c>
      <c r="CI11" s="38">
        <f t="shared" ca="1" si="47"/>
        <v>50.9</v>
      </c>
      <c r="CJ11" s="38">
        <f t="shared" si="48"/>
        <v>0</v>
      </c>
      <c r="CK11" s="47" t="str">
        <f t="shared" ref="CK11:CK28" si="91">IF(OR(CJ11=0,CJ11="-"),"-",CJ11)</f>
        <v>-</v>
      </c>
      <c r="CL11" s="38">
        <f t="shared" ref="CL11:CL27" ca="1" si="92">IF($B$3=1,ROUND(CH11,3),ROUND(CJ11,3))</f>
        <v>50.9</v>
      </c>
      <c r="CM11">
        <f ca="1">RANK(CL11,CL$10:CL$28)+COUNTIF(CL$10:CL11,CL11)-1</f>
        <v>3</v>
      </c>
      <c r="CN11">
        <f t="shared" ca="1" si="49"/>
        <v>18</v>
      </c>
      <c r="CO11" s="21">
        <f ca="1">IF(ISERROR(CN11),"",IF(ROUND(CU11,$B$3)=ROUND(CU10,$B$3),CO10,$A11))</f>
        <v>2</v>
      </c>
      <c r="CP11" s="21">
        <f t="shared" ca="1" si="50"/>
        <v>1</v>
      </c>
      <c r="CQ11" s="41">
        <f t="shared" ref="CQ11:CQ27" ca="1" si="93">IF(CP11=0,"",IF(OR(CO11=CO10,CO11=CO12),CONCATENATE($B$2,CO11),CO11))</f>
        <v>2</v>
      </c>
      <c r="CR11" s="21" t="str">
        <f t="shared" ca="1" si="51"/>
        <v>Uruguay</v>
      </c>
      <c r="CS11" s="43">
        <f t="shared" ca="1" si="52"/>
        <v>54</v>
      </c>
      <c r="CT11" s="43">
        <f t="shared" ca="1" si="53"/>
        <v>1.5</v>
      </c>
      <c r="CU11" s="38">
        <f t="shared" ca="1" si="54"/>
        <v>1.5</v>
      </c>
      <c r="CW11" s="38">
        <f t="shared" ca="1" si="55"/>
        <v>72.2</v>
      </c>
      <c r="CX11" s="38">
        <f t="shared" ca="1" si="56"/>
        <v>63.9</v>
      </c>
      <c r="CY11" s="38">
        <f t="shared" si="57"/>
        <v>8.3000000000000007</v>
      </c>
      <c r="CZ11" s="47">
        <f t="shared" ref="CZ11:CZ28" si="94">IF(OR(CY11=0,CY11="-"),"-",CY11)</f>
        <v>8.3000000000000007</v>
      </c>
      <c r="DA11" s="38">
        <f t="shared" ref="DA11:DA27" ca="1" si="95">IF($B$3=1,ROUND(CW11,3),ROUND(CY11,3))</f>
        <v>72.2</v>
      </c>
      <c r="DB11">
        <f ca="1">RANK(DA11,DA$10:DA$28)+COUNTIF(DA$10:DA11,DA11)-1</f>
        <v>2</v>
      </c>
      <c r="DC11">
        <f t="shared" ca="1" si="58"/>
        <v>2</v>
      </c>
      <c r="DD11" s="21">
        <f ca="1">IF(ISERROR(DC11),"",IF(ROUND(DJ11,$B$3)=ROUND(DJ10,$B$3),DD10,$A11))</f>
        <v>2</v>
      </c>
      <c r="DE11" s="21">
        <f t="shared" ca="1" si="59"/>
        <v>1</v>
      </c>
      <c r="DF11" s="41">
        <f t="shared" ref="DF11:DF27" ca="1" si="96">IF(DE11=0,"",IF(OR(DD11=DD10,DD11=DD12),CONCATENATE($B$2,DD11),DD11))</f>
        <v>2</v>
      </c>
      <c r="DG11" s="21" t="str">
        <f t="shared" ca="1" si="60"/>
        <v>Brazil</v>
      </c>
      <c r="DH11" s="43">
        <f t="shared" ca="1" si="61"/>
        <v>72.2</v>
      </c>
      <c r="DI11" s="43">
        <f t="shared" ca="1" si="62"/>
        <v>8.3000000000000007</v>
      </c>
      <c r="DJ11" s="38">
        <f t="shared" ca="1" si="63"/>
        <v>8.3000000000000007</v>
      </c>
      <c r="DL11" s="38">
        <f t="shared" ca="1" si="64"/>
        <v>0</v>
      </c>
      <c r="DM11" s="38">
        <f t="shared" ca="1" si="65"/>
        <v>0</v>
      </c>
      <c r="DN11" s="38">
        <f t="shared" si="66"/>
        <v>0</v>
      </c>
      <c r="DO11" s="47" t="str">
        <f t="shared" ref="DO11:DO28" si="97">IF(OR(DN11=0,DN11="-"),"-",DN11)</f>
        <v>-</v>
      </c>
      <c r="DP11" s="38">
        <f t="shared" ref="DP11:DP27" ca="1" si="98">IF($B$3=1,ROUND(DL11,3),ROUND(DN11,3))</f>
        <v>0</v>
      </c>
      <c r="DQ11">
        <f ca="1">RANK(DP11,DP$10:DP$28)+COUNTIF(DP$10:DP11,DP11)-1</f>
        <v>2</v>
      </c>
      <c r="DR11">
        <f t="shared" ca="1" si="67"/>
        <v>2</v>
      </c>
      <c r="DS11" s="21">
        <f ca="1">IF(ISERROR(DR11),"",IF(ROUND(DY11,$B$3)=ROUND(DY10,$B$3),DS10,$A11))</f>
        <v>1</v>
      </c>
      <c r="DT11" s="21">
        <f t="shared" ca="1" si="68"/>
        <v>1</v>
      </c>
      <c r="DU11" s="41" t="str">
        <f t="shared" ref="DU11:DU27" ca="1" si="99">IF(DT11=0,"",IF(OR(DS11=DS10,DS11=DS12),CONCATENATE($B$2,DS11),DS11))</f>
        <v>=1</v>
      </c>
      <c r="DV11" s="21" t="str">
        <f t="shared" ca="1" si="69"/>
        <v>Brazil</v>
      </c>
      <c r="DW11" s="43">
        <f t="shared" ca="1" si="70"/>
        <v>0</v>
      </c>
      <c r="DX11" s="43" t="str">
        <f t="shared" ca="1" si="71"/>
        <v>-</v>
      </c>
      <c r="DY11" s="38">
        <f t="shared" ca="1" si="72"/>
        <v>0</v>
      </c>
    </row>
    <row r="12" spans="1:129">
      <c r="A12">
        <v>3</v>
      </c>
      <c r="B12" t="str">
        <f>tblCountries!E8</f>
        <v xml:space="preserve">Chile </v>
      </c>
      <c r="C12">
        <f>tblCountries!A8</f>
        <v>3</v>
      </c>
      <c r="D12">
        <f ca="1">tblCountries!F8</f>
        <v>1</v>
      </c>
      <c r="G12" s="38">
        <f t="shared" ca="1" si="0"/>
        <v>100</v>
      </c>
      <c r="H12" s="47">
        <f t="shared" ca="1" si="1"/>
        <v>4</v>
      </c>
      <c r="I12" s="38">
        <f t="shared" ca="1" si="2"/>
        <v>75</v>
      </c>
      <c r="J12" s="38">
        <f t="shared" ca="1" si="3"/>
        <v>3</v>
      </c>
      <c r="K12" s="47">
        <f t="shared" si="73"/>
        <v>25</v>
      </c>
      <c r="L12" s="47" t="str">
        <f t="shared" si="74"/>
        <v>+25</v>
      </c>
      <c r="M12" s="38">
        <f t="shared" ca="1" si="75"/>
        <v>100</v>
      </c>
      <c r="N12">
        <f ca="1">RANK(M12,M$10:M$28)+COUNTIF(M$10:M12,M12)-1</f>
        <v>1</v>
      </c>
      <c r="O12">
        <f t="shared" ca="1" si="4"/>
        <v>9</v>
      </c>
      <c r="P12" s="21">
        <f t="shared" ref="P12:P27" ca="1" si="100">IF(ISERROR(O12),"",IF(ROUND(U12,$B$3)=ROUND(U11,$B$3),P11,$A12))</f>
        <v>2</v>
      </c>
      <c r="Q12" s="21">
        <f t="shared" ca="1" si="5"/>
        <v>1</v>
      </c>
      <c r="R12" s="41" t="str">
        <f t="shared" ca="1" si="76"/>
        <v>=2</v>
      </c>
      <c r="S12" s="21" t="str">
        <f t="shared" ca="1" si="6"/>
        <v>Guatemala</v>
      </c>
      <c r="T12" s="41" t="str">
        <f t="shared" ca="1" si="7"/>
        <v>3</v>
      </c>
      <c r="U12" s="43">
        <f t="shared" ca="1" si="8"/>
        <v>75</v>
      </c>
      <c r="V12" s="43" t="str">
        <f t="shared" ca="1" si="9"/>
        <v>+50</v>
      </c>
      <c r="W12" t="str">
        <f t="shared" ca="1" si="77"/>
        <v>+50</v>
      </c>
      <c r="Z12" s="38">
        <f t="shared" ca="1" si="10"/>
        <v>80.099999999999994</v>
      </c>
      <c r="AA12" s="38">
        <f t="shared" ca="1" si="11"/>
        <v>68.3</v>
      </c>
      <c r="AB12" s="38">
        <f t="shared" si="12"/>
        <v>11.9</v>
      </c>
      <c r="AC12" s="47">
        <f t="shared" si="78"/>
        <v>11.9</v>
      </c>
      <c r="AD12" s="38">
        <f t="shared" ca="1" si="79"/>
        <v>80.099999999999994</v>
      </c>
      <c r="AE12">
        <f ca="1">RANK(AD12,AD$10:AD$28)+COUNTIF(AD$10:AD12,AD12)-1</f>
        <v>1</v>
      </c>
      <c r="AF12">
        <f t="shared" ca="1" si="13"/>
        <v>16</v>
      </c>
      <c r="AG12" s="21">
        <f t="shared" ca="1" si="80"/>
        <v>3</v>
      </c>
      <c r="AH12" s="21">
        <f t="shared" ca="1" si="14"/>
        <v>1</v>
      </c>
      <c r="AI12" s="41">
        <f t="shared" ca="1" si="81"/>
        <v>3</v>
      </c>
      <c r="AJ12" s="21" t="str">
        <f t="shared" ca="1" si="15"/>
        <v>Peru</v>
      </c>
      <c r="AK12" s="43">
        <f t="shared" ca="1" si="16"/>
        <v>65</v>
      </c>
      <c r="AL12" s="43">
        <f t="shared" ca="1" si="17"/>
        <v>10.199999999999999</v>
      </c>
      <c r="AM12" s="38">
        <f t="shared" ca="1" si="18"/>
        <v>10.199999999999999</v>
      </c>
      <c r="AO12" s="38">
        <f t="shared" ca="1" si="19"/>
        <v>84.4</v>
      </c>
      <c r="AP12" s="38">
        <f t="shared" ca="1" si="20"/>
        <v>62.5</v>
      </c>
      <c r="AQ12" s="38">
        <f t="shared" si="21"/>
        <v>21.9</v>
      </c>
      <c r="AR12" s="47">
        <f t="shared" si="82"/>
        <v>21.9</v>
      </c>
      <c r="AS12" s="38">
        <f t="shared" ca="1" si="83"/>
        <v>84.4</v>
      </c>
      <c r="AT12">
        <f ca="1">RANK(AS12,AS$10:AS$28)+COUNTIF(AS$10:AS12,AS12)-1</f>
        <v>1</v>
      </c>
      <c r="AU12">
        <f t="shared" ca="1" si="22"/>
        <v>2</v>
      </c>
      <c r="AV12" s="21">
        <f t="shared" ref="AV12:AV27" ca="1" si="101">IF(ISERROR(AU12),"",IF(ROUND(BB12,$B$3)=ROUND(BB11,$B$3),AV11,$A12))</f>
        <v>3</v>
      </c>
      <c r="AW12" s="21">
        <f t="shared" ca="1" si="23"/>
        <v>1</v>
      </c>
      <c r="AX12" s="41">
        <f t="shared" ca="1" si="84"/>
        <v>3</v>
      </c>
      <c r="AY12" s="21" t="str">
        <f t="shared" ca="1" si="24"/>
        <v>Brazil</v>
      </c>
      <c r="AZ12" s="43">
        <f t="shared" ca="1" si="25"/>
        <v>71.900000000000006</v>
      </c>
      <c r="BA12" s="43">
        <f t="shared" ca="1" si="26"/>
        <v>25</v>
      </c>
      <c r="BB12" s="38">
        <f t="shared" ca="1" si="27"/>
        <v>25</v>
      </c>
      <c r="BD12" s="38">
        <f t="shared" ca="1" si="28"/>
        <v>75</v>
      </c>
      <c r="BE12" s="38">
        <f t="shared" ca="1" si="29"/>
        <v>50</v>
      </c>
      <c r="BF12" s="38">
        <f t="shared" si="30"/>
        <v>25</v>
      </c>
      <c r="BG12" s="47">
        <f t="shared" si="85"/>
        <v>25</v>
      </c>
      <c r="BH12" s="38">
        <f t="shared" ca="1" si="86"/>
        <v>75</v>
      </c>
      <c r="BI12">
        <f ca="1">RANK(BH12,BH$10:BH$28)+COUNTIF(BH$10:BH12,BH12)-1</f>
        <v>2</v>
      </c>
      <c r="BJ12">
        <f t="shared" ca="1" si="31"/>
        <v>16</v>
      </c>
      <c r="BK12" s="21">
        <f t="shared" ref="BK12:BK27" ca="1" si="102">IF(ISERROR(BJ12),"",IF(ROUND(BQ12,$B$3)=ROUND(BQ11,$B$3),BK11,$A12))</f>
        <v>2</v>
      </c>
      <c r="BL12" s="21">
        <f t="shared" ca="1" si="32"/>
        <v>1</v>
      </c>
      <c r="BM12" s="41" t="str">
        <f t="shared" ca="1" si="87"/>
        <v>=2</v>
      </c>
      <c r="BN12" s="21" t="str">
        <f t="shared" ca="1" si="33"/>
        <v>Peru</v>
      </c>
      <c r="BO12" s="43">
        <f t="shared" ca="1" si="34"/>
        <v>75</v>
      </c>
      <c r="BP12" s="43">
        <f t="shared" ca="1" si="35"/>
        <v>25</v>
      </c>
      <c r="BQ12" s="38">
        <f t="shared" ca="1" si="36"/>
        <v>25</v>
      </c>
      <c r="BS12" s="38">
        <f t="shared" ca="1" si="37"/>
        <v>72.2</v>
      </c>
      <c r="BT12" s="38">
        <f t="shared" ca="1" si="38"/>
        <v>70.2</v>
      </c>
      <c r="BU12" s="38">
        <f t="shared" si="39"/>
        <v>2</v>
      </c>
      <c r="BV12" s="47">
        <f t="shared" si="88"/>
        <v>2</v>
      </c>
      <c r="BW12" s="38">
        <f t="shared" ca="1" si="89"/>
        <v>72.2</v>
      </c>
      <c r="BX12">
        <f ca="1">RANK(BW12,BW$10:BW$28)+COUNTIF(BW$10:BW12,BW12)-1</f>
        <v>2</v>
      </c>
      <c r="BY12">
        <f t="shared" ca="1" si="40"/>
        <v>12</v>
      </c>
      <c r="BZ12" s="21">
        <f t="shared" ref="BZ12:BZ27" ca="1" si="103">IF(ISERROR(BY12),"",IF(ROUND(CF12,$B$3)=ROUND(CF11,$B$3),BZ11,$A12))</f>
        <v>3</v>
      </c>
      <c r="CA12" s="21">
        <f t="shared" ca="1" si="41"/>
        <v>1</v>
      </c>
      <c r="CB12" s="41">
        <f t="shared" ca="1" si="90"/>
        <v>3</v>
      </c>
      <c r="CC12" s="21" t="str">
        <f t="shared" ca="1" si="42"/>
        <v>Mexico</v>
      </c>
      <c r="CD12" s="43">
        <f t="shared" ca="1" si="43"/>
        <v>54</v>
      </c>
      <c r="CE12" s="43">
        <f t="shared" ca="1" si="44"/>
        <v>8.1</v>
      </c>
      <c r="CF12" s="38">
        <f t="shared" ca="1" si="45"/>
        <v>8.1</v>
      </c>
      <c r="CH12" s="38">
        <f t="shared" ca="1" si="46"/>
        <v>70.8</v>
      </c>
      <c r="CI12" s="38">
        <f t="shared" ca="1" si="47"/>
        <v>71.3</v>
      </c>
      <c r="CJ12" s="38">
        <f t="shared" si="48"/>
        <v>-0.5</v>
      </c>
      <c r="CK12" s="47">
        <f t="shared" si="91"/>
        <v>-0.5</v>
      </c>
      <c r="CL12" s="38">
        <f t="shared" ca="1" si="92"/>
        <v>70.8</v>
      </c>
      <c r="CM12">
        <f ca="1">RANK(CL12,CL$10:CL$28)+COUNTIF(CL$10:CL12,CL12)-1</f>
        <v>1</v>
      </c>
      <c r="CN12">
        <f t="shared" ca="1" si="49"/>
        <v>2</v>
      </c>
      <c r="CO12" s="21">
        <f t="shared" ref="CO12:CO27" ca="1" si="104">IF(ISERROR(CN12),"",IF(ROUND(CU12,$B$3)=ROUND(CU11,$B$3),CO11,$A12))</f>
        <v>3</v>
      </c>
      <c r="CP12" s="21">
        <f t="shared" ca="1" si="50"/>
        <v>1</v>
      </c>
      <c r="CQ12" s="41">
        <f t="shared" ca="1" si="93"/>
        <v>3</v>
      </c>
      <c r="CR12" s="21" t="str">
        <f t="shared" ca="1" si="51"/>
        <v>Brazil</v>
      </c>
      <c r="CS12" s="43">
        <f t="shared" ca="1" si="52"/>
        <v>50.9</v>
      </c>
      <c r="CT12" s="43" t="str">
        <f t="shared" ca="1" si="53"/>
        <v>-</v>
      </c>
      <c r="CU12" s="38">
        <f t="shared" ca="1" si="54"/>
        <v>0</v>
      </c>
      <c r="CW12" s="38">
        <f t="shared" ca="1" si="55"/>
        <v>97.2</v>
      </c>
      <c r="CX12" s="38">
        <f t="shared" ca="1" si="56"/>
        <v>97.2</v>
      </c>
      <c r="CY12" s="38">
        <f t="shared" si="57"/>
        <v>0</v>
      </c>
      <c r="CZ12" s="47" t="str">
        <f t="shared" si="94"/>
        <v>-</v>
      </c>
      <c r="DA12" s="38">
        <f t="shared" ca="1" si="95"/>
        <v>97.2</v>
      </c>
      <c r="DB12">
        <f ca="1">RANK(DA12,DA$10:DA$28)+COUNTIF(DA$10:DA12,DA12)-1</f>
        <v>1</v>
      </c>
      <c r="DC12">
        <f t="shared" ca="1" si="58"/>
        <v>12</v>
      </c>
      <c r="DD12" s="21">
        <f t="shared" ref="DD12:DD27" ca="1" si="105">IF(ISERROR(DC12),"",IF(ROUND(DJ12,$B$3)=ROUND(DJ11,$B$3),DD11,$A12))</f>
        <v>3</v>
      </c>
      <c r="DE12" s="21">
        <f t="shared" ca="1" si="59"/>
        <v>1</v>
      </c>
      <c r="DF12" s="41">
        <f t="shared" ca="1" si="96"/>
        <v>3</v>
      </c>
      <c r="DG12" s="21" t="str">
        <f t="shared" ca="1" si="60"/>
        <v>Mexico</v>
      </c>
      <c r="DH12" s="43">
        <f t="shared" ca="1" si="61"/>
        <v>72.2</v>
      </c>
      <c r="DI12" s="43">
        <f t="shared" ca="1" si="62"/>
        <v>2.8</v>
      </c>
      <c r="DJ12" s="38">
        <f t="shared" ca="1" si="63"/>
        <v>2.8</v>
      </c>
      <c r="DL12" s="38">
        <f t="shared" ca="1" si="64"/>
        <v>0</v>
      </c>
      <c r="DM12" s="38">
        <f t="shared" ca="1" si="65"/>
        <v>0</v>
      </c>
      <c r="DN12" s="38">
        <f t="shared" si="66"/>
        <v>0</v>
      </c>
      <c r="DO12" s="47" t="str">
        <f t="shared" si="97"/>
        <v>-</v>
      </c>
      <c r="DP12" s="38">
        <f t="shared" ca="1" si="98"/>
        <v>0</v>
      </c>
      <c r="DQ12">
        <f ca="1">RANK(DP12,DP$10:DP$28)+COUNTIF(DP$10:DP12,DP12)-1</f>
        <v>3</v>
      </c>
      <c r="DR12">
        <f t="shared" ca="1" si="67"/>
        <v>3</v>
      </c>
      <c r="DS12" s="21">
        <f t="shared" ref="DS12:DS27" ca="1" si="106">IF(ISERROR(DR12),"",IF(ROUND(DY12,$B$3)=ROUND(DY11,$B$3),DS11,$A12))</f>
        <v>1</v>
      </c>
      <c r="DT12" s="21">
        <f t="shared" ca="1" si="68"/>
        <v>1</v>
      </c>
      <c r="DU12" s="41" t="str">
        <f t="shared" ca="1" si="99"/>
        <v>=1</v>
      </c>
      <c r="DV12" s="21" t="str">
        <f t="shared" ca="1" si="69"/>
        <v xml:space="preserve">Chile </v>
      </c>
      <c r="DW12" s="43">
        <f t="shared" ca="1" si="70"/>
        <v>0</v>
      </c>
      <c r="DX12" s="43" t="str">
        <f t="shared" ca="1" si="71"/>
        <v>-</v>
      </c>
      <c r="DY12" s="38">
        <f t="shared" ca="1" si="72"/>
        <v>0</v>
      </c>
    </row>
    <row r="13" spans="1:129">
      <c r="A13">
        <v>4</v>
      </c>
      <c r="B13" t="str">
        <f>tblCountries!E9</f>
        <v>Colombia</v>
      </c>
      <c r="C13">
        <f>tblCountries!A9</f>
        <v>4</v>
      </c>
      <c r="D13">
        <f ca="1">tblCountries!F9</f>
        <v>1</v>
      </c>
      <c r="G13" s="38">
        <f t="shared" ca="1" si="0"/>
        <v>50</v>
      </c>
      <c r="H13" s="47">
        <f t="shared" ca="1" si="1"/>
        <v>2</v>
      </c>
      <c r="I13" s="38">
        <f t="shared" ca="1" si="2"/>
        <v>25</v>
      </c>
      <c r="J13" s="38">
        <f t="shared" ca="1" si="3"/>
        <v>1</v>
      </c>
      <c r="K13" s="47">
        <f t="shared" si="73"/>
        <v>25</v>
      </c>
      <c r="L13" s="47" t="str">
        <f t="shared" si="74"/>
        <v>+25</v>
      </c>
      <c r="M13" s="38">
        <f t="shared" ca="1" si="75"/>
        <v>50</v>
      </c>
      <c r="N13">
        <f ca="1">RANK(M13,M$10:M$28)+COUNTIF(M$10:M13,M13)-1</f>
        <v>6</v>
      </c>
      <c r="O13">
        <f t="shared" ca="1" si="4"/>
        <v>16</v>
      </c>
      <c r="P13" s="21">
        <f t="shared" ca="1" si="100"/>
        <v>2</v>
      </c>
      <c r="Q13" s="21">
        <f t="shared" ca="1" si="5"/>
        <v>1</v>
      </c>
      <c r="R13" s="41" t="str">
        <f t="shared" ca="1" si="76"/>
        <v>=2</v>
      </c>
      <c r="S13" s="21" t="str">
        <f t="shared" ca="1" si="6"/>
        <v>Peru</v>
      </c>
      <c r="T13" s="41" t="str">
        <f t="shared" ca="1" si="7"/>
        <v>3</v>
      </c>
      <c r="U13" s="43">
        <f t="shared" ca="1" si="8"/>
        <v>75</v>
      </c>
      <c r="V13" s="43" t="str">
        <f t="shared" ca="1" si="9"/>
        <v>-</v>
      </c>
      <c r="W13" t="str">
        <f t="shared" ca="1" si="77"/>
        <v>-</v>
      </c>
      <c r="Z13" s="38">
        <f t="shared" ca="1" si="10"/>
        <v>49.5</v>
      </c>
      <c r="AA13" s="38">
        <f t="shared" ca="1" si="11"/>
        <v>40.200000000000003</v>
      </c>
      <c r="AB13" s="38">
        <f t="shared" si="12"/>
        <v>9.3000000000000007</v>
      </c>
      <c r="AC13" s="47">
        <f t="shared" si="78"/>
        <v>9.3000000000000007</v>
      </c>
      <c r="AD13" s="38">
        <f t="shared" ca="1" si="79"/>
        <v>49.5</v>
      </c>
      <c r="AE13">
        <f ca="1">RANK(AD13,AD$10:AD$28)+COUNTIF(AD$10:AD13,AD13)-1</f>
        <v>5</v>
      </c>
      <c r="AF13">
        <f t="shared" ca="1" si="13"/>
        <v>12</v>
      </c>
      <c r="AG13" s="21">
        <f t="shared" ca="1" si="80"/>
        <v>4</v>
      </c>
      <c r="AH13" s="21">
        <f t="shared" ca="1" si="14"/>
        <v>1</v>
      </c>
      <c r="AI13" s="41">
        <f t="shared" ca="1" si="81"/>
        <v>4</v>
      </c>
      <c r="AJ13" s="21" t="str">
        <f t="shared" ca="1" si="15"/>
        <v>Mexico</v>
      </c>
      <c r="AK13" s="43">
        <f t="shared" ca="1" si="16"/>
        <v>57.2</v>
      </c>
      <c r="AL13" s="43">
        <f t="shared" ca="1" si="17"/>
        <v>8.1999999999999993</v>
      </c>
      <c r="AM13" s="38">
        <f t="shared" ca="1" si="18"/>
        <v>8.1999999999999993</v>
      </c>
      <c r="AO13" s="38">
        <f t="shared" ca="1" si="19"/>
        <v>50</v>
      </c>
      <c r="AP13" s="38">
        <f t="shared" ca="1" si="20"/>
        <v>31.3</v>
      </c>
      <c r="AQ13" s="38">
        <f t="shared" si="21"/>
        <v>18.8</v>
      </c>
      <c r="AR13" s="47">
        <f t="shared" si="82"/>
        <v>18.8</v>
      </c>
      <c r="AS13" s="38">
        <f t="shared" ca="1" si="83"/>
        <v>50</v>
      </c>
      <c r="AT13">
        <f ca="1">RANK(AS13,AS$10:AS$28)+COUNTIF(AS$10:AS13,AS13)-1</f>
        <v>6</v>
      </c>
      <c r="AU13">
        <f t="shared" ca="1" si="22"/>
        <v>12</v>
      </c>
      <c r="AV13" s="21">
        <f t="shared" ca="1" si="101"/>
        <v>4</v>
      </c>
      <c r="AW13" s="21">
        <f t="shared" ca="1" si="23"/>
        <v>1</v>
      </c>
      <c r="AX13" s="41">
        <f t="shared" ca="1" si="84"/>
        <v>4</v>
      </c>
      <c r="AY13" s="21" t="str">
        <f t="shared" ca="1" si="24"/>
        <v>Mexico</v>
      </c>
      <c r="AZ13" s="43">
        <f t="shared" ca="1" si="25"/>
        <v>56.3</v>
      </c>
      <c r="BA13" s="43">
        <f t="shared" ca="1" si="26"/>
        <v>6.3</v>
      </c>
      <c r="BB13" s="38">
        <f t="shared" ca="1" si="27"/>
        <v>6.3</v>
      </c>
      <c r="BD13" s="38">
        <f t="shared" ca="1" si="28"/>
        <v>50</v>
      </c>
      <c r="BE13" s="38">
        <f t="shared" ca="1" si="29"/>
        <v>33.299999999999997</v>
      </c>
      <c r="BF13" s="38">
        <f t="shared" si="30"/>
        <v>16.7</v>
      </c>
      <c r="BG13" s="47">
        <f t="shared" si="85"/>
        <v>16.7</v>
      </c>
      <c r="BH13" s="38">
        <f t="shared" ca="1" si="86"/>
        <v>50</v>
      </c>
      <c r="BI13">
        <f ca="1">RANK(BH13,BH$10:BH$28)+COUNTIF(BH$10:BH13,BH13)-1</f>
        <v>5</v>
      </c>
      <c r="BJ13">
        <f t="shared" ca="1" si="31"/>
        <v>12</v>
      </c>
      <c r="BK13" s="21">
        <f t="shared" ca="1" si="102"/>
        <v>2</v>
      </c>
      <c r="BL13" s="21">
        <f t="shared" ca="1" si="32"/>
        <v>1</v>
      </c>
      <c r="BM13" s="41" t="str">
        <f t="shared" ca="1" si="87"/>
        <v>=2</v>
      </c>
      <c r="BN13" s="21" t="str">
        <f t="shared" ca="1" si="33"/>
        <v>Mexico</v>
      </c>
      <c r="BO13" s="43">
        <f t="shared" ca="1" si="34"/>
        <v>58.3</v>
      </c>
      <c r="BP13" s="43">
        <f t="shared" ca="1" si="35"/>
        <v>25</v>
      </c>
      <c r="BQ13" s="38">
        <f t="shared" ca="1" si="36"/>
        <v>25</v>
      </c>
      <c r="BS13" s="38">
        <f t="shared" ca="1" si="37"/>
        <v>46.7</v>
      </c>
      <c r="BT13" s="38">
        <f t="shared" ca="1" si="38"/>
        <v>45.2</v>
      </c>
      <c r="BU13" s="38">
        <f t="shared" si="39"/>
        <v>1.5</v>
      </c>
      <c r="BV13" s="47">
        <f t="shared" si="88"/>
        <v>1.5</v>
      </c>
      <c r="BW13" s="38">
        <f t="shared" ca="1" si="89"/>
        <v>46.7</v>
      </c>
      <c r="BX13">
        <f ca="1">RANK(BW13,BW$10:BW$28)+COUNTIF(BW$10:BW13,BW13)-1</f>
        <v>5</v>
      </c>
      <c r="BY13">
        <f t="shared" ca="1" si="40"/>
        <v>16</v>
      </c>
      <c r="BZ13" s="21">
        <f t="shared" ca="1" si="103"/>
        <v>4</v>
      </c>
      <c r="CA13" s="21">
        <f t="shared" ca="1" si="41"/>
        <v>1</v>
      </c>
      <c r="CB13" s="41">
        <f t="shared" ca="1" si="90"/>
        <v>4</v>
      </c>
      <c r="CC13" s="21" t="str">
        <f t="shared" ca="1" si="42"/>
        <v>Peru</v>
      </c>
      <c r="CD13" s="43">
        <f t="shared" ca="1" si="43"/>
        <v>53.6</v>
      </c>
      <c r="CE13" s="43">
        <f t="shared" ca="1" si="44"/>
        <v>8.4</v>
      </c>
      <c r="CF13" s="38">
        <f t="shared" ca="1" si="45"/>
        <v>8.4</v>
      </c>
      <c r="CH13" s="38">
        <f t="shared" ca="1" si="46"/>
        <v>44.9</v>
      </c>
      <c r="CI13" s="38">
        <f t="shared" ca="1" si="47"/>
        <v>44.1</v>
      </c>
      <c r="CJ13" s="38">
        <f t="shared" si="48"/>
        <v>0.8</v>
      </c>
      <c r="CK13" s="47">
        <f t="shared" si="91"/>
        <v>0.8</v>
      </c>
      <c r="CL13" s="38">
        <f t="shared" ca="1" si="92"/>
        <v>44.9</v>
      </c>
      <c r="CM13">
        <f ca="1">RANK(CL13,CL$10:CL$28)+COUNTIF(CL$10:CL13,CL13)-1</f>
        <v>10</v>
      </c>
      <c r="CN13">
        <f t="shared" ca="1" si="49"/>
        <v>16</v>
      </c>
      <c r="CO13" s="21">
        <f t="shared" ca="1" si="104"/>
        <v>4</v>
      </c>
      <c r="CP13" s="21">
        <f t="shared" ca="1" si="50"/>
        <v>1</v>
      </c>
      <c r="CQ13" s="41">
        <f t="shared" ca="1" si="93"/>
        <v>4</v>
      </c>
      <c r="CR13" s="21" t="str">
        <f t="shared" ca="1" si="51"/>
        <v>Peru</v>
      </c>
      <c r="CS13" s="43">
        <f t="shared" ca="1" si="52"/>
        <v>50.3</v>
      </c>
      <c r="CT13" s="43">
        <f t="shared" ca="1" si="53"/>
        <v>1.2</v>
      </c>
      <c r="CU13" s="38">
        <f t="shared" ca="1" si="54"/>
        <v>1.2</v>
      </c>
      <c r="CW13" s="38">
        <f t="shared" ca="1" si="55"/>
        <v>55.6</v>
      </c>
      <c r="CX13" s="38">
        <f t="shared" ca="1" si="56"/>
        <v>55.6</v>
      </c>
      <c r="CY13" s="38">
        <f t="shared" si="57"/>
        <v>0</v>
      </c>
      <c r="CZ13" s="47" t="str">
        <f t="shared" si="94"/>
        <v>-</v>
      </c>
      <c r="DA13" s="38">
        <f t="shared" ca="1" si="95"/>
        <v>55.6</v>
      </c>
      <c r="DB13">
        <f ca="1">RANK(DA13,DA$10:DA$28)+COUNTIF(DA$10:DA13,DA13)-1</f>
        <v>7</v>
      </c>
      <c r="DC13">
        <f t="shared" ca="1" si="58"/>
        <v>14</v>
      </c>
      <c r="DD13" s="21">
        <f t="shared" ca="1" si="105"/>
        <v>4</v>
      </c>
      <c r="DE13" s="21">
        <f t="shared" ca="1" si="59"/>
        <v>1</v>
      </c>
      <c r="DF13" s="41">
        <f t="shared" ca="1" si="96"/>
        <v>4</v>
      </c>
      <c r="DG13" s="21" t="str">
        <f t="shared" ca="1" si="60"/>
        <v>Panama</v>
      </c>
      <c r="DH13" s="43">
        <f t="shared" ca="1" si="61"/>
        <v>63.9</v>
      </c>
      <c r="DI13" s="43" t="str">
        <f t="shared" ca="1" si="62"/>
        <v>-</v>
      </c>
      <c r="DJ13" s="38">
        <f t="shared" ca="1" si="63"/>
        <v>0</v>
      </c>
      <c r="DL13" s="38">
        <f t="shared" ca="1" si="64"/>
        <v>0</v>
      </c>
      <c r="DM13" s="38">
        <f t="shared" ca="1" si="65"/>
        <v>0</v>
      </c>
      <c r="DN13" s="38">
        <f t="shared" si="66"/>
        <v>0</v>
      </c>
      <c r="DO13" s="47" t="str">
        <f t="shared" si="97"/>
        <v>-</v>
      </c>
      <c r="DP13" s="38">
        <f t="shared" ca="1" si="98"/>
        <v>0</v>
      </c>
      <c r="DQ13">
        <f ca="1">RANK(DP13,DP$10:DP$28)+COUNTIF(DP$10:DP13,DP13)-1</f>
        <v>4</v>
      </c>
      <c r="DR13">
        <f t="shared" ca="1" si="67"/>
        <v>4</v>
      </c>
      <c r="DS13" s="21">
        <f t="shared" ca="1" si="106"/>
        <v>1</v>
      </c>
      <c r="DT13" s="21">
        <f t="shared" ca="1" si="68"/>
        <v>1</v>
      </c>
      <c r="DU13" s="41" t="str">
        <f t="shared" ca="1" si="99"/>
        <v>=1</v>
      </c>
      <c r="DV13" s="21" t="str">
        <f t="shared" ca="1" si="69"/>
        <v>Colombia</v>
      </c>
      <c r="DW13" s="43">
        <f t="shared" ca="1" si="70"/>
        <v>0</v>
      </c>
      <c r="DX13" s="43" t="str">
        <f t="shared" ca="1" si="71"/>
        <v>-</v>
      </c>
      <c r="DY13" s="38">
        <f t="shared" ca="1" si="72"/>
        <v>0</v>
      </c>
    </row>
    <row r="14" spans="1:129">
      <c r="A14">
        <v>5</v>
      </c>
      <c r="B14" t="str">
        <f>tblCountries!E10</f>
        <v>Costa Rica</v>
      </c>
      <c r="C14">
        <f>tblCountries!A10</f>
        <v>5</v>
      </c>
      <c r="D14">
        <f ca="1">tblCountries!F10</f>
        <v>1</v>
      </c>
      <c r="G14" s="38">
        <f t="shared" ca="1" si="0"/>
        <v>25</v>
      </c>
      <c r="H14" s="47">
        <f t="shared" ca="1" si="1"/>
        <v>1</v>
      </c>
      <c r="I14" s="38">
        <f t="shared" ca="1" si="2"/>
        <v>50</v>
      </c>
      <c r="J14" s="38">
        <f t="shared" ca="1" si="3"/>
        <v>2</v>
      </c>
      <c r="K14" s="47">
        <f t="shared" si="73"/>
        <v>-25</v>
      </c>
      <c r="L14" s="47" t="str">
        <f t="shared" si="74"/>
        <v>-25</v>
      </c>
      <c r="M14" s="38">
        <f t="shared" ca="1" si="75"/>
        <v>25</v>
      </c>
      <c r="N14">
        <f ca="1">RANK(M14,M$10:M$28)+COUNTIF(M$10:M14,M14)-1</f>
        <v>9</v>
      </c>
      <c r="O14">
        <f t="shared" ca="1" si="4"/>
        <v>1</v>
      </c>
      <c r="P14" s="21">
        <f t="shared" ca="1" si="100"/>
        <v>5</v>
      </c>
      <c r="Q14" s="21">
        <f t="shared" ca="1" si="5"/>
        <v>1</v>
      </c>
      <c r="R14" s="41" t="str">
        <f t="shared" ca="1" si="76"/>
        <v>=5</v>
      </c>
      <c r="S14" s="21" t="str">
        <f t="shared" ca="1" si="6"/>
        <v>Argentina</v>
      </c>
      <c r="T14" s="41" t="str">
        <f t="shared" ca="1" si="7"/>
        <v>2</v>
      </c>
      <c r="U14" s="43">
        <f t="shared" ca="1" si="8"/>
        <v>50</v>
      </c>
      <c r="V14" s="43" t="str">
        <f t="shared" ca="1" si="9"/>
        <v>-</v>
      </c>
      <c r="W14" t="str">
        <f t="shared" ca="1" si="77"/>
        <v>-</v>
      </c>
      <c r="Z14" s="38">
        <f t="shared" ca="1" si="10"/>
        <v>37.1</v>
      </c>
      <c r="AA14" s="38">
        <f t="shared" ca="1" si="11"/>
        <v>41.9</v>
      </c>
      <c r="AB14" s="38">
        <f t="shared" si="12"/>
        <v>-4.8</v>
      </c>
      <c r="AC14" s="47">
        <f t="shared" si="78"/>
        <v>-4.8</v>
      </c>
      <c r="AD14" s="38">
        <f t="shared" ca="1" si="79"/>
        <v>37.1</v>
      </c>
      <c r="AE14">
        <f ca="1">RANK(AD14,AD$10:AD$28)+COUNTIF(AD$10:AD14,AD14)-1</f>
        <v>7</v>
      </c>
      <c r="AF14">
        <f t="shared" ca="1" si="13"/>
        <v>4</v>
      </c>
      <c r="AG14" s="21">
        <f t="shared" ca="1" si="80"/>
        <v>5</v>
      </c>
      <c r="AH14" s="21">
        <f t="shared" ca="1" si="14"/>
        <v>1</v>
      </c>
      <c r="AI14" s="41">
        <f t="shared" ca="1" si="81"/>
        <v>5</v>
      </c>
      <c r="AJ14" s="21" t="str">
        <f t="shared" ca="1" si="15"/>
        <v>Colombia</v>
      </c>
      <c r="AK14" s="43">
        <f t="shared" ca="1" si="16"/>
        <v>49.5</v>
      </c>
      <c r="AL14" s="43">
        <f t="shared" ca="1" si="17"/>
        <v>9.3000000000000007</v>
      </c>
      <c r="AM14" s="38">
        <f t="shared" ca="1" si="18"/>
        <v>9.3000000000000007</v>
      </c>
      <c r="AO14" s="38">
        <f t="shared" ca="1" si="19"/>
        <v>34.4</v>
      </c>
      <c r="AP14" s="38">
        <f t="shared" ca="1" si="20"/>
        <v>50</v>
      </c>
      <c r="AQ14" s="38">
        <f t="shared" si="21"/>
        <v>-15.6</v>
      </c>
      <c r="AR14" s="47">
        <f t="shared" si="82"/>
        <v>-15.6</v>
      </c>
      <c r="AS14" s="38">
        <f t="shared" ca="1" si="83"/>
        <v>34.4</v>
      </c>
      <c r="AT14">
        <f ca="1">RANK(AS14,AS$10:AS$28)+COUNTIF(AS$10:AS14,AS14)-1</f>
        <v>8</v>
      </c>
      <c r="AU14">
        <f t="shared" ca="1" si="22"/>
        <v>9</v>
      </c>
      <c r="AV14" s="21">
        <f t="shared" ca="1" si="101"/>
        <v>5</v>
      </c>
      <c r="AW14" s="21">
        <f t="shared" ca="1" si="23"/>
        <v>1</v>
      </c>
      <c r="AX14" s="41">
        <f t="shared" ca="1" si="84"/>
        <v>5</v>
      </c>
      <c r="AY14" s="21" t="str">
        <f t="shared" ca="1" si="24"/>
        <v>Guatemala</v>
      </c>
      <c r="AZ14" s="43">
        <f t="shared" ca="1" si="25"/>
        <v>53.1</v>
      </c>
      <c r="BA14" s="43">
        <f t="shared" ca="1" si="26"/>
        <v>34.4</v>
      </c>
      <c r="BB14" s="38">
        <f t="shared" ca="1" si="27"/>
        <v>34.4</v>
      </c>
      <c r="BD14" s="38">
        <f t="shared" ca="1" si="28"/>
        <v>25</v>
      </c>
      <c r="BE14" s="38">
        <f t="shared" ca="1" si="29"/>
        <v>25</v>
      </c>
      <c r="BF14" s="38">
        <f t="shared" si="30"/>
        <v>0</v>
      </c>
      <c r="BG14" s="47" t="str">
        <f t="shared" si="85"/>
        <v>-</v>
      </c>
      <c r="BH14" s="38">
        <f t="shared" ca="1" si="86"/>
        <v>25</v>
      </c>
      <c r="BI14">
        <f ca="1">RANK(BH14,BH$10:BH$28)+COUNTIF(BH$10:BH14,BH14)-1</f>
        <v>11</v>
      </c>
      <c r="BJ14">
        <f t="shared" ca="1" si="31"/>
        <v>4</v>
      </c>
      <c r="BK14" s="21">
        <f t="shared" ca="1" si="102"/>
        <v>5</v>
      </c>
      <c r="BL14" s="21">
        <f t="shared" ca="1" si="32"/>
        <v>1</v>
      </c>
      <c r="BM14" s="41">
        <f t="shared" ca="1" si="87"/>
        <v>5</v>
      </c>
      <c r="BN14" s="21" t="str">
        <f t="shared" ca="1" si="33"/>
        <v>Colombia</v>
      </c>
      <c r="BO14" s="43">
        <f t="shared" ca="1" si="34"/>
        <v>50</v>
      </c>
      <c r="BP14" s="43">
        <f t="shared" ca="1" si="35"/>
        <v>16.7</v>
      </c>
      <c r="BQ14" s="38">
        <f t="shared" ca="1" si="36"/>
        <v>16.7</v>
      </c>
      <c r="BS14" s="38">
        <f t="shared" ca="1" si="37"/>
        <v>42.1</v>
      </c>
      <c r="BT14" s="38">
        <f t="shared" ca="1" si="38"/>
        <v>45</v>
      </c>
      <c r="BU14" s="38">
        <f t="shared" si="39"/>
        <v>-2.8</v>
      </c>
      <c r="BV14" s="47">
        <f t="shared" si="88"/>
        <v>-2.8</v>
      </c>
      <c r="BW14" s="38">
        <f t="shared" ca="1" si="89"/>
        <v>42.1</v>
      </c>
      <c r="BX14">
        <f ca="1">RANK(BW14,BW$10:BW$28)+COUNTIF(BW$10:BW14,BW14)-1</f>
        <v>6</v>
      </c>
      <c r="BY14">
        <f t="shared" ca="1" si="40"/>
        <v>4</v>
      </c>
      <c r="BZ14" s="21">
        <f t="shared" ca="1" si="103"/>
        <v>5</v>
      </c>
      <c r="CA14" s="21">
        <f t="shared" ca="1" si="41"/>
        <v>1</v>
      </c>
      <c r="CB14" s="41">
        <f t="shared" ca="1" si="90"/>
        <v>5</v>
      </c>
      <c r="CC14" s="21" t="str">
        <f t="shared" ca="1" si="42"/>
        <v>Colombia</v>
      </c>
      <c r="CD14" s="43">
        <f t="shared" ca="1" si="43"/>
        <v>46.7</v>
      </c>
      <c r="CE14" s="43">
        <f t="shared" ca="1" si="44"/>
        <v>1.5</v>
      </c>
      <c r="CF14" s="38">
        <f t="shared" ca="1" si="45"/>
        <v>1.5</v>
      </c>
      <c r="CH14" s="38">
        <f t="shared" ca="1" si="46"/>
        <v>48</v>
      </c>
      <c r="CI14" s="38">
        <f t="shared" ca="1" si="47"/>
        <v>48</v>
      </c>
      <c r="CJ14" s="38">
        <f t="shared" si="48"/>
        <v>0</v>
      </c>
      <c r="CK14" s="47" t="str">
        <f t="shared" si="91"/>
        <v>-</v>
      </c>
      <c r="CL14" s="38">
        <f t="shared" ca="1" si="92"/>
        <v>48</v>
      </c>
      <c r="CM14">
        <f ca="1">RANK(CL14,CL$10:CL$28)+COUNTIF(CL$10:CL14,CL14)-1</f>
        <v>6</v>
      </c>
      <c r="CN14">
        <f t="shared" ca="1" si="49"/>
        <v>14</v>
      </c>
      <c r="CO14" s="21">
        <f t="shared" ca="1" si="104"/>
        <v>5</v>
      </c>
      <c r="CP14" s="21">
        <f t="shared" ca="1" si="50"/>
        <v>1</v>
      </c>
      <c r="CQ14" s="41">
        <f t="shared" ca="1" si="93"/>
        <v>5</v>
      </c>
      <c r="CR14" s="21" t="str">
        <f t="shared" ca="1" si="51"/>
        <v>Panama</v>
      </c>
      <c r="CS14" s="43">
        <f t="shared" ca="1" si="52"/>
        <v>49.5</v>
      </c>
      <c r="CT14" s="43">
        <f t="shared" ca="1" si="53"/>
        <v>-1</v>
      </c>
      <c r="CU14" s="38">
        <f t="shared" ca="1" si="54"/>
        <v>-1</v>
      </c>
      <c r="CW14" s="38">
        <f t="shared" ca="1" si="55"/>
        <v>41.7</v>
      </c>
      <c r="CX14" s="38">
        <f t="shared" ca="1" si="56"/>
        <v>41.7</v>
      </c>
      <c r="CY14" s="38">
        <f t="shared" si="57"/>
        <v>0</v>
      </c>
      <c r="CZ14" s="47" t="str">
        <f t="shared" si="94"/>
        <v>-</v>
      </c>
      <c r="DA14" s="38">
        <f t="shared" ca="1" si="95"/>
        <v>41.7</v>
      </c>
      <c r="DB14">
        <f ca="1">RANK(DA14,DA$10:DA$28)+COUNTIF(DA$10:DA14,DA14)-1</f>
        <v>9</v>
      </c>
      <c r="DC14">
        <f t="shared" ca="1" si="58"/>
        <v>16</v>
      </c>
      <c r="DD14" s="21">
        <f t="shared" ca="1" si="105"/>
        <v>5</v>
      </c>
      <c r="DE14" s="21">
        <f t="shared" ca="1" si="59"/>
        <v>1</v>
      </c>
      <c r="DF14" s="41">
        <f t="shared" ca="1" si="96"/>
        <v>5</v>
      </c>
      <c r="DG14" s="21" t="str">
        <f t="shared" ca="1" si="60"/>
        <v>Peru</v>
      </c>
      <c r="DH14" s="43">
        <f t="shared" ca="1" si="61"/>
        <v>61.1</v>
      </c>
      <c r="DI14" s="43">
        <f t="shared" ca="1" si="62"/>
        <v>2.8</v>
      </c>
      <c r="DJ14" s="38">
        <f t="shared" ca="1" si="63"/>
        <v>2.8</v>
      </c>
      <c r="DL14" s="38">
        <f t="shared" ca="1" si="64"/>
        <v>0</v>
      </c>
      <c r="DM14" s="38">
        <f t="shared" ca="1" si="65"/>
        <v>0</v>
      </c>
      <c r="DN14" s="38">
        <f t="shared" si="66"/>
        <v>0</v>
      </c>
      <c r="DO14" s="47" t="str">
        <f t="shared" si="97"/>
        <v>-</v>
      </c>
      <c r="DP14" s="38">
        <f t="shared" ca="1" si="98"/>
        <v>0</v>
      </c>
      <c r="DQ14">
        <f ca="1">RANK(DP14,DP$10:DP$28)+COUNTIF(DP$10:DP14,DP14)-1</f>
        <v>5</v>
      </c>
      <c r="DR14">
        <f t="shared" ca="1" si="67"/>
        <v>5</v>
      </c>
      <c r="DS14" s="21">
        <f t="shared" ca="1" si="106"/>
        <v>1</v>
      </c>
      <c r="DT14" s="21">
        <f t="shared" ca="1" si="68"/>
        <v>1</v>
      </c>
      <c r="DU14" s="41" t="str">
        <f t="shared" ca="1" si="99"/>
        <v>=1</v>
      </c>
      <c r="DV14" s="21" t="str">
        <f t="shared" ca="1" si="69"/>
        <v>Costa Rica</v>
      </c>
      <c r="DW14" s="43">
        <f t="shared" ca="1" si="70"/>
        <v>0</v>
      </c>
      <c r="DX14" s="43" t="str">
        <f t="shared" ca="1" si="71"/>
        <v>-</v>
      </c>
      <c r="DY14" s="38">
        <f t="shared" ca="1" si="72"/>
        <v>0</v>
      </c>
    </row>
    <row r="15" spans="1:129">
      <c r="A15">
        <v>6</v>
      </c>
      <c r="B15" t="str">
        <f>tblCountries!E11</f>
        <v>Dominican Rep.</v>
      </c>
      <c r="C15">
        <f>tblCountries!A11</f>
        <v>6</v>
      </c>
      <c r="D15">
        <f ca="1">tblCountries!F11</f>
        <v>1</v>
      </c>
      <c r="G15" s="38">
        <f t="shared" ca="1" si="0"/>
        <v>25</v>
      </c>
      <c r="H15" s="47">
        <f t="shared" ca="1" si="1"/>
        <v>1</v>
      </c>
      <c r="I15" s="38">
        <f t="shared" ca="1" si="2"/>
        <v>25</v>
      </c>
      <c r="J15" s="38">
        <f t="shared" ca="1" si="3"/>
        <v>1</v>
      </c>
      <c r="K15" s="47">
        <f t="shared" si="73"/>
        <v>0</v>
      </c>
      <c r="L15" s="47" t="str">
        <f t="shared" si="74"/>
        <v>-</v>
      </c>
      <c r="M15" s="38">
        <f t="shared" ca="1" si="75"/>
        <v>25</v>
      </c>
      <c r="N15">
        <f ca="1">RANK(M15,M$10:M$28)+COUNTIF(M$10:M15,M15)-1</f>
        <v>10</v>
      </c>
      <c r="O15">
        <f t="shared" ca="1" si="4"/>
        <v>4</v>
      </c>
      <c r="P15" s="21">
        <f t="shared" ca="1" si="100"/>
        <v>5</v>
      </c>
      <c r="Q15" s="21">
        <f t="shared" ca="1" si="5"/>
        <v>1</v>
      </c>
      <c r="R15" s="41" t="str">
        <f t="shared" ca="1" si="76"/>
        <v>=5</v>
      </c>
      <c r="S15" s="21" t="str">
        <f t="shared" ca="1" si="6"/>
        <v>Colombia</v>
      </c>
      <c r="T15" s="41" t="str">
        <f t="shared" ca="1" si="7"/>
        <v>2</v>
      </c>
      <c r="U15" s="43">
        <f t="shared" ca="1" si="8"/>
        <v>50</v>
      </c>
      <c r="V15" s="43" t="str">
        <f t="shared" ca="1" si="9"/>
        <v>+25</v>
      </c>
      <c r="W15" t="str">
        <f t="shared" ca="1" si="77"/>
        <v>+25</v>
      </c>
      <c r="Z15" s="38">
        <f t="shared" ca="1" si="10"/>
        <v>20.6</v>
      </c>
      <c r="AA15" s="38">
        <f t="shared" ca="1" si="11"/>
        <v>25</v>
      </c>
      <c r="AB15" s="38">
        <f t="shared" si="12"/>
        <v>-4.4000000000000004</v>
      </c>
      <c r="AC15" s="47">
        <f t="shared" si="78"/>
        <v>-4.4000000000000004</v>
      </c>
      <c r="AD15" s="38">
        <f t="shared" ca="1" si="79"/>
        <v>20.6</v>
      </c>
      <c r="AE15">
        <f ca="1">RANK(AD15,AD$10:AD$28)+COUNTIF(AD$10:AD15,AD15)-1</f>
        <v>16</v>
      </c>
      <c r="AF15">
        <f t="shared" ca="1" si="13"/>
        <v>9</v>
      </c>
      <c r="AG15" s="21">
        <f t="shared" ca="1" si="80"/>
        <v>6</v>
      </c>
      <c r="AH15" s="21">
        <f t="shared" ca="1" si="14"/>
        <v>1</v>
      </c>
      <c r="AI15" s="41">
        <f t="shared" ca="1" si="81"/>
        <v>6</v>
      </c>
      <c r="AJ15" s="21" t="str">
        <f t="shared" ca="1" si="15"/>
        <v>Guatemala</v>
      </c>
      <c r="AK15" s="43">
        <f t="shared" ca="1" si="16"/>
        <v>42</v>
      </c>
      <c r="AL15" s="43">
        <f t="shared" ca="1" si="17"/>
        <v>20.7</v>
      </c>
      <c r="AM15" s="38">
        <f t="shared" ca="1" si="18"/>
        <v>20.7</v>
      </c>
      <c r="AO15" s="38">
        <f t="shared" ca="1" si="19"/>
        <v>21.9</v>
      </c>
      <c r="AP15" s="38">
        <f t="shared" ca="1" si="20"/>
        <v>18.8</v>
      </c>
      <c r="AQ15" s="38">
        <f t="shared" si="21"/>
        <v>3.1</v>
      </c>
      <c r="AR15" s="47">
        <f t="shared" si="82"/>
        <v>3.1</v>
      </c>
      <c r="AS15" s="38">
        <f t="shared" ca="1" si="83"/>
        <v>21.9</v>
      </c>
      <c r="AT15">
        <f ca="1">RANK(AS15,AS$10:AS$28)+COUNTIF(AS$10:AS15,AS15)-1</f>
        <v>15</v>
      </c>
      <c r="AU15">
        <f t="shared" ca="1" si="22"/>
        <v>4</v>
      </c>
      <c r="AV15" s="21">
        <f t="shared" ca="1" si="101"/>
        <v>6</v>
      </c>
      <c r="AW15" s="21">
        <f t="shared" ca="1" si="23"/>
        <v>1</v>
      </c>
      <c r="AX15" s="41">
        <f t="shared" ca="1" si="84"/>
        <v>6</v>
      </c>
      <c r="AY15" s="21" t="str">
        <f t="shared" ca="1" si="24"/>
        <v>Colombia</v>
      </c>
      <c r="AZ15" s="43">
        <f t="shared" ca="1" si="25"/>
        <v>50</v>
      </c>
      <c r="BA15" s="43">
        <f t="shared" ca="1" si="26"/>
        <v>18.8</v>
      </c>
      <c r="BB15" s="38">
        <f t="shared" ca="1" si="27"/>
        <v>18.8</v>
      </c>
      <c r="BD15" s="38">
        <f t="shared" ca="1" si="28"/>
        <v>8.3000000000000007</v>
      </c>
      <c r="BE15" s="38">
        <f t="shared" ca="1" si="29"/>
        <v>25</v>
      </c>
      <c r="BF15" s="38">
        <f t="shared" si="30"/>
        <v>-16.7</v>
      </c>
      <c r="BG15" s="47">
        <f t="shared" si="85"/>
        <v>-16.7</v>
      </c>
      <c r="BH15" s="38">
        <f t="shared" ca="1" si="86"/>
        <v>8.3000000000000007</v>
      </c>
      <c r="BI15">
        <f ca="1">RANK(BH15,BH$10:BH$28)+COUNTIF(BH$10:BH15,BH15)-1</f>
        <v>17</v>
      </c>
      <c r="BJ15">
        <f t="shared" ca="1" si="31"/>
        <v>9</v>
      </c>
      <c r="BK15" s="21">
        <f t="shared" ca="1" si="102"/>
        <v>6</v>
      </c>
      <c r="BL15" s="21">
        <f t="shared" ca="1" si="32"/>
        <v>1</v>
      </c>
      <c r="BM15" s="41">
        <f t="shared" ca="1" si="87"/>
        <v>6</v>
      </c>
      <c r="BN15" s="21" t="str">
        <f t="shared" ca="1" si="33"/>
        <v>Guatemala</v>
      </c>
      <c r="BO15" s="43">
        <f t="shared" ca="1" si="34"/>
        <v>50</v>
      </c>
      <c r="BP15" s="43">
        <f t="shared" ca="1" si="35"/>
        <v>25</v>
      </c>
      <c r="BQ15" s="38">
        <f t="shared" ca="1" si="36"/>
        <v>25</v>
      </c>
      <c r="BS15" s="38">
        <f t="shared" ca="1" si="37"/>
        <v>14</v>
      </c>
      <c r="BT15" s="38">
        <f t="shared" ca="1" si="38"/>
        <v>32.9</v>
      </c>
      <c r="BU15" s="38">
        <f t="shared" si="39"/>
        <v>-18.899999999999999</v>
      </c>
      <c r="BV15" s="47">
        <f t="shared" si="88"/>
        <v>-18.899999999999999</v>
      </c>
      <c r="BW15" s="38">
        <f t="shared" ca="1" si="89"/>
        <v>14</v>
      </c>
      <c r="BX15">
        <f ca="1">RANK(BW15,BW$10:BW$28)+COUNTIF(BW$10:BW15,BW15)-1</f>
        <v>15</v>
      </c>
      <c r="BY15">
        <f t="shared" ca="1" si="40"/>
        <v>5</v>
      </c>
      <c r="BZ15" s="21">
        <f t="shared" ca="1" si="103"/>
        <v>6</v>
      </c>
      <c r="CA15" s="21">
        <f t="shared" ca="1" si="41"/>
        <v>1</v>
      </c>
      <c r="CB15" s="41">
        <f t="shared" ca="1" si="90"/>
        <v>6</v>
      </c>
      <c r="CC15" s="21" t="str">
        <f t="shared" ca="1" si="42"/>
        <v>Costa Rica</v>
      </c>
      <c r="CD15" s="43">
        <f t="shared" ca="1" si="43"/>
        <v>42.1</v>
      </c>
      <c r="CE15" s="43">
        <f t="shared" ca="1" si="44"/>
        <v>-2.8</v>
      </c>
      <c r="CF15" s="38">
        <f t="shared" ca="1" si="45"/>
        <v>-2.8</v>
      </c>
      <c r="CH15" s="38">
        <f t="shared" ca="1" si="46"/>
        <v>31.6</v>
      </c>
      <c r="CI15" s="38">
        <f t="shared" ca="1" si="47"/>
        <v>30.2</v>
      </c>
      <c r="CJ15" s="38">
        <f t="shared" si="48"/>
        <v>1.4</v>
      </c>
      <c r="CK15" s="47">
        <f t="shared" si="91"/>
        <v>1.4</v>
      </c>
      <c r="CL15" s="38">
        <f t="shared" ca="1" si="92"/>
        <v>31.6</v>
      </c>
      <c r="CM15">
        <f ca="1">RANK(CL15,CL$10:CL$28)+COUNTIF(CL$10:CL15,CL15)-1</f>
        <v>15</v>
      </c>
      <c r="CN15">
        <f t="shared" ca="1" si="49"/>
        <v>5</v>
      </c>
      <c r="CO15" s="21">
        <f t="shared" ca="1" si="104"/>
        <v>6</v>
      </c>
      <c r="CP15" s="21">
        <f t="shared" ca="1" si="50"/>
        <v>1</v>
      </c>
      <c r="CQ15" s="41">
        <f t="shared" ca="1" si="93"/>
        <v>6</v>
      </c>
      <c r="CR15" s="21" t="str">
        <f t="shared" ca="1" si="51"/>
        <v>Costa Rica</v>
      </c>
      <c r="CS15" s="43">
        <f t="shared" ca="1" si="52"/>
        <v>48</v>
      </c>
      <c r="CT15" s="43" t="str">
        <f t="shared" ca="1" si="53"/>
        <v>-</v>
      </c>
      <c r="CU15" s="38">
        <f t="shared" ca="1" si="54"/>
        <v>0</v>
      </c>
      <c r="CW15" s="38">
        <f t="shared" ca="1" si="55"/>
        <v>30.6</v>
      </c>
      <c r="CX15" s="38">
        <f t="shared" ca="1" si="56"/>
        <v>22.2</v>
      </c>
      <c r="CY15" s="38">
        <f t="shared" si="57"/>
        <v>8.3000000000000007</v>
      </c>
      <c r="CZ15" s="47">
        <f t="shared" si="94"/>
        <v>8.3000000000000007</v>
      </c>
      <c r="DA15" s="38">
        <f t="shared" ca="1" si="95"/>
        <v>30.6</v>
      </c>
      <c r="DB15">
        <f ca="1">RANK(DA15,DA$10:DA$28)+COUNTIF(DA$10:DA15,DA15)-1</f>
        <v>11</v>
      </c>
      <c r="DC15">
        <f t="shared" ca="1" si="58"/>
        <v>17</v>
      </c>
      <c r="DD15" s="21">
        <f t="shared" ca="1" si="105"/>
        <v>6</v>
      </c>
      <c r="DE15" s="21">
        <f t="shared" ca="1" si="59"/>
        <v>1</v>
      </c>
      <c r="DF15" s="41" t="str">
        <f t="shared" ca="1" si="96"/>
        <v>=6</v>
      </c>
      <c r="DG15" s="21" t="str">
        <f t="shared" ca="1" si="60"/>
        <v>Trinidad &amp; Tobago</v>
      </c>
      <c r="DH15" s="43">
        <f t="shared" ca="1" si="61"/>
        <v>58.3</v>
      </c>
      <c r="DI15" s="43" t="str">
        <f t="shared" ca="1" si="62"/>
        <v>-</v>
      </c>
      <c r="DJ15" s="38">
        <f t="shared" ca="1" si="63"/>
        <v>0</v>
      </c>
      <c r="DL15" s="38">
        <f t="shared" ca="1" si="64"/>
        <v>0</v>
      </c>
      <c r="DM15" s="38">
        <f t="shared" ca="1" si="65"/>
        <v>0</v>
      </c>
      <c r="DN15" s="38">
        <f t="shared" si="66"/>
        <v>0</v>
      </c>
      <c r="DO15" s="47" t="str">
        <f t="shared" si="97"/>
        <v>-</v>
      </c>
      <c r="DP15" s="38">
        <f t="shared" ca="1" si="98"/>
        <v>0</v>
      </c>
      <c r="DQ15">
        <f ca="1">RANK(DP15,DP$10:DP$28)+COUNTIF(DP$10:DP15,DP15)-1</f>
        <v>6</v>
      </c>
      <c r="DR15">
        <f t="shared" ca="1" si="67"/>
        <v>6</v>
      </c>
      <c r="DS15" s="21">
        <f t="shared" ca="1" si="106"/>
        <v>1</v>
      </c>
      <c r="DT15" s="21">
        <f t="shared" ca="1" si="68"/>
        <v>1</v>
      </c>
      <c r="DU15" s="41" t="str">
        <f t="shared" ca="1" si="99"/>
        <v>=1</v>
      </c>
      <c r="DV15" s="21" t="str">
        <f t="shared" ca="1" si="69"/>
        <v>Dominican Rep.</v>
      </c>
      <c r="DW15" s="43">
        <f t="shared" ca="1" si="70"/>
        <v>0</v>
      </c>
      <c r="DX15" s="43" t="str">
        <f t="shared" ca="1" si="71"/>
        <v>-</v>
      </c>
      <c r="DY15" s="38">
        <f t="shared" ca="1" si="72"/>
        <v>0</v>
      </c>
    </row>
    <row r="16" spans="1:129">
      <c r="A16">
        <v>7</v>
      </c>
      <c r="B16" t="str">
        <f>tblCountries!E12</f>
        <v>Ecuador</v>
      </c>
      <c r="C16">
        <f>tblCountries!A12</f>
        <v>7</v>
      </c>
      <c r="D16">
        <f ca="1">tblCountries!F12</f>
        <v>1</v>
      </c>
      <c r="G16" s="38">
        <f t="shared" ca="1" si="0"/>
        <v>0</v>
      </c>
      <c r="H16" s="47">
        <f t="shared" ca="1" si="1"/>
        <v>0</v>
      </c>
      <c r="I16" s="38">
        <f t="shared" ca="1" si="2"/>
        <v>0</v>
      </c>
      <c r="J16" s="38">
        <f t="shared" ca="1" si="3"/>
        <v>0</v>
      </c>
      <c r="K16" s="47">
        <f t="shared" si="73"/>
        <v>0</v>
      </c>
      <c r="L16" s="47" t="str">
        <f t="shared" si="74"/>
        <v>-</v>
      </c>
      <c r="M16" s="38">
        <f t="shared" ca="1" si="75"/>
        <v>0</v>
      </c>
      <c r="N16">
        <f ca="1">RANK(M16,M$10:M$28)+COUNTIF(M$10:M16,M16)-1</f>
        <v>18</v>
      </c>
      <c r="O16">
        <f t="shared" ca="1" si="4"/>
        <v>12</v>
      </c>
      <c r="P16" s="21">
        <f t="shared" ca="1" si="100"/>
        <v>5</v>
      </c>
      <c r="Q16" s="21">
        <f t="shared" ca="1" si="5"/>
        <v>1</v>
      </c>
      <c r="R16" s="41" t="str">
        <f t="shared" ca="1" si="76"/>
        <v>=5</v>
      </c>
      <c r="S16" s="21" t="str">
        <f t="shared" ca="1" si="6"/>
        <v>Mexico</v>
      </c>
      <c r="T16" s="41" t="str">
        <f t="shared" ca="1" si="7"/>
        <v>2</v>
      </c>
      <c r="U16" s="43">
        <f t="shared" ca="1" si="8"/>
        <v>50</v>
      </c>
      <c r="V16" s="43" t="str">
        <f t="shared" ca="1" si="9"/>
        <v>-</v>
      </c>
      <c r="W16" t="str">
        <f t="shared" ca="1" si="77"/>
        <v>-</v>
      </c>
      <c r="Z16" s="38">
        <f t="shared" ca="1" si="10"/>
        <v>16</v>
      </c>
      <c r="AA16" s="38">
        <f t="shared" ca="1" si="11"/>
        <v>16.3</v>
      </c>
      <c r="AB16" s="38">
        <f t="shared" si="12"/>
        <v>-0.3</v>
      </c>
      <c r="AC16" s="47">
        <f t="shared" si="78"/>
        <v>-0.3</v>
      </c>
      <c r="AD16" s="38">
        <f t="shared" ca="1" si="79"/>
        <v>16</v>
      </c>
      <c r="AE16">
        <f ca="1">RANK(AD16,AD$10:AD$28)+COUNTIF(AD$10:AD16,AD16)-1</f>
        <v>18</v>
      </c>
      <c r="AF16">
        <f t="shared" ca="1" si="13"/>
        <v>5</v>
      </c>
      <c r="AG16" s="21">
        <f t="shared" ca="1" si="80"/>
        <v>7</v>
      </c>
      <c r="AH16" s="21">
        <f t="shared" ca="1" si="14"/>
        <v>1</v>
      </c>
      <c r="AI16" s="41">
        <f t="shared" ca="1" si="81"/>
        <v>7</v>
      </c>
      <c r="AJ16" s="21" t="str">
        <f t="shared" ca="1" si="15"/>
        <v>Costa Rica</v>
      </c>
      <c r="AK16" s="43">
        <f t="shared" ca="1" si="16"/>
        <v>37.1</v>
      </c>
      <c r="AL16" s="43">
        <f t="shared" ca="1" si="17"/>
        <v>-4.8</v>
      </c>
      <c r="AM16" s="38">
        <f t="shared" ca="1" si="18"/>
        <v>-4.8</v>
      </c>
      <c r="AO16" s="38">
        <f t="shared" ca="1" si="19"/>
        <v>6.3</v>
      </c>
      <c r="AP16" s="38">
        <f t="shared" ca="1" si="20"/>
        <v>6.3</v>
      </c>
      <c r="AQ16" s="38">
        <f t="shared" si="21"/>
        <v>0</v>
      </c>
      <c r="AR16" s="47" t="str">
        <f t="shared" si="82"/>
        <v>-</v>
      </c>
      <c r="AS16" s="38">
        <f t="shared" ca="1" si="83"/>
        <v>6.3</v>
      </c>
      <c r="AT16">
        <f ca="1">RANK(AS16,AS$10:AS$28)+COUNTIF(AS$10:AS16,AS16)-1</f>
        <v>18</v>
      </c>
      <c r="AU16">
        <f t="shared" ca="1" si="22"/>
        <v>14</v>
      </c>
      <c r="AV16" s="21">
        <f t="shared" ca="1" si="101"/>
        <v>7</v>
      </c>
      <c r="AW16" s="21">
        <f t="shared" ca="1" si="23"/>
        <v>1</v>
      </c>
      <c r="AX16" s="41">
        <f t="shared" ca="1" si="84"/>
        <v>7</v>
      </c>
      <c r="AY16" s="21" t="str">
        <f t="shared" ca="1" si="24"/>
        <v>Panama</v>
      </c>
      <c r="AZ16" s="43">
        <f t="shared" ca="1" si="25"/>
        <v>37.5</v>
      </c>
      <c r="BA16" s="43">
        <f t="shared" ca="1" si="26"/>
        <v>12.5</v>
      </c>
      <c r="BB16" s="38">
        <f t="shared" ca="1" si="27"/>
        <v>12.5</v>
      </c>
      <c r="BD16" s="38">
        <f t="shared" ca="1" si="28"/>
        <v>0</v>
      </c>
      <c r="BE16" s="38">
        <f t="shared" ca="1" si="29"/>
        <v>0</v>
      </c>
      <c r="BF16" s="38">
        <f t="shared" si="30"/>
        <v>0</v>
      </c>
      <c r="BG16" s="47" t="str">
        <f t="shared" si="85"/>
        <v>-</v>
      </c>
      <c r="BH16" s="38">
        <f t="shared" ca="1" si="86"/>
        <v>0</v>
      </c>
      <c r="BI16">
        <f ca="1">RANK(BH16,BH$10:BH$28)+COUNTIF(BH$10:BH16,BH16)-1</f>
        <v>18</v>
      </c>
      <c r="BJ16">
        <f t="shared" ca="1" si="31"/>
        <v>1</v>
      </c>
      <c r="BK16" s="21">
        <f t="shared" ca="1" si="102"/>
        <v>7</v>
      </c>
      <c r="BL16" s="21">
        <f t="shared" ca="1" si="32"/>
        <v>1</v>
      </c>
      <c r="BM16" s="41" t="str">
        <f t="shared" ca="1" si="87"/>
        <v>=7</v>
      </c>
      <c r="BN16" s="21" t="str">
        <f t="shared" ca="1" si="33"/>
        <v>Argentina</v>
      </c>
      <c r="BO16" s="43">
        <f t="shared" ca="1" si="34"/>
        <v>33.299999999999997</v>
      </c>
      <c r="BP16" s="43">
        <f t="shared" ca="1" si="35"/>
        <v>16.7</v>
      </c>
      <c r="BQ16" s="38">
        <f t="shared" ca="1" si="36"/>
        <v>16.7</v>
      </c>
      <c r="BS16" s="38">
        <f t="shared" ca="1" si="37"/>
        <v>33</v>
      </c>
      <c r="BT16" s="38">
        <f t="shared" ca="1" si="38"/>
        <v>34.1</v>
      </c>
      <c r="BU16" s="38">
        <f t="shared" si="39"/>
        <v>-1.1000000000000001</v>
      </c>
      <c r="BV16" s="47">
        <f t="shared" si="88"/>
        <v>-1.1000000000000001</v>
      </c>
      <c r="BW16" s="38">
        <f t="shared" ca="1" si="89"/>
        <v>33</v>
      </c>
      <c r="BX16">
        <f ca="1">RANK(BW16,BW$10:BW$28)+COUNTIF(BW$10:BW16,BW16)-1</f>
        <v>9</v>
      </c>
      <c r="BY16">
        <f t="shared" ca="1" si="40"/>
        <v>9</v>
      </c>
      <c r="BZ16" s="21">
        <f t="shared" ca="1" si="103"/>
        <v>7</v>
      </c>
      <c r="CA16" s="21">
        <f t="shared" ca="1" si="41"/>
        <v>1</v>
      </c>
      <c r="CB16" s="41">
        <f t="shared" ca="1" si="90"/>
        <v>7</v>
      </c>
      <c r="CC16" s="21" t="str">
        <f t="shared" ca="1" si="42"/>
        <v>Guatemala</v>
      </c>
      <c r="CD16" s="43">
        <f t="shared" ca="1" si="43"/>
        <v>35.4</v>
      </c>
      <c r="CE16" s="43">
        <f t="shared" ca="1" si="44"/>
        <v>28.7</v>
      </c>
      <c r="CF16" s="38">
        <f t="shared" ca="1" si="45"/>
        <v>28.7</v>
      </c>
      <c r="CH16" s="38">
        <f t="shared" ca="1" si="46"/>
        <v>35.799999999999997</v>
      </c>
      <c r="CI16" s="38">
        <f t="shared" ca="1" si="47"/>
        <v>33.700000000000003</v>
      </c>
      <c r="CJ16" s="38">
        <f t="shared" si="48"/>
        <v>2.1</v>
      </c>
      <c r="CK16" s="47">
        <f t="shared" si="91"/>
        <v>2.1</v>
      </c>
      <c r="CL16" s="38">
        <f t="shared" ca="1" si="92"/>
        <v>35.799999999999997</v>
      </c>
      <c r="CM16">
        <f ca="1">RANK(CL16,CL$10:CL$28)+COUNTIF(CL$10:CL16,CL16)-1</f>
        <v>14</v>
      </c>
      <c r="CN16">
        <f t="shared" ca="1" si="49"/>
        <v>8</v>
      </c>
      <c r="CO16" s="21">
        <f t="shared" ca="1" si="104"/>
        <v>7</v>
      </c>
      <c r="CP16" s="21">
        <f t="shared" ca="1" si="50"/>
        <v>1</v>
      </c>
      <c r="CQ16" s="41">
        <f t="shared" ca="1" si="93"/>
        <v>7</v>
      </c>
      <c r="CR16" s="21" t="str">
        <f t="shared" ca="1" si="51"/>
        <v>El Salvador</v>
      </c>
      <c r="CS16" s="43">
        <f t="shared" ca="1" si="52"/>
        <v>47.4</v>
      </c>
      <c r="CT16" s="43">
        <f t="shared" ca="1" si="53"/>
        <v>-6.6</v>
      </c>
      <c r="CU16" s="38">
        <f t="shared" ca="1" si="54"/>
        <v>-6.6</v>
      </c>
      <c r="CW16" s="38">
        <f t="shared" ca="1" si="55"/>
        <v>16.7</v>
      </c>
      <c r="CX16" s="38">
        <f t="shared" ca="1" si="56"/>
        <v>19.399999999999999</v>
      </c>
      <c r="CY16" s="38">
        <f t="shared" si="57"/>
        <v>-2.8</v>
      </c>
      <c r="CZ16" s="47">
        <f t="shared" si="94"/>
        <v>-2.8</v>
      </c>
      <c r="DA16" s="38">
        <f t="shared" ca="1" si="95"/>
        <v>16.7</v>
      </c>
      <c r="DB16">
        <f ca="1">RANK(DA16,DA$10:DA$28)+COUNTIF(DA$10:DA16,DA16)-1</f>
        <v>15</v>
      </c>
      <c r="DC16">
        <f t="shared" ca="1" si="58"/>
        <v>4</v>
      </c>
      <c r="DD16" s="21">
        <f t="shared" ca="1" si="105"/>
        <v>6</v>
      </c>
      <c r="DE16" s="21">
        <f t="shared" ca="1" si="59"/>
        <v>1</v>
      </c>
      <c r="DF16" s="41" t="str">
        <f t="shared" ca="1" si="96"/>
        <v>=6</v>
      </c>
      <c r="DG16" s="21" t="str">
        <f t="shared" ca="1" si="60"/>
        <v>Colombia</v>
      </c>
      <c r="DH16" s="43">
        <f t="shared" ca="1" si="61"/>
        <v>55.6</v>
      </c>
      <c r="DI16" s="43" t="str">
        <f t="shared" ca="1" si="62"/>
        <v>-</v>
      </c>
      <c r="DJ16" s="38">
        <f t="shared" ca="1" si="63"/>
        <v>0</v>
      </c>
      <c r="DL16" s="38">
        <f t="shared" ca="1" si="64"/>
        <v>0</v>
      </c>
      <c r="DM16" s="38">
        <f t="shared" ca="1" si="65"/>
        <v>0</v>
      </c>
      <c r="DN16" s="38">
        <f t="shared" si="66"/>
        <v>0</v>
      </c>
      <c r="DO16" s="47" t="str">
        <f t="shared" si="97"/>
        <v>-</v>
      </c>
      <c r="DP16" s="38">
        <f t="shared" ca="1" si="98"/>
        <v>0</v>
      </c>
      <c r="DQ16">
        <f ca="1">RANK(DP16,DP$10:DP$28)+COUNTIF(DP$10:DP16,DP16)-1</f>
        <v>7</v>
      </c>
      <c r="DR16">
        <f t="shared" ca="1" si="67"/>
        <v>7</v>
      </c>
      <c r="DS16" s="21">
        <f t="shared" ca="1" si="106"/>
        <v>1</v>
      </c>
      <c r="DT16" s="21">
        <f t="shared" ca="1" si="68"/>
        <v>1</v>
      </c>
      <c r="DU16" s="41" t="str">
        <f t="shared" ca="1" si="99"/>
        <v>=1</v>
      </c>
      <c r="DV16" s="21" t="str">
        <f t="shared" ca="1" si="69"/>
        <v>Ecuador</v>
      </c>
      <c r="DW16" s="43">
        <f t="shared" ca="1" si="70"/>
        <v>0</v>
      </c>
      <c r="DX16" s="43" t="str">
        <f t="shared" ca="1" si="71"/>
        <v>-</v>
      </c>
      <c r="DY16" s="38">
        <f t="shared" ca="1" si="72"/>
        <v>0</v>
      </c>
    </row>
    <row r="17" spans="1:129">
      <c r="A17">
        <v>8</v>
      </c>
      <c r="B17" t="str">
        <f>tblCountries!E13</f>
        <v>El Salvador</v>
      </c>
      <c r="C17">
        <f>tblCountries!A13</f>
        <v>8</v>
      </c>
      <c r="D17">
        <f ca="1">tblCountries!F13</f>
        <v>1</v>
      </c>
      <c r="G17" s="38">
        <f t="shared" ca="1" si="0"/>
        <v>25</v>
      </c>
      <c r="H17" s="47">
        <f t="shared" ca="1" si="1"/>
        <v>1</v>
      </c>
      <c r="I17" s="38">
        <f t="shared" ca="1" si="2"/>
        <v>0</v>
      </c>
      <c r="J17" s="38">
        <f t="shared" ca="1" si="3"/>
        <v>0</v>
      </c>
      <c r="K17" s="47">
        <f t="shared" si="73"/>
        <v>25</v>
      </c>
      <c r="L17" s="47" t="str">
        <f t="shared" si="74"/>
        <v>+25</v>
      </c>
      <c r="M17" s="38">
        <f t="shared" ca="1" si="75"/>
        <v>25</v>
      </c>
      <c r="N17">
        <f ca="1">RANK(M17,M$10:M$28)+COUNTIF(M$10:M17,M17)-1</f>
        <v>11</v>
      </c>
      <c r="O17">
        <f t="shared" ca="1" si="4"/>
        <v>14</v>
      </c>
      <c r="P17" s="21">
        <f t="shared" ca="1" si="100"/>
        <v>5</v>
      </c>
      <c r="Q17" s="21">
        <f t="shared" ca="1" si="5"/>
        <v>1</v>
      </c>
      <c r="R17" s="41" t="str">
        <f t="shared" ca="1" si="76"/>
        <v>=5</v>
      </c>
      <c r="S17" s="21" t="str">
        <f t="shared" ca="1" si="6"/>
        <v>Panama</v>
      </c>
      <c r="T17" s="41" t="str">
        <f t="shared" ca="1" si="7"/>
        <v>2</v>
      </c>
      <c r="U17" s="43">
        <f t="shared" ca="1" si="8"/>
        <v>50</v>
      </c>
      <c r="V17" s="43" t="str">
        <f t="shared" ca="1" si="9"/>
        <v>+25</v>
      </c>
      <c r="W17" t="str">
        <f t="shared" ca="1" si="77"/>
        <v>+25</v>
      </c>
      <c r="Z17" s="38">
        <f t="shared" ca="1" si="10"/>
        <v>35.200000000000003</v>
      </c>
      <c r="AA17" s="38">
        <f t="shared" ca="1" si="11"/>
        <v>29.4</v>
      </c>
      <c r="AB17" s="38">
        <f t="shared" si="12"/>
        <v>5.8</v>
      </c>
      <c r="AC17" s="47">
        <f t="shared" si="78"/>
        <v>5.8</v>
      </c>
      <c r="AD17" s="38">
        <f t="shared" ca="1" si="79"/>
        <v>35.200000000000003</v>
      </c>
      <c r="AE17">
        <f ca="1">RANK(AD17,AD$10:AD$28)+COUNTIF(AD$10:AD17,AD17)-1</f>
        <v>9</v>
      </c>
      <c r="AF17">
        <f t="shared" ca="1" si="13"/>
        <v>14</v>
      </c>
      <c r="AG17" s="21">
        <f t="shared" ca="1" si="80"/>
        <v>8</v>
      </c>
      <c r="AH17" s="21">
        <f t="shared" ca="1" si="14"/>
        <v>1</v>
      </c>
      <c r="AI17" s="41">
        <f t="shared" ca="1" si="81"/>
        <v>8</v>
      </c>
      <c r="AJ17" s="21" t="str">
        <f t="shared" ca="1" si="15"/>
        <v>Panama</v>
      </c>
      <c r="AK17" s="43">
        <f t="shared" ca="1" si="16"/>
        <v>37.1</v>
      </c>
      <c r="AL17" s="43">
        <f t="shared" ca="1" si="17"/>
        <v>8</v>
      </c>
      <c r="AM17" s="38">
        <f t="shared" ca="1" si="18"/>
        <v>8</v>
      </c>
      <c r="AO17" s="38">
        <f t="shared" ca="1" si="19"/>
        <v>28.1</v>
      </c>
      <c r="AP17" s="38">
        <f t="shared" ca="1" si="20"/>
        <v>18.8</v>
      </c>
      <c r="AQ17" s="38">
        <f t="shared" si="21"/>
        <v>9.4</v>
      </c>
      <c r="AR17" s="47">
        <f t="shared" si="82"/>
        <v>9.4</v>
      </c>
      <c r="AS17" s="38">
        <f t="shared" ca="1" si="83"/>
        <v>28.1</v>
      </c>
      <c r="AT17">
        <f ca="1">RANK(AS17,AS$10:AS$28)+COUNTIF(AS$10:AS17,AS17)-1</f>
        <v>10</v>
      </c>
      <c r="AU17">
        <f t="shared" ca="1" si="22"/>
        <v>5</v>
      </c>
      <c r="AV17" s="21">
        <f t="shared" ca="1" si="101"/>
        <v>8</v>
      </c>
      <c r="AW17" s="21">
        <f t="shared" ca="1" si="23"/>
        <v>1</v>
      </c>
      <c r="AX17" s="41">
        <f t="shared" ca="1" si="84"/>
        <v>8</v>
      </c>
      <c r="AY17" s="21" t="str">
        <f t="shared" ca="1" si="24"/>
        <v>Costa Rica</v>
      </c>
      <c r="AZ17" s="43">
        <f t="shared" ca="1" si="25"/>
        <v>34.4</v>
      </c>
      <c r="BA17" s="43">
        <f t="shared" ca="1" si="26"/>
        <v>-15.6</v>
      </c>
      <c r="BB17" s="38">
        <f t="shared" ca="1" si="27"/>
        <v>-15.6</v>
      </c>
      <c r="BD17" s="38">
        <f t="shared" ca="1" si="28"/>
        <v>33.299999999999997</v>
      </c>
      <c r="BE17" s="38">
        <f t="shared" ca="1" si="29"/>
        <v>16.7</v>
      </c>
      <c r="BF17" s="38">
        <f t="shared" si="30"/>
        <v>16.7</v>
      </c>
      <c r="BG17" s="47">
        <f t="shared" si="85"/>
        <v>16.7</v>
      </c>
      <c r="BH17" s="38">
        <f t="shared" ca="1" si="86"/>
        <v>33.299999999999997</v>
      </c>
      <c r="BI17">
        <f ca="1">RANK(BH17,BH$10:BH$28)+COUNTIF(BH$10:BH17,BH17)-1</f>
        <v>8</v>
      </c>
      <c r="BJ17">
        <f t="shared" ca="1" si="31"/>
        <v>8</v>
      </c>
      <c r="BK17" s="21">
        <f t="shared" ca="1" si="102"/>
        <v>7</v>
      </c>
      <c r="BL17" s="21">
        <f t="shared" ca="1" si="32"/>
        <v>1</v>
      </c>
      <c r="BM17" s="41" t="str">
        <f t="shared" ca="1" si="87"/>
        <v>=7</v>
      </c>
      <c r="BN17" s="21" t="str">
        <f t="shared" ca="1" si="33"/>
        <v>El Salvador</v>
      </c>
      <c r="BO17" s="43">
        <f t="shared" ca="1" si="34"/>
        <v>33.299999999999997</v>
      </c>
      <c r="BP17" s="43">
        <f t="shared" ca="1" si="35"/>
        <v>16.7</v>
      </c>
      <c r="BQ17" s="38">
        <f t="shared" ca="1" si="36"/>
        <v>16.7</v>
      </c>
      <c r="BS17" s="38">
        <f t="shared" ca="1" si="37"/>
        <v>25.1</v>
      </c>
      <c r="BT17" s="38">
        <f t="shared" ca="1" si="38"/>
        <v>21.9</v>
      </c>
      <c r="BU17" s="38">
        <f t="shared" si="39"/>
        <v>3.3</v>
      </c>
      <c r="BV17" s="47">
        <f t="shared" si="88"/>
        <v>3.3</v>
      </c>
      <c r="BW17" s="38">
        <f t="shared" ca="1" si="89"/>
        <v>25.1</v>
      </c>
      <c r="BX17">
        <f ca="1">RANK(BW17,BW$10:BW$28)+COUNTIF(BW$10:BW17,BW17)-1</f>
        <v>11</v>
      </c>
      <c r="BY17">
        <f t="shared" ca="1" si="40"/>
        <v>10</v>
      </c>
      <c r="BZ17" s="21">
        <f t="shared" ca="1" si="103"/>
        <v>8</v>
      </c>
      <c r="CA17" s="21">
        <f t="shared" ca="1" si="41"/>
        <v>1</v>
      </c>
      <c r="CB17" s="41">
        <f t="shared" ca="1" si="90"/>
        <v>8</v>
      </c>
      <c r="CC17" s="21" t="str">
        <f t="shared" ca="1" si="42"/>
        <v>Honduras</v>
      </c>
      <c r="CD17" s="43">
        <f t="shared" ca="1" si="43"/>
        <v>35.1</v>
      </c>
      <c r="CE17" s="43">
        <f t="shared" ca="1" si="44"/>
        <v>15.6</v>
      </c>
      <c r="CF17" s="38">
        <f t="shared" ca="1" si="45"/>
        <v>15.6</v>
      </c>
      <c r="CH17" s="38">
        <f t="shared" ca="1" si="46"/>
        <v>47.4</v>
      </c>
      <c r="CI17" s="38">
        <f t="shared" ca="1" si="47"/>
        <v>53.9</v>
      </c>
      <c r="CJ17" s="38">
        <f t="shared" si="48"/>
        <v>-6.6</v>
      </c>
      <c r="CK17" s="47">
        <f t="shared" si="91"/>
        <v>-6.6</v>
      </c>
      <c r="CL17" s="38">
        <f t="shared" ca="1" si="92"/>
        <v>47.4</v>
      </c>
      <c r="CM17">
        <f ca="1">RANK(CL17,CL$10:CL$28)+COUNTIF(CL$10:CL17,CL17)-1</f>
        <v>7</v>
      </c>
      <c r="CN17">
        <f t="shared" ca="1" si="49"/>
        <v>17</v>
      </c>
      <c r="CO17" s="21">
        <f t="shared" ca="1" si="104"/>
        <v>8</v>
      </c>
      <c r="CP17" s="21">
        <f t="shared" ca="1" si="50"/>
        <v>1</v>
      </c>
      <c r="CQ17" s="41">
        <f t="shared" ca="1" si="93"/>
        <v>8</v>
      </c>
      <c r="CR17" s="21" t="str">
        <f t="shared" ca="1" si="51"/>
        <v>Trinidad &amp; Tobago</v>
      </c>
      <c r="CS17" s="43">
        <f t="shared" ca="1" si="52"/>
        <v>46.5</v>
      </c>
      <c r="CT17" s="43">
        <f t="shared" ca="1" si="53"/>
        <v>-3.9</v>
      </c>
      <c r="CU17" s="38">
        <f t="shared" ca="1" si="54"/>
        <v>-3.9</v>
      </c>
      <c r="CW17" s="38">
        <f t="shared" ca="1" si="55"/>
        <v>47.2</v>
      </c>
      <c r="CX17" s="38">
        <f t="shared" ca="1" si="56"/>
        <v>47.2</v>
      </c>
      <c r="CY17" s="38">
        <f t="shared" si="57"/>
        <v>0</v>
      </c>
      <c r="CZ17" s="47" t="str">
        <f t="shared" si="94"/>
        <v>-</v>
      </c>
      <c r="DA17" s="38">
        <f t="shared" ca="1" si="95"/>
        <v>47.2</v>
      </c>
      <c r="DB17">
        <f ca="1">RANK(DA17,DA$10:DA$28)+COUNTIF(DA$10:DA17,DA17)-1</f>
        <v>8</v>
      </c>
      <c r="DC17">
        <f t="shared" ca="1" si="58"/>
        <v>8</v>
      </c>
      <c r="DD17" s="21">
        <f t="shared" ca="1" si="105"/>
        <v>6</v>
      </c>
      <c r="DE17" s="21">
        <f t="shared" ca="1" si="59"/>
        <v>1</v>
      </c>
      <c r="DF17" s="41" t="str">
        <f t="shared" ca="1" si="96"/>
        <v>=6</v>
      </c>
      <c r="DG17" s="21" t="str">
        <f t="shared" ca="1" si="60"/>
        <v>El Salvador</v>
      </c>
      <c r="DH17" s="43">
        <f t="shared" ca="1" si="61"/>
        <v>47.2</v>
      </c>
      <c r="DI17" s="43" t="str">
        <f t="shared" ca="1" si="62"/>
        <v>-</v>
      </c>
      <c r="DJ17" s="38">
        <f t="shared" ca="1" si="63"/>
        <v>0</v>
      </c>
      <c r="DL17" s="38">
        <f t="shared" ca="1" si="64"/>
        <v>0</v>
      </c>
      <c r="DM17" s="38">
        <f t="shared" ca="1" si="65"/>
        <v>0</v>
      </c>
      <c r="DN17" s="38">
        <f t="shared" si="66"/>
        <v>0</v>
      </c>
      <c r="DO17" s="47" t="str">
        <f t="shared" si="97"/>
        <v>-</v>
      </c>
      <c r="DP17" s="38">
        <f t="shared" ca="1" si="98"/>
        <v>0</v>
      </c>
      <c r="DQ17">
        <f ca="1">RANK(DP17,DP$10:DP$28)+COUNTIF(DP$10:DP17,DP17)-1</f>
        <v>8</v>
      </c>
      <c r="DR17">
        <f t="shared" ca="1" si="67"/>
        <v>8</v>
      </c>
      <c r="DS17" s="21">
        <f t="shared" ca="1" si="106"/>
        <v>1</v>
      </c>
      <c r="DT17" s="21">
        <f t="shared" ca="1" si="68"/>
        <v>1</v>
      </c>
      <c r="DU17" s="41" t="str">
        <f t="shared" ca="1" si="99"/>
        <v>=1</v>
      </c>
      <c r="DV17" s="21" t="str">
        <f t="shared" ca="1" si="69"/>
        <v>El Salvador</v>
      </c>
      <c r="DW17" s="43">
        <f t="shared" ca="1" si="70"/>
        <v>0</v>
      </c>
      <c r="DX17" s="43" t="str">
        <f t="shared" ca="1" si="71"/>
        <v>-</v>
      </c>
      <c r="DY17" s="38">
        <f t="shared" ca="1" si="72"/>
        <v>0</v>
      </c>
    </row>
    <row r="18" spans="1:129">
      <c r="A18">
        <v>9</v>
      </c>
      <c r="B18" t="str">
        <f>tblCountries!E14</f>
        <v>Guatemala</v>
      </c>
      <c r="C18">
        <f>tblCountries!A14</f>
        <v>9</v>
      </c>
      <c r="D18">
        <f ca="1">tblCountries!F14</f>
        <v>1</v>
      </c>
      <c r="G18" s="38">
        <f t="shared" ca="1" si="0"/>
        <v>75</v>
      </c>
      <c r="H18" s="47">
        <f t="shared" ca="1" si="1"/>
        <v>3</v>
      </c>
      <c r="I18" s="38">
        <f t="shared" ca="1" si="2"/>
        <v>25</v>
      </c>
      <c r="J18" s="38">
        <f t="shared" ca="1" si="3"/>
        <v>1</v>
      </c>
      <c r="K18" s="47">
        <f t="shared" si="73"/>
        <v>50</v>
      </c>
      <c r="L18" s="47" t="str">
        <f t="shared" si="74"/>
        <v>+50</v>
      </c>
      <c r="M18" s="38">
        <f t="shared" ca="1" si="75"/>
        <v>75</v>
      </c>
      <c r="N18">
        <f ca="1">RANK(M18,M$10:M$28)+COUNTIF(M$10:M18,M18)-1</f>
        <v>3</v>
      </c>
      <c r="O18">
        <f t="shared" ca="1" si="4"/>
        <v>5</v>
      </c>
      <c r="P18" s="21">
        <f t="shared" ca="1" si="100"/>
        <v>9</v>
      </c>
      <c r="Q18" s="21">
        <f t="shared" ca="1" si="5"/>
        <v>1</v>
      </c>
      <c r="R18" s="41" t="str">
        <f t="shared" ca="1" si="76"/>
        <v>=9</v>
      </c>
      <c r="S18" s="21" t="str">
        <f t="shared" ca="1" si="6"/>
        <v>Costa Rica</v>
      </c>
      <c r="T18" s="41" t="str">
        <f t="shared" ca="1" si="7"/>
        <v>1</v>
      </c>
      <c r="U18" s="43">
        <f t="shared" ca="1" si="8"/>
        <v>25</v>
      </c>
      <c r="V18" s="43" t="str">
        <f t="shared" ca="1" si="9"/>
        <v>-25</v>
      </c>
      <c r="W18" t="str">
        <f t="shared" ca="1" si="77"/>
        <v>-25</v>
      </c>
      <c r="Z18" s="38">
        <f t="shared" ca="1" si="10"/>
        <v>42</v>
      </c>
      <c r="AA18" s="38">
        <f t="shared" ca="1" si="11"/>
        <v>21.3</v>
      </c>
      <c r="AB18" s="38">
        <f t="shared" si="12"/>
        <v>20.7</v>
      </c>
      <c r="AC18" s="47">
        <f t="shared" si="78"/>
        <v>20.7</v>
      </c>
      <c r="AD18" s="38">
        <f t="shared" ca="1" si="79"/>
        <v>42</v>
      </c>
      <c r="AE18">
        <f ca="1">RANK(AD18,AD$10:AD$28)+COUNTIF(AD$10:AD18,AD18)-1</f>
        <v>6</v>
      </c>
      <c r="AF18">
        <f t="shared" ca="1" si="13"/>
        <v>8</v>
      </c>
      <c r="AG18" s="21">
        <f t="shared" ca="1" si="80"/>
        <v>9</v>
      </c>
      <c r="AH18" s="21">
        <f t="shared" ca="1" si="14"/>
        <v>1</v>
      </c>
      <c r="AI18" s="41">
        <f t="shared" ca="1" si="81"/>
        <v>9</v>
      </c>
      <c r="AJ18" s="21" t="str">
        <f t="shared" ca="1" si="15"/>
        <v>El Salvador</v>
      </c>
      <c r="AK18" s="43">
        <f t="shared" ca="1" si="16"/>
        <v>35.200000000000003</v>
      </c>
      <c r="AL18" s="43">
        <f t="shared" ca="1" si="17"/>
        <v>5.8</v>
      </c>
      <c r="AM18" s="38">
        <f t="shared" ca="1" si="18"/>
        <v>5.8</v>
      </c>
      <c r="AO18" s="38">
        <f t="shared" ca="1" si="19"/>
        <v>53.1</v>
      </c>
      <c r="AP18" s="38">
        <f t="shared" ca="1" si="20"/>
        <v>18.8</v>
      </c>
      <c r="AQ18" s="38">
        <f t="shared" si="21"/>
        <v>34.4</v>
      </c>
      <c r="AR18" s="47">
        <f t="shared" si="82"/>
        <v>34.4</v>
      </c>
      <c r="AS18" s="38">
        <f t="shared" ca="1" si="83"/>
        <v>53.1</v>
      </c>
      <c r="AT18">
        <f ca="1">RANK(AS18,AS$10:AS$28)+COUNTIF(AS$10:AS18,AS18)-1</f>
        <v>5</v>
      </c>
      <c r="AU18">
        <f t="shared" ca="1" si="22"/>
        <v>18</v>
      </c>
      <c r="AV18" s="21">
        <f t="shared" ca="1" si="101"/>
        <v>9</v>
      </c>
      <c r="AW18" s="21">
        <f t="shared" ca="1" si="23"/>
        <v>1</v>
      </c>
      <c r="AX18" s="41" t="str">
        <f t="shared" ca="1" si="84"/>
        <v>=9</v>
      </c>
      <c r="AY18" s="21" t="str">
        <f t="shared" ca="1" si="24"/>
        <v>Uruguay</v>
      </c>
      <c r="AZ18" s="43">
        <f t="shared" ca="1" si="25"/>
        <v>34.4</v>
      </c>
      <c r="BA18" s="43">
        <f t="shared" ca="1" si="26"/>
        <v>9.4</v>
      </c>
      <c r="BB18" s="38">
        <f t="shared" ca="1" si="27"/>
        <v>9.4</v>
      </c>
      <c r="BD18" s="38">
        <f t="shared" ca="1" si="28"/>
        <v>50</v>
      </c>
      <c r="BE18" s="38">
        <f t="shared" ca="1" si="29"/>
        <v>25</v>
      </c>
      <c r="BF18" s="38">
        <f t="shared" si="30"/>
        <v>25</v>
      </c>
      <c r="BG18" s="47">
        <f t="shared" si="85"/>
        <v>25</v>
      </c>
      <c r="BH18" s="38">
        <f t="shared" ca="1" si="86"/>
        <v>50</v>
      </c>
      <c r="BI18">
        <f ca="1">RANK(BH18,BH$10:BH$28)+COUNTIF(BH$10:BH18,BH18)-1</f>
        <v>6</v>
      </c>
      <c r="BJ18">
        <f t="shared" ca="1" si="31"/>
        <v>10</v>
      </c>
      <c r="BK18" s="21">
        <f t="shared" ca="1" si="102"/>
        <v>9</v>
      </c>
      <c r="BL18" s="21">
        <f t="shared" ca="1" si="32"/>
        <v>1</v>
      </c>
      <c r="BM18" s="41" t="str">
        <f t="shared" ca="1" si="87"/>
        <v>=9</v>
      </c>
      <c r="BN18" s="21" t="str">
        <f t="shared" ca="1" si="33"/>
        <v>Honduras</v>
      </c>
      <c r="BO18" s="43">
        <f t="shared" ca="1" si="34"/>
        <v>33.299999999999997</v>
      </c>
      <c r="BP18" s="43" t="str">
        <f t="shared" ca="1" si="35"/>
        <v>-</v>
      </c>
      <c r="BQ18" s="38">
        <f t="shared" ca="1" si="36"/>
        <v>0</v>
      </c>
      <c r="BS18" s="38">
        <f t="shared" ca="1" si="37"/>
        <v>35.4</v>
      </c>
      <c r="BT18" s="38">
        <f t="shared" ca="1" si="38"/>
        <v>6.7</v>
      </c>
      <c r="BU18" s="38">
        <f t="shared" si="39"/>
        <v>28.7</v>
      </c>
      <c r="BV18" s="47">
        <f t="shared" si="88"/>
        <v>28.7</v>
      </c>
      <c r="BW18" s="38">
        <f t="shared" ca="1" si="89"/>
        <v>35.4</v>
      </c>
      <c r="BX18">
        <f ca="1">RANK(BW18,BW$10:BW$28)+COUNTIF(BW$10:BW18,BW18)-1</f>
        <v>7</v>
      </c>
      <c r="BY18">
        <f t="shared" ca="1" si="40"/>
        <v>7</v>
      </c>
      <c r="BZ18" s="21">
        <f t="shared" ca="1" si="103"/>
        <v>9</v>
      </c>
      <c r="CA18" s="21">
        <f t="shared" ca="1" si="41"/>
        <v>1</v>
      </c>
      <c r="CB18" s="41">
        <f t="shared" ca="1" si="90"/>
        <v>9</v>
      </c>
      <c r="CC18" s="21" t="str">
        <f t="shared" ca="1" si="42"/>
        <v>Ecuador</v>
      </c>
      <c r="CD18" s="43">
        <f t="shared" ca="1" si="43"/>
        <v>33</v>
      </c>
      <c r="CE18" s="43">
        <f t="shared" ca="1" si="44"/>
        <v>-1.1000000000000001</v>
      </c>
      <c r="CF18" s="38">
        <f t="shared" ca="1" si="45"/>
        <v>-1.1000000000000001</v>
      </c>
      <c r="CH18" s="38">
        <f t="shared" ca="1" si="46"/>
        <v>39.1</v>
      </c>
      <c r="CI18" s="38">
        <f t="shared" ca="1" si="47"/>
        <v>34.1</v>
      </c>
      <c r="CJ18" s="38">
        <f t="shared" si="48"/>
        <v>5</v>
      </c>
      <c r="CK18" s="47">
        <f t="shared" si="91"/>
        <v>5</v>
      </c>
      <c r="CL18" s="38">
        <f t="shared" ca="1" si="92"/>
        <v>39.1</v>
      </c>
      <c r="CM18">
        <f ca="1">RANK(CL18,CL$10:CL$28)+COUNTIF(CL$10:CL18,CL18)-1</f>
        <v>11</v>
      </c>
      <c r="CN18">
        <f t="shared" ca="1" si="49"/>
        <v>12</v>
      </c>
      <c r="CO18" s="21">
        <f t="shared" ca="1" si="104"/>
        <v>9</v>
      </c>
      <c r="CP18" s="21">
        <f t="shared" ca="1" si="50"/>
        <v>1</v>
      </c>
      <c r="CQ18" s="41">
        <f t="shared" ca="1" si="93"/>
        <v>9</v>
      </c>
      <c r="CR18" s="21" t="str">
        <f t="shared" ca="1" si="51"/>
        <v>Mexico</v>
      </c>
      <c r="CS18" s="43">
        <f t="shared" ca="1" si="52"/>
        <v>45.6</v>
      </c>
      <c r="CT18" s="43">
        <f t="shared" ca="1" si="53"/>
        <v>-5.7</v>
      </c>
      <c r="CU18" s="38">
        <f t="shared" ca="1" si="54"/>
        <v>-5.7</v>
      </c>
      <c r="CW18" s="38">
        <f t="shared" ca="1" si="55"/>
        <v>22.2</v>
      </c>
      <c r="CX18" s="38">
        <f t="shared" ca="1" si="56"/>
        <v>22.2</v>
      </c>
      <c r="CY18" s="38">
        <f t="shared" si="57"/>
        <v>0</v>
      </c>
      <c r="CZ18" s="47" t="str">
        <f t="shared" si="94"/>
        <v>-</v>
      </c>
      <c r="DA18" s="38">
        <f t="shared" ca="1" si="95"/>
        <v>22.2</v>
      </c>
      <c r="DB18">
        <f ca="1">RANK(DA18,DA$10:DA$28)+COUNTIF(DA$10:DA18,DA18)-1</f>
        <v>14</v>
      </c>
      <c r="DC18">
        <f t="shared" ca="1" si="58"/>
        <v>5</v>
      </c>
      <c r="DD18" s="21">
        <f t="shared" ca="1" si="105"/>
        <v>6</v>
      </c>
      <c r="DE18" s="21">
        <f t="shared" ca="1" si="59"/>
        <v>1</v>
      </c>
      <c r="DF18" s="41" t="str">
        <f t="shared" ca="1" si="96"/>
        <v>=6</v>
      </c>
      <c r="DG18" s="21" t="str">
        <f t="shared" ca="1" si="60"/>
        <v>Costa Rica</v>
      </c>
      <c r="DH18" s="43">
        <f t="shared" ca="1" si="61"/>
        <v>41.7</v>
      </c>
      <c r="DI18" s="43" t="str">
        <f t="shared" ca="1" si="62"/>
        <v>-</v>
      </c>
      <c r="DJ18" s="38">
        <f t="shared" ca="1" si="63"/>
        <v>0</v>
      </c>
      <c r="DL18" s="38">
        <f t="shared" ca="1" si="64"/>
        <v>0</v>
      </c>
      <c r="DM18" s="38">
        <f t="shared" ca="1" si="65"/>
        <v>0</v>
      </c>
      <c r="DN18" s="38">
        <f t="shared" si="66"/>
        <v>0</v>
      </c>
      <c r="DO18" s="47" t="str">
        <f t="shared" si="97"/>
        <v>-</v>
      </c>
      <c r="DP18" s="38">
        <f t="shared" ca="1" si="98"/>
        <v>0</v>
      </c>
      <c r="DQ18">
        <f ca="1">RANK(DP18,DP$10:DP$28)+COUNTIF(DP$10:DP18,DP18)-1</f>
        <v>9</v>
      </c>
      <c r="DR18">
        <f t="shared" ca="1" si="67"/>
        <v>9</v>
      </c>
      <c r="DS18" s="21">
        <f t="shared" ca="1" si="106"/>
        <v>1</v>
      </c>
      <c r="DT18" s="21">
        <f t="shared" ca="1" si="68"/>
        <v>1</v>
      </c>
      <c r="DU18" s="41" t="str">
        <f t="shared" ca="1" si="99"/>
        <v>=1</v>
      </c>
      <c r="DV18" s="21" t="str">
        <f t="shared" ca="1" si="69"/>
        <v>Guatemala</v>
      </c>
      <c r="DW18" s="43">
        <f t="shared" ca="1" si="70"/>
        <v>0</v>
      </c>
      <c r="DX18" s="43" t="str">
        <f t="shared" ca="1" si="71"/>
        <v>-</v>
      </c>
      <c r="DY18" s="38">
        <f t="shared" ca="1" si="72"/>
        <v>0</v>
      </c>
    </row>
    <row r="19" spans="1:129">
      <c r="A19">
        <v>10</v>
      </c>
      <c r="B19" t="str">
        <f>tblCountries!E15</f>
        <v>Honduras</v>
      </c>
      <c r="C19">
        <f>tblCountries!A15</f>
        <v>10</v>
      </c>
      <c r="D19">
        <f ca="1">tblCountries!F15</f>
        <v>1</v>
      </c>
      <c r="G19" s="38">
        <f t="shared" ca="1" si="0"/>
        <v>25</v>
      </c>
      <c r="H19" s="47">
        <f t="shared" ca="1" si="1"/>
        <v>1</v>
      </c>
      <c r="I19" s="38">
        <f t="shared" ca="1" si="2"/>
        <v>0</v>
      </c>
      <c r="J19" s="38">
        <f t="shared" ca="1" si="3"/>
        <v>0</v>
      </c>
      <c r="K19" s="47">
        <f t="shared" si="73"/>
        <v>25</v>
      </c>
      <c r="L19" s="47" t="str">
        <f t="shared" si="74"/>
        <v>+25</v>
      </c>
      <c r="M19" s="38">
        <f t="shared" ca="1" si="75"/>
        <v>25</v>
      </c>
      <c r="N19">
        <f ca="1">RANK(M19,M$10:M$28)+COUNTIF(M$10:M19,M19)-1</f>
        <v>12</v>
      </c>
      <c r="O19">
        <f t="shared" ca="1" si="4"/>
        <v>6</v>
      </c>
      <c r="P19" s="21">
        <f t="shared" ca="1" si="100"/>
        <v>9</v>
      </c>
      <c r="Q19" s="21">
        <f t="shared" ca="1" si="5"/>
        <v>1</v>
      </c>
      <c r="R19" s="41" t="str">
        <f t="shared" ca="1" si="76"/>
        <v>=9</v>
      </c>
      <c r="S19" s="21" t="str">
        <f t="shared" ca="1" si="6"/>
        <v>Dominican Rep.</v>
      </c>
      <c r="T19" s="41" t="str">
        <f t="shared" ca="1" si="7"/>
        <v>1</v>
      </c>
      <c r="U19" s="43">
        <f t="shared" ca="1" si="8"/>
        <v>25</v>
      </c>
      <c r="V19" s="43" t="str">
        <f t="shared" ca="1" si="9"/>
        <v>-</v>
      </c>
      <c r="W19" t="str">
        <f t="shared" ca="1" si="77"/>
        <v>-</v>
      </c>
      <c r="Z19" s="38">
        <f t="shared" ca="1" si="10"/>
        <v>24</v>
      </c>
      <c r="AA19" s="38">
        <f t="shared" ca="1" si="11"/>
        <v>21.3</v>
      </c>
      <c r="AB19" s="38">
        <f t="shared" si="12"/>
        <v>2.8</v>
      </c>
      <c r="AC19" s="47">
        <f t="shared" si="78"/>
        <v>2.8</v>
      </c>
      <c r="AD19" s="38">
        <f t="shared" ca="1" si="79"/>
        <v>24</v>
      </c>
      <c r="AE19">
        <f ca="1">RANK(AD19,AD$10:AD$28)+COUNTIF(AD$10:AD19,AD19)-1</f>
        <v>15</v>
      </c>
      <c r="AF19">
        <f t="shared" ca="1" si="13"/>
        <v>18</v>
      </c>
      <c r="AG19" s="21">
        <f t="shared" ca="1" si="80"/>
        <v>10</v>
      </c>
      <c r="AH19" s="21">
        <f t="shared" ca="1" si="14"/>
        <v>1</v>
      </c>
      <c r="AI19" s="41">
        <f t="shared" ca="1" si="81"/>
        <v>10</v>
      </c>
      <c r="AJ19" s="21" t="str">
        <f t="shared" ca="1" si="15"/>
        <v>Uruguay</v>
      </c>
      <c r="AK19" s="43">
        <f t="shared" ca="1" si="16"/>
        <v>34.299999999999997</v>
      </c>
      <c r="AL19" s="43">
        <f t="shared" ca="1" si="17"/>
        <v>4.7</v>
      </c>
      <c r="AM19" s="38">
        <f t="shared" ca="1" si="18"/>
        <v>4.7</v>
      </c>
      <c r="AO19" s="38">
        <f t="shared" ca="1" si="19"/>
        <v>15.6</v>
      </c>
      <c r="AP19" s="38">
        <f t="shared" ca="1" si="20"/>
        <v>15.6</v>
      </c>
      <c r="AQ19" s="38">
        <f t="shared" si="21"/>
        <v>0</v>
      </c>
      <c r="AR19" s="47" t="str">
        <f t="shared" si="82"/>
        <v>-</v>
      </c>
      <c r="AS19" s="38">
        <f t="shared" ca="1" si="83"/>
        <v>15.6</v>
      </c>
      <c r="AT19">
        <f ca="1">RANK(AS19,AS$10:AS$28)+COUNTIF(AS$10:AS19,AS19)-1</f>
        <v>17</v>
      </c>
      <c r="AU19">
        <f t="shared" ca="1" si="22"/>
        <v>8</v>
      </c>
      <c r="AV19" s="21">
        <f t="shared" ca="1" si="101"/>
        <v>9</v>
      </c>
      <c r="AW19" s="21">
        <f t="shared" ca="1" si="23"/>
        <v>1</v>
      </c>
      <c r="AX19" s="41" t="str">
        <f t="shared" ca="1" si="84"/>
        <v>=9</v>
      </c>
      <c r="AY19" s="21" t="str">
        <f t="shared" ca="1" si="24"/>
        <v>El Salvador</v>
      </c>
      <c r="AZ19" s="43">
        <f t="shared" ca="1" si="25"/>
        <v>28.1</v>
      </c>
      <c r="BA19" s="43">
        <f t="shared" ca="1" si="26"/>
        <v>9.4</v>
      </c>
      <c r="BB19" s="38">
        <f t="shared" ca="1" si="27"/>
        <v>9.4</v>
      </c>
      <c r="BD19" s="38">
        <f t="shared" ca="1" si="28"/>
        <v>33.299999999999997</v>
      </c>
      <c r="BE19" s="38">
        <f t="shared" ca="1" si="29"/>
        <v>33.299999999999997</v>
      </c>
      <c r="BF19" s="38">
        <f t="shared" si="30"/>
        <v>0</v>
      </c>
      <c r="BG19" s="47" t="str">
        <f t="shared" si="85"/>
        <v>-</v>
      </c>
      <c r="BH19" s="38">
        <f t="shared" ca="1" si="86"/>
        <v>33.299999999999997</v>
      </c>
      <c r="BI19">
        <f ca="1">RANK(BH19,BH$10:BH$28)+COUNTIF(BH$10:BH19,BH19)-1</f>
        <v>9</v>
      </c>
      <c r="BJ19">
        <f t="shared" ca="1" si="31"/>
        <v>18</v>
      </c>
      <c r="BK19" s="21">
        <f t="shared" ca="1" si="102"/>
        <v>9</v>
      </c>
      <c r="BL19" s="21">
        <f t="shared" ca="1" si="32"/>
        <v>1</v>
      </c>
      <c r="BM19" s="41" t="str">
        <f t="shared" ca="1" si="87"/>
        <v>=9</v>
      </c>
      <c r="BN19" s="21" t="str">
        <f t="shared" ca="1" si="33"/>
        <v>Uruguay</v>
      </c>
      <c r="BO19" s="43">
        <f t="shared" ca="1" si="34"/>
        <v>33.299999999999997</v>
      </c>
      <c r="BP19" s="43" t="str">
        <f t="shared" ca="1" si="35"/>
        <v>-</v>
      </c>
      <c r="BQ19" s="38">
        <f t="shared" ca="1" si="36"/>
        <v>0</v>
      </c>
      <c r="BS19" s="38">
        <f t="shared" ca="1" si="37"/>
        <v>35.1</v>
      </c>
      <c r="BT19" s="38">
        <f t="shared" ca="1" si="38"/>
        <v>19.5</v>
      </c>
      <c r="BU19" s="38">
        <f t="shared" si="39"/>
        <v>15.6</v>
      </c>
      <c r="BV19" s="47">
        <f t="shared" si="88"/>
        <v>15.6</v>
      </c>
      <c r="BW19" s="38">
        <f t="shared" ca="1" si="89"/>
        <v>35.1</v>
      </c>
      <c r="BX19">
        <f ca="1">RANK(BW19,BW$10:BW$28)+COUNTIF(BW$10:BW19,BW19)-1</f>
        <v>8</v>
      </c>
      <c r="BY19">
        <f t="shared" ca="1" si="40"/>
        <v>11</v>
      </c>
      <c r="BZ19" s="21">
        <f t="shared" ca="1" si="103"/>
        <v>10</v>
      </c>
      <c r="CA19" s="21">
        <f t="shared" ca="1" si="41"/>
        <v>1</v>
      </c>
      <c r="CB19" s="41">
        <f t="shared" ca="1" si="90"/>
        <v>10</v>
      </c>
      <c r="CC19" s="21" t="str">
        <f t="shared" ca="1" si="42"/>
        <v>Jamaica</v>
      </c>
      <c r="CD19" s="43">
        <f t="shared" ca="1" si="43"/>
        <v>25.3</v>
      </c>
      <c r="CE19" s="43">
        <f t="shared" ca="1" si="44"/>
        <v>9.1999999999999993</v>
      </c>
      <c r="CF19" s="38">
        <f t="shared" ca="1" si="45"/>
        <v>9.1999999999999993</v>
      </c>
      <c r="CH19" s="38">
        <f t="shared" ca="1" si="46"/>
        <v>27.6</v>
      </c>
      <c r="CI19" s="38">
        <f t="shared" ca="1" si="47"/>
        <v>29.4</v>
      </c>
      <c r="CJ19" s="38">
        <f t="shared" si="48"/>
        <v>-1.8</v>
      </c>
      <c r="CK19" s="47">
        <f t="shared" si="91"/>
        <v>-1.8</v>
      </c>
      <c r="CL19" s="38">
        <f t="shared" ca="1" si="92"/>
        <v>27.6</v>
      </c>
      <c r="CM19">
        <f ca="1">RANK(CL19,CL$10:CL$28)+COUNTIF(CL$10:CL19,CL19)-1</f>
        <v>18</v>
      </c>
      <c r="CN19">
        <f t="shared" ca="1" si="49"/>
        <v>4</v>
      </c>
      <c r="CO19" s="21">
        <f t="shared" ca="1" si="104"/>
        <v>10</v>
      </c>
      <c r="CP19" s="21">
        <f t="shared" ca="1" si="50"/>
        <v>1</v>
      </c>
      <c r="CQ19" s="41">
        <f t="shared" ca="1" si="93"/>
        <v>10</v>
      </c>
      <c r="CR19" s="21" t="str">
        <f t="shared" ca="1" si="51"/>
        <v>Colombia</v>
      </c>
      <c r="CS19" s="43">
        <f t="shared" ca="1" si="52"/>
        <v>44.9</v>
      </c>
      <c r="CT19" s="43">
        <f t="shared" ca="1" si="53"/>
        <v>0.8</v>
      </c>
      <c r="CU19" s="38">
        <f t="shared" ca="1" si="54"/>
        <v>0.8</v>
      </c>
      <c r="CW19" s="38">
        <f t="shared" ca="1" si="55"/>
        <v>11.1</v>
      </c>
      <c r="CX19" s="38">
        <f t="shared" ca="1" si="56"/>
        <v>8.3000000000000007</v>
      </c>
      <c r="CY19" s="38">
        <f t="shared" si="57"/>
        <v>2.8</v>
      </c>
      <c r="CZ19" s="47">
        <f t="shared" si="94"/>
        <v>2.8</v>
      </c>
      <c r="DA19" s="38">
        <f t="shared" ca="1" si="95"/>
        <v>11.1</v>
      </c>
      <c r="DB19">
        <f ca="1">RANK(DA19,DA$10:DA$28)+COUNTIF(DA$10:DA19,DA19)-1</f>
        <v>18</v>
      </c>
      <c r="DC19">
        <f t="shared" ca="1" si="58"/>
        <v>1</v>
      </c>
      <c r="DD19" s="21">
        <f t="shared" ca="1" si="105"/>
        <v>10</v>
      </c>
      <c r="DE19" s="21">
        <f t="shared" ca="1" si="59"/>
        <v>1</v>
      </c>
      <c r="DF19" s="41">
        <f t="shared" ca="1" si="96"/>
        <v>10</v>
      </c>
      <c r="DG19" s="21" t="str">
        <f t="shared" ca="1" si="60"/>
        <v>Argentina</v>
      </c>
      <c r="DH19" s="43">
        <f t="shared" ca="1" si="61"/>
        <v>33.299999999999997</v>
      </c>
      <c r="DI19" s="43">
        <f t="shared" ca="1" si="62"/>
        <v>5.6</v>
      </c>
      <c r="DJ19" s="38">
        <f t="shared" ca="1" si="63"/>
        <v>5.6</v>
      </c>
      <c r="DL19" s="38">
        <f t="shared" ca="1" si="64"/>
        <v>0</v>
      </c>
      <c r="DM19" s="38">
        <f t="shared" ca="1" si="65"/>
        <v>0</v>
      </c>
      <c r="DN19" s="38">
        <f t="shared" si="66"/>
        <v>0</v>
      </c>
      <c r="DO19" s="47" t="str">
        <f t="shared" si="97"/>
        <v>-</v>
      </c>
      <c r="DP19" s="38">
        <f t="shared" ca="1" si="98"/>
        <v>0</v>
      </c>
      <c r="DQ19">
        <f ca="1">RANK(DP19,DP$10:DP$28)+COUNTIF(DP$10:DP19,DP19)-1</f>
        <v>10</v>
      </c>
      <c r="DR19">
        <f t="shared" ca="1" si="67"/>
        <v>10</v>
      </c>
      <c r="DS19" s="21">
        <f t="shared" ca="1" si="106"/>
        <v>1</v>
      </c>
      <c r="DT19" s="21">
        <f t="shared" ca="1" si="68"/>
        <v>1</v>
      </c>
      <c r="DU19" s="41" t="str">
        <f t="shared" ca="1" si="99"/>
        <v>=1</v>
      </c>
      <c r="DV19" s="21" t="str">
        <f t="shared" ca="1" si="69"/>
        <v>Honduras</v>
      </c>
      <c r="DW19" s="43">
        <f t="shared" ca="1" si="70"/>
        <v>0</v>
      </c>
      <c r="DX19" s="43" t="str">
        <f t="shared" ca="1" si="71"/>
        <v>-</v>
      </c>
      <c r="DY19" s="38">
        <f t="shared" ca="1" si="72"/>
        <v>0</v>
      </c>
    </row>
    <row r="20" spans="1:129">
      <c r="A20">
        <v>11</v>
      </c>
      <c r="B20" t="str">
        <f>tblCountries!E16</f>
        <v>Jamaica</v>
      </c>
      <c r="C20">
        <f>tblCountries!A16</f>
        <v>11</v>
      </c>
      <c r="D20">
        <f ca="1">tblCountries!F16</f>
        <v>1</v>
      </c>
      <c r="G20" s="38">
        <f t="shared" ca="1" si="0"/>
        <v>25</v>
      </c>
      <c r="H20" s="47">
        <f t="shared" ca="1" si="1"/>
        <v>1</v>
      </c>
      <c r="I20" s="38">
        <f t="shared" ca="1" si="2"/>
        <v>25</v>
      </c>
      <c r="J20" s="38">
        <f t="shared" ca="1" si="3"/>
        <v>1</v>
      </c>
      <c r="K20" s="47">
        <f t="shared" si="73"/>
        <v>0</v>
      </c>
      <c r="L20" s="47" t="str">
        <f t="shared" si="74"/>
        <v>-</v>
      </c>
      <c r="M20" s="38">
        <f t="shared" ca="1" si="75"/>
        <v>25</v>
      </c>
      <c r="N20">
        <f ca="1">RANK(M20,M$10:M$28)+COUNTIF(M$10:M20,M20)-1</f>
        <v>13</v>
      </c>
      <c r="O20">
        <f t="shared" ca="1" si="4"/>
        <v>8</v>
      </c>
      <c r="P20" s="21">
        <f t="shared" ca="1" si="100"/>
        <v>9</v>
      </c>
      <c r="Q20" s="21">
        <f t="shared" ca="1" si="5"/>
        <v>1</v>
      </c>
      <c r="R20" s="41" t="str">
        <f t="shared" ca="1" si="76"/>
        <v>=9</v>
      </c>
      <c r="S20" s="21" t="str">
        <f t="shared" ca="1" si="6"/>
        <v>El Salvador</v>
      </c>
      <c r="T20" s="41" t="str">
        <f t="shared" ca="1" si="7"/>
        <v>1</v>
      </c>
      <c r="U20" s="43">
        <f t="shared" ca="1" si="8"/>
        <v>25</v>
      </c>
      <c r="V20" s="43" t="str">
        <f t="shared" ca="1" si="9"/>
        <v>+25</v>
      </c>
      <c r="W20" t="str">
        <f t="shared" ca="1" si="77"/>
        <v>+25</v>
      </c>
      <c r="Z20" s="38">
        <f t="shared" ca="1" si="10"/>
        <v>25.9</v>
      </c>
      <c r="AA20" s="38">
        <f t="shared" ca="1" si="11"/>
        <v>27.7</v>
      </c>
      <c r="AB20" s="38">
        <f t="shared" si="12"/>
        <v>-1.8</v>
      </c>
      <c r="AC20" s="47">
        <f t="shared" si="78"/>
        <v>-1.8</v>
      </c>
      <c r="AD20" s="38">
        <f t="shared" ca="1" si="79"/>
        <v>25.9</v>
      </c>
      <c r="AE20">
        <f ca="1">RANK(AD20,AD$10:AD$28)+COUNTIF(AD$10:AD20,AD20)-1</f>
        <v>13</v>
      </c>
      <c r="AF20">
        <f t="shared" ca="1" si="13"/>
        <v>17</v>
      </c>
      <c r="AG20" s="21">
        <f t="shared" ca="1" si="80"/>
        <v>11</v>
      </c>
      <c r="AH20" s="21">
        <f t="shared" ca="1" si="14"/>
        <v>1</v>
      </c>
      <c r="AI20" s="41">
        <f t="shared" ca="1" si="81"/>
        <v>11</v>
      </c>
      <c r="AJ20" s="21" t="str">
        <f t="shared" ca="1" si="15"/>
        <v>Trinidad &amp; Tobago</v>
      </c>
      <c r="AK20" s="43">
        <f t="shared" ca="1" si="16"/>
        <v>31.6</v>
      </c>
      <c r="AL20" s="43">
        <f t="shared" ca="1" si="17"/>
        <v>0.4</v>
      </c>
      <c r="AM20" s="38">
        <f t="shared" ca="1" si="18"/>
        <v>0.4</v>
      </c>
      <c r="AO20" s="38">
        <f t="shared" ca="1" si="19"/>
        <v>25</v>
      </c>
      <c r="AP20" s="38">
        <f t="shared" ca="1" si="20"/>
        <v>25</v>
      </c>
      <c r="AQ20" s="38">
        <f t="shared" si="21"/>
        <v>0</v>
      </c>
      <c r="AR20" s="47" t="str">
        <f t="shared" si="82"/>
        <v>-</v>
      </c>
      <c r="AS20" s="38">
        <f t="shared" ca="1" si="83"/>
        <v>25</v>
      </c>
      <c r="AT20">
        <f ca="1">RANK(AS20,AS$10:AS$28)+COUNTIF(AS$10:AS20,AS20)-1</f>
        <v>11</v>
      </c>
      <c r="AU20">
        <f t="shared" ca="1" si="22"/>
        <v>11</v>
      </c>
      <c r="AV20" s="21">
        <f t="shared" ca="1" si="101"/>
        <v>11</v>
      </c>
      <c r="AW20" s="21">
        <f t="shared" ca="1" si="23"/>
        <v>1</v>
      </c>
      <c r="AX20" s="41" t="str">
        <f t="shared" ca="1" si="84"/>
        <v>=11</v>
      </c>
      <c r="AY20" s="21" t="str">
        <f t="shared" ca="1" si="24"/>
        <v>Jamaica</v>
      </c>
      <c r="AZ20" s="43">
        <f t="shared" ca="1" si="25"/>
        <v>25</v>
      </c>
      <c r="BA20" s="43" t="str">
        <f t="shared" ca="1" si="26"/>
        <v>-</v>
      </c>
      <c r="BB20" s="38">
        <f t="shared" ca="1" si="27"/>
        <v>0</v>
      </c>
      <c r="BD20" s="38">
        <f t="shared" ca="1" si="28"/>
        <v>25</v>
      </c>
      <c r="BE20" s="38">
        <f t="shared" ca="1" si="29"/>
        <v>41.7</v>
      </c>
      <c r="BF20" s="38">
        <f t="shared" si="30"/>
        <v>-16.7</v>
      </c>
      <c r="BG20" s="47">
        <f t="shared" si="85"/>
        <v>-16.7</v>
      </c>
      <c r="BH20" s="38">
        <f t="shared" ca="1" si="86"/>
        <v>25</v>
      </c>
      <c r="BI20">
        <f ca="1">RANK(BH20,BH$10:BH$28)+COUNTIF(BH$10:BH20,BH20)-1</f>
        <v>12</v>
      </c>
      <c r="BJ20">
        <f t="shared" ca="1" si="31"/>
        <v>5</v>
      </c>
      <c r="BK20" s="21">
        <f t="shared" ca="1" si="102"/>
        <v>9</v>
      </c>
      <c r="BL20" s="21">
        <f t="shared" ca="1" si="32"/>
        <v>1</v>
      </c>
      <c r="BM20" s="41" t="str">
        <f t="shared" ca="1" si="87"/>
        <v>=9</v>
      </c>
      <c r="BN20" s="21" t="str">
        <f t="shared" ca="1" si="33"/>
        <v>Costa Rica</v>
      </c>
      <c r="BO20" s="43">
        <f t="shared" ca="1" si="34"/>
        <v>25</v>
      </c>
      <c r="BP20" s="43" t="str">
        <f t="shared" ca="1" si="35"/>
        <v>-</v>
      </c>
      <c r="BQ20" s="38">
        <f t="shared" ca="1" si="36"/>
        <v>0</v>
      </c>
      <c r="BS20" s="38">
        <f t="shared" ca="1" si="37"/>
        <v>25.3</v>
      </c>
      <c r="BT20" s="38">
        <f t="shared" ca="1" si="38"/>
        <v>16.100000000000001</v>
      </c>
      <c r="BU20" s="38">
        <f t="shared" si="39"/>
        <v>9.1999999999999993</v>
      </c>
      <c r="BV20" s="47">
        <f t="shared" si="88"/>
        <v>9.1999999999999993</v>
      </c>
      <c r="BW20" s="38">
        <f t="shared" ca="1" si="89"/>
        <v>25.3</v>
      </c>
      <c r="BX20">
        <f ca="1">RANK(BW20,BW$10:BW$28)+COUNTIF(BW$10:BW20,BW20)-1</f>
        <v>10</v>
      </c>
      <c r="BY20">
        <f t="shared" ca="1" si="40"/>
        <v>8</v>
      </c>
      <c r="BZ20" s="21">
        <f t="shared" ca="1" si="103"/>
        <v>11</v>
      </c>
      <c r="CA20" s="21">
        <f t="shared" ca="1" si="41"/>
        <v>1</v>
      </c>
      <c r="CB20" s="41">
        <f t="shared" ca="1" si="90"/>
        <v>11</v>
      </c>
      <c r="CC20" s="21" t="str">
        <f t="shared" ca="1" si="42"/>
        <v>El Salvador</v>
      </c>
      <c r="CD20" s="43">
        <f t="shared" ca="1" si="43"/>
        <v>25.1</v>
      </c>
      <c r="CE20" s="43">
        <f t="shared" ca="1" si="44"/>
        <v>3.3</v>
      </c>
      <c r="CF20" s="38">
        <f t="shared" ca="1" si="45"/>
        <v>3.3</v>
      </c>
      <c r="CH20" s="38">
        <f t="shared" ca="1" si="46"/>
        <v>38.4</v>
      </c>
      <c r="CI20" s="38">
        <f t="shared" ca="1" si="47"/>
        <v>39.1</v>
      </c>
      <c r="CJ20" s="38">
        <f t="shared" si="48"/>
        <v>-0.7</v>
      </c>
      <c r="CK20" s="47">
        <f t="shared" si="91"/>
        <v>-0.7</v>
      </c>
      <c r="CL20" s="38">
        <f t="shared" ca="1" si="92"/>
        <v>38.4</v>
      </c>
      <c r="CM20">
        <f ca="1">RANK(CL20,CL$10:CL$28)+COUNTIF(CL$10:CL20,CL20)-1</f>
        <v>12</v>
      </c>
      <c r="CN20">
        <f t="shared" ca="1" si="49"/>
        <v>9</v>
      </c>
      <c r="CO20" s="21">
        <f t="shared" ca="1" si="104"/>
        <v>11</v>
      </c>
      <c r="CP20" s="21">
        <f t="shared" ca="1" si="50"/>
        <v>1</v>
      </c>
      <c r="CQ20" s="41">
        <f t="shared" ca="1" si="93"/>
        <v>11</v>
      </c>
      <c r="CR20" s="21" t="str">
        <f t="shared" ca="1" si="51"/>
        <v>Guatemala</v>
      </c>
      <c r="CS20" s="43">
        <f t="shared" ca="1" si="52"/>
        <v>39.1</v>
      </c>
      <c r="CT20" s="43">
        <f t="shared" ca="1" si="53"/>
        <v>5</v>
      </c>
      <c r="CU20" s="38">
        <f t="shared" ca="1" si="54"/>
        <v>5</v>
      </c>
      <c r="CW20" s="38">
        <f t="shared" ca="1" si="55"/>
        <v>16.7</v>
      </c>
      <c r="CX20" s="38">
        <f t="shared" ca="1" si="56"/>
        <v>13.9</v>
      </c>
      <c r="CY20" s="38">
        <f t="shared" si="57"/>
        <v>2.8</v>
      </c>
      <c r="CZ20" s="47">
        <f t="shared" si="94"/>
        <v>2.8</v>
      </c>
      <c r="DA20" s="38">
        <f t="shared" ca="1" si="95"/>
        <v>16.7</v>
      </c>
      <c r="DB20">
        <f ca="1">RANK(DA20,DA$10:DA$28)+COUNTIF(DA$10:DA20,DA20)-1</f>
        <v>16</v>
      </c>
      <c r="DC20">
        <f t="shared" ca="1" si="58"/>
        <v>6</v>
      </c>
      <c r="DD20" s="21">
        <f t="shared" ca="1" si="105"/>
        <v>11</v>
      </c>
      <c r="DE20" s="21">
        <f t="shared" ca="1" si="59"/>
        <v>1</v>
      </c>
      <c r="DF20" s="41">
        <f t="shared" ca="1" si="96"/>
        <v>11</v>
      </c>
      <c r="DG20" s="21" t="str">
        <f t="shared" ca="1" si="60"/>
        <v>Dominican Rep.</v>
      </c>
      <c r="DH20" s="43">
        <f t="shared" ca="1" si="61"/>
        <v>30.6</v>
      </c>
      <c r="DI20" s="43">
        <f t="shared" ca="1" si="62"/>
        <v>8.3000000000000007</v>
      </c>
      <c r="DJ20" s="38">
        <f t="shared" ca="1" si="63"/>
        <v>8.3000000000000007</v>
      </c>
      <c r="DL20" s="38">
        <f t="shared" ca="1" si="64"/>
        <v>0</v>
      </c>
      <c r="DM20" s="38">
        <f t="shared" ca="1" si="65"/>
        <v>0</v>
      </c>
      <c r="DN20" s="38">
        <f t="shared" si="66"/>
        <v>0</v>
      </c>
      <c r="DO20" s="47" t="str">
        <f t="shared" si="97"/>
        <v>-</v>
      </c>
      <c r="DP20" s="38">
        <f t="shared" ca="1" si="98"/>
        <v>0</v>
      </c>
      <c r="DQ20">
        <f ca="1">RANK(DP20,DP$10:DP$28)+COUNTIF(DP$10:DP20,DP20)-1</f>
        <v>11</v>
      </c>
      <c r="DR20">
        <f t="shared" ca="1" si="67"/>
        <v>11</v>
      </c>
      <c r="DS20" s="21">
        <f t="shared" ca="1" si="106"/>
        <v>1</v>
      </c>
      <c r="DT20" s="21">
        <f t="shared" ca="1" si="68"/>
        <v>1</v>
      </c>
      <c r="DU20" s="41" t="str">
        <f t="shared" ca="1" si="99"/>
        <v>=1</v>
      </c>
      <c r="DV20" s="21" t="str">
        <f t="shared" ca="1" si="69"/>
        <v>Jamaica</v>
      </c>
      <c r="DW20" s="43">
        <f t="shared" ca="1" si="70"/>
        <v>0</v>
      </c>
      <c r="DX20" s="43" t="str">
        <f t="shared" ca="1" si="71"/>
        <v>-</v>
      </c>
      <c r="DY20" s="38">
        <f t="shared" ca="1" si="72"/>
        <v>0</v>
      </c>
    </row>
    <row r="21" spans="1:129">
      <c r="A21">
        <v>12</v>
      </c>
      <c r="B21" t="str">
        <f>tblCountries!E17</f>
        <v>Mexico</v>
      </c>
      <c r="C21">
        <f>tblCountries!A17</f>
        <v>12</v>
      </c>
      <c r="D21">
        <f ca="1">tblCountries!F17</f>
        <v>1</v>
      </c>
      <c r="G21" s="38">
        <f t="shared" ca="1" si="0"/>
        <v>50</v>
      </c>
      <c r="H21" s="47">
        <f t="shared" ca="1" si="1"/>
        <v>2</v>
      </c>
      <c r="I21" s="38">
        <f t="shared" ca="1" si="2"/>
        <v>50</v>
      </c>
      <c r="J21" s="38">
        <f t="shared" ca="1" si="3"/>
        <v>2</v>
      </c>
      <c r="K21" s="47">
        <f t="shared" si="73"/>
        <v>0</v>
      </c>
      <c r="L21" s="47" t="str">
        <f t="shared" si="74"/>
        <v>-</v>
      </c>
      <c r="M21" s="38">
        <f t="shared" ca="1" si="75"/>
        <v>50</v>
      </c>
      <c r="N21">
        <f ca="1">RANK(M21,M$10:M$28)+COUNTIF(M$10:M21,M21)-1</f>
        <v>7</v>
      </c>
      <c r="O21">
        <f t="shared" ca="1" si="4"/>
        <v>10</v>
      </c>
      <c r="P21" s="21">
        <f t="shared" ca="1" si="100"/>
        <v>9</v>
      </c>
      <c r="Q21" s="21">
        <f t="shared" ca="1" si="5"/>
        <v>1</v>
      </c>
      <c r="R21" s="41" t="str">
        <f t="shared" ca="1" si="76"/>
        <v>=9</v>
      </c>
      <c r="S21" s="21" t="str">
        <f t="shared" ca="1" si="6"/>
        <v>Honduras</v>
      </c>
      <c r="T21" s="41" t="str">
        <f t="shared" ca="1" si="7"/>
        <v>1</v>
      </c>
      <c r="U21" s="43">
        <f t="shared" ca="1" si="8"/>
        <v>25</v>
      </c>
      <c r="V21" s="43" t="str">
        <f t="shared" ca="1" si="9"/>
        <v>+25</v>
      </c>
      <c r="W21" t="str">
        <f t="shared" ca="1" si="77"/>
        <v>+25</v>
      </c>
      <c r="Z21" s="38">
        <f t="shared" ca="1" si="10"/>
        <v>57.2</v>
      </c>
      <c r="AA21" s="38">
        <f t="shared" ca="1" si="11"/>
        <v>49.1</v>
      </c>
      <c r="AB21" s="38">
        <f t="shared" si="12"/>
        <v>8.1999999999999993</v>
      </c>
      <c r="AC21" s="47">
        <f t="shared" si="78"/>
        <v>8.1999999999999993</v>
      </c>
      <c r="AD21" s="38">
        <f t="shared" ca="1" si="79"/>
        <v>57.2</v>
      </c>
      <c r="AE21">
        <f ca="1">RANK(AD21,AD$10:AD$28)+COUNTIF(AD$10:AD21,AD21)-1</f>
        <v>4</v>
      </c>
      <c r="AF21">
        <f t="shared" ca="1" si="13"/>
        <v>1</v>
      </c>
      <c r="AG21" s="21">
        <f t="shared" ca="1" si="80"/>
        <v>12</v>
      </c>
      <c r="AH21" s="21">
        <f t="shared" ca="1" si="14"/>
        <v>1</v>
      </c>
      <c r="AI21" s="41">
        <f t="shared" ca="1" si="81"/>
        <v>12</v>
      </c>
      <c r="AJ21" s="21" t="str">
        <f t="shared" ca="1" si="15"/>
        <v>Argentina</v>
      </c>
      <c r="AK21" s="43">
        <f t="shared" ca="1" si="16"/>
        <v>28.1</v>
      </c>
      <c r="AL21" s="43">
        <f t="shared" ca="1" si="17"/>
        <v>0.9</v>
      </c>
      <c r="AM21" s="38">
        <f t="shared" ca="1" si="18"/>
        <v>0.9</v>
      </c>
      <c r="AO21" s="38">
        <f t="shared" ca="1" si="19"/>
        <v>56.3</v>
      </c>
      <c r="AP21" s="38">
        <f t="shared" ca="1" si="20"/>
        <v>50</v>
      </c>
      <c r="AQ21" s="38">
        <f t="shared" si="21"/>
        <v>6.3</v>
      </c>
      <c r="AR21" s="47">
        <f t="shared" si="82"/>
        <v>6.3</v>
      </c>
      <c r="AS21" s="38">
        <f t="shared" ca="1" si="83"/>
        <v>56.3</v>
      </c>
      <c r="AT21">
        <f ca="1">RANK(AS21,AS$10:AS$28)+COUNTIF(AS$10:AS21,AS21)-1</f>
        <v>4</v>
      </c>
      <c r="AU21">
        <f t="shared" ca="1" si="22"/>
        <v>15</v>
      </c>
      <c r="AV21" s="21">
        <f t="shared" ca="1" si="101"/>
        <v>11</v>
      </c>
      <c r="AW21" s="21">
        <f t="shared" ca="1" si="23"/>
        <v>1</v>
      </c>
      <c r="AX21" s="41" t="str">
        <f t="shared" ca="1" si="84"/>
        <v>=11</v>
      </c>
      <c r="AY21" s="21" t="str">
        <f t="shared" ca="1" si="24"/>
        <v>Paraguay</v>
      </c>
      <c r="AZ21" s="43">
        <f t="shared" ca="1" si="25"/>
        <v>25</v>
      </c>
      <c r="BA21" s="43" t="str">
        <f t="shared" ca="1" si="26"/>
        <v>-</v>
      </c>
      <c r="BB21" s="38">
        <f t="shared" ca="1" si="27"/>
        <v>0</v>
      </c>
      <c r="BD21" s="38">
        <f t="shared" ca="1" si="28"/>
        <v>58.3</v>
      </c>
      <c r="BE21" s="38">
        <f t="shared" ca="1" si="29"/>
        <v>33.299999999999997</v>
      </c>
      <c r="BF21" s="38">
        <f t="shared" si="30"/>
        <v>25</v>
      </c>
      <c r="BG21" s="47">
        <f t="shared" si="85"/>
        <v>25</v>
      </c>
      <c r="BH21" s="38">
        <f t="shared" ca="1" si="86"/>
        <v>58.3</v>
      </c>
      <c r="BI21">
        <f ca="1">RANK(BH21,BH$10:BH$28)+COUNTIF(BH$10:BH21,BH21)-1</f>
        <v>4</v>
      </c>
      <c r="BJ21">
        <f t="shared" ca="1" si="31"/>
        <v>11</v>
      </c>
      <c r="BK21" s="21">
        <f t="shared" ca="1" si="102"/>
        <v>12</v>
      </c>
      <c r="BL21" s="21">
        <f t="shared" ca="1" si="32"/>
        <v>1</v>
      </c>
      <c r="BM21" s="41">
        <f t="shared" ca="1" si="87"/>
        <v>12</v>
      </c>
      <c r="BN21" s="21" t="str">
        <f t="shared" ca="1" si="33"/>
        <v>Jamaica</v>
      </c>
      <c r="BO21" s="43">
        <f t="shared" ca="1" si="34"/>
        <v>25</v>
      </c>
      <c r="BP21" s="43">
        <f t="shared" ca="1" si="35"/>
        <v>-16.7</v>
      </c>
      <c r="BQ21" s="38">
        <f t="shared" ca="1" si="36"/>
        <v>-16.7</v>
      </c>
      <c r="BS21" s="38">
        <f t="shared" ca="1" si="37"/>
        <v>54</v>
      </c>
      <c r="BT21" s="38">
        <f t="shared" ca="1" si="38"/>
        <v>45.9</v>
      </c>
      <c r="BU21" s="38">
        <f t="shared" si="39"/>
        <v>8.1</v>
      </c>
      <c r="BV21" s="47">
        <f t="shared" si="88"/>
        <v>8.1</v>
      </c>
      <c r="BW21" s="38">
        <f t="shared" ca="1" si="89"/>
        <v>54</v>
      </c>
      <c r="BX21">
        <f ca="1">RANK(BW21,BW$10:BW$28)+COUNTIF(BW$10:BW21,BW21)-1</f>
        <v>3</v>
      </c>
      <c r="BY21">
        <f t="shared" ca="1" si="40"/>
        <v>18</v>
      </c>
      <c r="BZ21" s="21">
        <f t="shared" ca="1" si="103"/>
        <v>12</v>
      </c>
      <c r="CA21" s="21">
        <f t="shared" ca="1" si="41"/>
        <v>1</v>
      </c>
      <c r="CB21" s="41">
        <f t="shared" ca="1" si="90"/>
        <v>12</v>
      </c>
      <c r="CC21" s="21" t="str">
        <f t="shared" ca="1" si="42"/>
        <v>Uruguay</v>
      </c>
      <c r="CD21" s="43">
        <f t="shared" ca="1" si="43"/>
        <v>19.3</v>
      </c>
      <c r="CE21" s="43">
        <f t="shared" ca="1" si="44"/>
        <v>5.6</v>
      </c>
      <c r="CF21" s="38">
        <f t="shared" ca="1" si="45"/>
        <v>5.6</v>
      </c>
      <c r="CH21" s="38">
        <f t="shared" ca="1" si="46"/>
        <v>45.6</v>
      </c>
      <c r="CI21" s="38">
        <f t="shared" ca="1" si="47"/>
        <v>51.3</v>
      </c>
      <c r="CJ21" s="38">
        <f t="shared" si="48"/>
        <v>-5.7</v>
      </c>
      <c r="CK21" s="47">
        <f t="shared" si="91"/>
        <v>-5.7</v>
      </c>
      <c r="CL21" s="38">
        <f t="shared" ca="1" si="92"/>
        <v>45.6</v>
      </c>
      <c r="CM21">
        <f ca="1">RANK(CL21,CL$10:CL$28)+COUNTIF(CL$10:CL21,CL21)-1</f>
        <v>9</v>
      </c>
      <c r="CN21">
        <f t="shared" ca="1" si="49"/>
        <v>11</v>
      </c>
      <c r="CO21" s="21">
        <f t="shared" ca="1" si="104"/>
        <v>12</v>
      </c>
      <c r="CP21" s="21">
        <f t="shared" ca="1" si="50"/>
        <v>1</v>
      </c>
      <c r="CQ21" s="41">
        <f t="shared" ca="1" si="93"/>
        <v>12</v>
      </c>
      <c r="CR21" s="21" t="str">
        <f t="shared" ca="1" si="51"/>
        <v>Jamaica</v>
      </c>
      <c r="CS21" s="43">
        <f t="shared" ca="1" si="52"/>
        <v>38.4</v>
      </c>
      <c r="CT21" s="43">
        <f t="shared" ca="1" si="53"/>
        <v>-0.7</v>
      </c>
      <c r="CU21" s="38">
        <f t="shared" ca="1" si="54"/>
        <v>-0.7</v>
      </c>
      <c r="CW21" s="38">
        <f t="shared" ca="1" si="55"/>
        <v>72.2</v>
      </c>
      <c r="CX21" s="38">
        <f t="shared" ca="1" si="56"/>
        <v>69.400000000000006</v>
      </c>
      <c r="CY21" s="38">
        <f t="shared" si="57"/>
        <v>2.8</v>
      </c>
      <c r="CZ21" s="47">
        <f t="shared" si="94"/>
        <v>2.8</v>
      </c>
      <c r="DA21" s="38">
        <f t="shared" ca="1" si="95"/>
        <v>72.2</v>
      </c>
      <c r="DB21">
        <f ca="1">RANK(DA21,DA$10:DA$28)+COUNTIF(DA$10:DA21,DA21)-1</f>
        <v>3</v>
      </c>
      <c r="DC21">
        <f t="shared" ca="1" si="58"/>
        <v>18</v>
      </c>
      <c r="DD21" s="21">
        <f t="shared" ca="1" si="105"/>
        <v>12</v>
      </c>
      <c r="DE21" s="21">
        <f t="shared" ca="1" si="59"/>
        <v>1</v>
      </c>
      <c r="DF21" s="41">
        <f t="shared" ca="1" si="96"/>
        <v>12</v>
      </c>
      <c r="DG21" s="21" t="str">
        <f t="shared" ca="1" si="60"/>
        <v>Uruguay</v>
      </c>
      <c r="DH21" s="43">
        <f t="shared" ca="1" si="61"/>
        <v>30.6</v>
      </c>
      <c r="DI21" s="43">
        <f t="shared" ca="1" si="62"/>
        <v>5.6</v>
      </c>
      <c r="DJ21" s="38">
        <f t="shared" ca="1" si="63"/>
        <v>5.6</v>
      </c>
      <c r="DL21" s="38">
        <f t="shared" ca="1" si="64"/>
        <v>0</v>
      </c>
      <c r="DM21" s="38">
        <f t="shared" ca="1" si="65"/>
        <v>0</v>
      </c>
      <c r="DN21" s="38">
        <f t="shared" si="66"/>
        <v>0</v>
      </c>
      <c r="DO21" s="47" t="str">
        <f t="shared" si="97"/>
        <v>-</v>
      </c>
      <c r="DP21" s="38">
        <f t="shared" ca="1" si="98"/>
        <v>0</v>
      </c>
      <c r="DQ21">
        <f ca="1">RANK(DP21,DP$10:DP$28)+COUNTIF(DP$10:DP21,DP21)-1</f>
        <v>12</v>
      </c>
      <c r="DR21">
        <f t="shared" ca="1" si="67"/>
        <v>12</v>
      </c>
      <c r="DS21" s="21">
        <f t="shared" ca="1" si="106"/>
        <v>1</v>
      </c>
      <c r="DT21" s="21">
        <f t="shared" ca="1" si="68"/>
        <v>1</v>
      </c>
      <c r="DU21" s="41" t="str">
        <f t="shared" ca="1" si="99"/>
        <v>=1</v>
      </c>
      <c r="DV21" s="21" t="str">
        <f t="shared" ca="1" si="69"/>
        <v>Mexico</v>
      </c>
      <c r="DW21" s="43">
        <f t="shared" ca="1" si="70"/>
        <v>0</v>
      </c>
      <c r="DX21" s="43" t="str">
        <f t="shared" ca="1" si="71"/>
        <v>-</v>
      </c>
      <c r="DY21" s="38">
        <f t="shared" ca="1" si="72"/>
        <v>0</v>
      </c>
    </row>
    <row r="22" spans="1:129">
      <c r="A22">
        <v>13</v>
      </c>
      <c r="B22" t="str">
        <f>tblCountries!E18</f>
        <v>Nicaragua</v>
      </c>
      <c r="C22">
        <f>tblCountries!A18</f>
        <v>13</v>
      </c>
      <c r="D22">
        <f ca="1">tblCountries!F18</f>
        <v>1</v>
      </c>
      <c r="G22" s="38">
        <f t="shared" ca="1" si="0"/>
        <v>25</v>
      </c>
      <c r="H22" s="47">
        <f t="shared" ca="1" si="1"/>
        <v>1</v>
      </c>
      <c r="I22" s="38">
        <f t="shared" ca="1" si="2"/>
        <v>0</v>
      </c>
      <c r="J22" s="38">
        <f t="shared" ca="1" si="3"/>
        <v>0</v>
      </c>
      <c r="K22" s="47">
        <f t="shared" si="73"/>
        <v>25</v>
      </c>
      <c r="L22" s="47" t="str">
        <f t="shared" si="74"/>
        <v>+25</v>
      </c>
      <c r="M22" s="38">
        <f t="shared" ca="1" si="75"/>
        <v>25</v>
      </c>
      <c r="N22">
        <f ca="1">RANK(M22,M$10:M$28)+COUNTIF(M$10:M22,M22)-1</f>
        <v>14</v>
      </c>
      <c r="O22">
        <f t="shared" ca="1" si="4"/>
        <v>11</v>
      </c>
      <c r="P22" s="21">
        <f t="shared" ca="1" si="100"/>
        <v>9</v>
      </c>
      <c r="Q22" s="21">
        <f t="shared" ca="1" si="5"/>
        <v>1</v>
      </c>
      <c r="R22" s="41" t="str">
        <f t="shared" ca="1" si="76"/>
        <v>=9</v>
      </c>
      <c r="S22" s="21" t="str">
        <f t="shared" ca="1" si="6"/>
        <v>Jamaica</v>
      </c>
      <c r="T22" s="41" t="str">
        <f t="shared" ca="1" si="7"/>
        <v>1</v>
      </c>
      <c r="U22" s="43">
        <f t="shared" ca="1" si="8"/>
        <v>25</v>
      </c>
      <c r="V22" s="43" t="str">
        <f t="shared" ca="1" si="9"/>
        <v>-</v>
      </c>
      <c r="W22" t="str">
        <f t="shared" ca="1" si="77"/>
        <v>-</v>
      </c>
      <c r="Z22" s="38">
        <f t="shared" ca="1" si="10"/>
        <v>20.399999999999999</v>
      </c>
      <c r="AA22" s="38">
        <f t="shared" ca="1" si="11"/>
        <v>10.9</v>
      </c>
      <c r="AB22" s="38">
        <f t="shared" si="12"/>
        <v>9.5</v>
      </c>
      <c r="AC22" s="47">
        <f t="shared" si="78"/>
        <v>9.5</v>
      </c>
      <c r="AD22" s="38">
        <f t="shared" ca="1" si="79"/>
        <v>20.399999999999999</v>
      </c>
      <c r="AE22">
        <f ca="1">RANK(AD22,AD$10:AD$28)+COUNTIF(AD$10:AD22,AD22)-1</f>
        <v>17</v>
      </c>
      <c r="AF22">
        <f t="shared" ca="1" si="13"/>
        <v>11</v>
      </c>
      <c r="AG22" s="21">
        <f t="shared" ca="1" si="80"/>
        <v>13</v>
      </c>
      <c r="AH22" s="21">
        <f t="shared" ca="1" si="14"/>
        <v>1</v>
      </c>
      <c r="AI22" s="41">
        <f t="shared" ca="1" si="81"/>
        <v>13</v>
      </c>
      <c r="AJ22" s="21" t="str">
        <f t="shared" ca="1" si="15"/>
        <v>Jamaica</v>
      </c>
      <c r="AK22" s="43">
        <f t="shared" ca="1" si="16"/>
        <v>25.9</v>
      </c>
      <c r="AL22" s="43">
        <f t="shared" ca="1" si="17"/>
        <v>-1.8</v>
      </c>
      <c r="AM22" s="38">
        <f t="shared" ca="1" si="18"/>
        <v>-1.8</v>
      </c>
      <c r="AO22" s="38">
        <f t="shared" ca="1" si="19"/>
        <v>21.9</v>
      </c>
      <c r="AP22" s="38">
        <f t="shared" ca="1" si="20"/>
        <v>6.3</v>
      </c>
      <c r="AQ22" s="38">
        <f t="shared" si="21"/>
        <v>15.6</v>
      </c>
      <c r="AR22" s="47">
        <f t="shared" si="82"/>
        <v>15.6</v>
      </c>
      <c r="AS22" s="38">
        <f t="shared" ca="1" si="83"/>
        <v>21.9</v>
      </c>
      <c r="AT22">
        <f ca="1">RANK(AS22,AS$10:AS$28)+COUNTIF(AS$10:AS22,AS22)-1</f>
        <v>16</v>
      </c>
      <c r="AU22">
        <f t="shared" ca="1" si="22"/>
        <v>17</v>
      </c>
      <c r="AV22" s="21">
        <f t="shared" ca="1" si="101"/>
        <v>11</v>
      </c>
      <c r="AW22" s="21">
        <f t="shared" ca="1" si="23"/>
        <v>1</v>
      </c>
      <c r="AX22" s="41" t="str">
        <f t="shared" ca="1" si="84"/>
        <v>=11</v>
      </c>
      <c r="AY22" s="21" t="str">
        <f t="shared" ca="1" si="24"/>
        <v>Trinidad &amp; Tobago</v>
      </c>
      <c r="AZ22" s="43">
        <f t="shared" ca="1" si="25"/>
        <v>25</v>
      </c>
      <c r="BA22" s="43" t="str">
        <f t="shared" ca="1" si="26"/>
        <v>-</v>
      </c>
      <c r="BB22" s="38">
        <f t="shared" ca="1" si="27"/>
        <v>0</v>
      </c>
      <c r="BD22" s="38">
        <f t="shared" ca="1" si="28"/>
        <v>25</v>
      </c>
      <c r="BE22" s="38">
        <f t="shared" ca="1" si="29"/>
        <v>8.3000000000000007</v>
      </c>
      <c r="BF22" s="38">
        <f t="shared" si="30"/>
        <v>16.7</v>
      </c>
      <c r="BG22" s="47">
        <f t="shared" si="85"/>
        <v>16.7</v>
      </c>
      <c r="BH22" s="38">
        <f t="shared" ca="1" si="86"/>
        <v>25</v>
      </c>
      <c r="BI22">
        <f ca="1">RANK(BH22,BH$10:BH$28)+COUNTIF(BH$10:BH22,BH22)-1</f>
        <v>13</v>
      </c>
      <c r="BJ22">
        <f t="shared" ca="1" si="31"/>
        <v>13</v>
      </c>
      <c r="BK22" s="21">
        <f t="shared" ca="1" si="102"/>
        <v>13</v>
      </c>
      <c r="BL22" s="21">
        <f t="shared" ca="1" si="32"/>
        <v>1</v>
      </c>
      <c r="BM22" s="41" t="str">
        <f t="shared" ca="1" si="87"/>
        <v>=13</v>
      </c>
      <c r="BN22" s="21" t="str">
        <f t="shared" ca="1" si="33"/>
        <v>Nicaragua</v>
      </c>
      <c r="BO22" s="43">
        <f t="shared" ca="1" si="34"/>
        <v>25</v>
      </c>
      <c r="BP22" s="43">
        <f t="shared" ca="1" si="35"/>
        <v>16.7</v>
      </c>
      <c r="BQ22" s="38">
        <f t="shared" ca="1" si="36"/>
        <v>16.7</v>
      </c>
      <c r="BS22" s="38">
        <f t="shared" ca="1" si="37"/>
        <v>13.1</v>
      </c>
      <c r="BT22" s="38">
        <f t="shared" ca="1" si="38"/>
        <v>6.5</v>
      </c>
      <c r="BU22" s="38">
        <f t="shared" si="39"/>
        <v>6.6</v>
      </c>
      <c r="BV22" s="47">
        <f t="shared" si="88"/>
        <v>6.6</v>
      </c>
      <c r="BW22" s="38">
        <f t="shared" ca="1" si="89"/>
        <v>13.1</v>
      </c>
      <c r="BX22">
        <f ca="1">RANK(BW22,BW$10:BW$28)+COUNTIF(BW$10:BW22,BW22)-1</f>
        <v>16</v>
      </c>
      <c r="BY22">
        <f t="shared" ca="1" si="40"/>
        <v>1</v>
      </c>
      <c r="BZ22" s="21">
        <f t="shared" ca="1" si="103"/>
        <v>13</v>
      </c>
      <c r="CA22" s="21">
        <f t="shared" ca="1" si="41"/>
        <v>1</v>
      </c>
      <c r="CB22" s="41">
        <f t="shared" ca="1" si="90"/>
        <v>13</v>
      </c>
      <c r="CC22" s="21" t="str">
        <f t="shared" ca="1" si="42"/>
        <v>Argentina</v>
      </c>
      <c r="CD22" s="43">
        <f t="shared" ca="1" si="43"/>
        <v>16.7</v>
      </c>
      <c r="CE22" s="43">
        <f t="shared" ca="1" si="44"/>
        <v>-5.4</v>
      </c>
      <c r="CF22" s="38">
        <f t="shared" ca="1" si="45"/>
        <v>-5.4</v>
      </c>
      <c r="CH22" s="38">
        <f t="shared" ca="1" si="46"/>
        <v>31.1</v>
      </c>
      <c r="CI22" s="38">
        <f t="shared" ca="1" si="47"/>
        <v>31.9</v>
      </c>
      <c r="CJ22" s="38">
        <f t="shared" si="48"/>
        <v>-0.8</v>
      </c>
      <c r="CK22" s="47">
        <f t="shared" si="91"/>
        <v>-0.8</v>
      </c>
      <c r="CL22" s="38">
        <f t="shared" ca="1" si="92"/>
        <v>31.1</v>
      </c>
      <c r="CM22">
        <f ca="1">RANK(CL22,CL$10:CL$28)+COUNTIF(CL$10:CL22,CL22)-1</f>
        <v>16</v>
      </c>
      <c r="CN22">
        <f t="shared" ca="1" si="49"/>
        <v>1</v>
      </c>
      <c r="CO22" s="21">
        <f t="shared" ca="1" si="104"/>
        <v>13</v>
      </c>
      <c r="CP22" s="21">
        <f t="shared" ca="1" si="50"/>
        <v>1</v>
      </c>
      <c r="CQ22" s="41">
        <f t="shared" ca="1" si="93"/>
        <v>13</v>
      </c>
      <c r="CR22" s="21" t="str">
        <f t="shared" ca="1" si="51"/>
        <v>Argentina</v>
      </c>
      <c r="CS22" s="43">
        <f t="shared" ca="1" si="52"/>
        <v>38</v>
      </c>
      <c r="CT22" s="43">
        <f t="shared" ca="1" si="53"/>
        <v>-6.3</v>
      </c>
      <c r="CU22" s="38">
        <f t="shared" ca="1" si="54"/>
        <v>-6.3</v>
      </c>
      <c r="CW22" s="38">
        <f t="shared" ca="1" si="55"/>
        <v>8.3000000000000007</v>
      </c>
      <c r="CX22" s="38">
        <f t="shared" ca="1" si="56"/>
        <v>5.6</v>
      </c>
      <c r="CY22" s="38">
        <f t="shared" si="57"/>
        <v>2.8</v>
      </c>
      <c r="CZ22" s="47">
        <f t="shared" si="94"/>
        <v>2.8</v>
      </c>
      <c r="DA22" s="38">
        <f t="shared" ca="1" si="95"/>
        <v>8.3000000000000007</v>
      </c>
      <c r="DB22">
        <f ca="1">RANK(DA22,DA$10:DA$28)+COUNTIF(DA$10:DA22,DA22)-1</f>
        <v>19</v>
      </c>
      <c r="DC22">
        <f t="shared" ca="1" si="58"/>
        <v>15</v>
      </c>
      <c r="DD22" s="21">
        <f t="shared" ca="1" si="105"/>
        <v>13</v>
      </c>
      <c r="DE22" s="21">
        <f t="shared" ca="1" si="59"/>
        <v>1</v>
      </c>
      <c r="DF22" s="41" t="str">
        <f t="shared" ca="1" si="96"/>
        <v>=13</v>
      </c>
      <c r="DG22" s="21" t="str">
        <f t="shared" ca="1" si="60"/>
        <v>Paraguay</v>
      </c>
      <c r="DH22" s="43">
        <f t="shared" ca="1" si="61"/>
        <v>25</v>
      </c>
      <c r="DI22" s="43" t="str">
        <f t="shared" ca="1" si="62"/>
        <v>-</v>
      </c>
      <c r="DJ22" s="38">
        <f t="shared" ca="1" si="63"/>
        <v>0</v>
      </c>
      <c r="DL22" s="38">
        <f t="shared" ca="1" si="64"/>
        <v>0</v>
      </c>
      <c r="DM22" s="38">
        <f t="shared" ca="1" si="65"/>
        <v>0</v>
      </c>
      <c r="DN22" s="38">
        <f t="shared" si="66"/>
        <v>0</v>
      </c>
      <c r="DO22" s="47" t="str">
        <f t="shared" si="97"/>
        <v>-</v>
      </c>
      <c r="DP22" s="38">
        <f t="shared" ca="1" si="98"/>
        <v>0</v>
      </c>
      <c r="DQ22">
        <f ca="1">RANK(DP22,DP$10:DP$28)+COUNTIF(DP$10:DP22,DP22)-1</f>
        <v>13</v>
      </c>
      <c r="DR22">
        <f t="shared" ca="1" si="67"/>
        <v>13</v>
      </c>
      <c r="DS22" s="21">
        <f t="shared" ca="1" si="106"/>
        <v>1</v>
      </c>
      <c r="DT22" s="21">
        <f t="shared" ca="1" si="68"/>
        <v>1</v>
      </c>
      <c r="DU22" s="41" t="str">
        <f t="shared" ca="1" si="99"/>
        <v>=1</v>
      </c>
      <c r="DV22" s="21" t="str">
        <f t="shared" ca="1" si="69"/>
        <v>Nicaragua</v>
      </c>
      <c r="DW22" s="43">
        <f t="shared" ca="1" si="70"/>
        <v>0</v>
      </c>
      <c r="DX22" s="43" t="str">
        <f t="shared" ca="1" si="71"/>
        <v>-</v>
      </c>
      <c r="DY22" s="38">
        <f t="shared" ca="1" si="72"/>
        <v>0</v>
      </c>
    </row>
    <row r="23" spans="1:129">
      <c r="A23">
        <v>14</v>
      </c>
      <c r="B23" t="str">
        <f>tblCountries!E19</f>
        <v>Panama</v>
      </c>
      <c r="C23">
        <f>tblCountries!A19</f>
        <v>14</v>
      </c>
      <c r="D23">
        <f ca="1">tblCountries!F19</f>
        <v>1</v>
      </c>
      <c r="G23" s="38">
        <f t="shared" ca="1" si="0"/>
        <v>50</v>
      </c>
      <c r="H23" s="47">
        <f t="shared" ca="1" si="1"/>
        <v>2</v>
      </c>
      <c r="I23" s="38">
        <f t="shared" ca="1" si="2"/>
        <v>25</v>
      </c>
      <c r="J23" s="38">
        <f t="shared" ca="1" si="3"/>
        <v>1</v>
      </c>
      <c r="K23" s="47">
        <f t="shared" si="73"/>
        <v>25</v>
      </c>
      <c r="L23" s="47" t="str">
        <f t="shared" si="74"/>
        <v>+25</v>
      </c>
      <c r="M23" s="38">
        <f t="shared" ca="1" si="75"/>
        <v>50</v>
      </c>
      <c r="N23">
        <f ca="1">RANK(M23,M$10:M$28)+COUNTIF(M$10:M23,M23)-1</f>
        <v>8</v>
      </c>
      <c r="O23">
        <f t="shared" ca="1" si="4"/>
        <v>13</v>
      </c>
      <c r="P23" s="21">
        <f t="shared" ca="1" si="100"/>
        <v>9</v>
      </c>
      <c r="Q23" s="21">
        <f t="shared" ca="1" si="5"/>
        <v>1</v>
      </c>
      <c r="R23" s="41" t="str">
        <f t="shared" ca="1" si="76"/>
        <v>=9</v>
      </c>
      <c r="S23" s="21" t="str">
        <f t="shared" ca="1" si="6"/>
        <v>Nicaragua</v>
      </c>
      <c r="T23" s="41" t="str">
        <f t="shared" ca="1" si="7"/>
        <v>1</v>
      </c>
      <c r="U23" s="43">
        <f t="shared" ca="1" si="8"/>
        <v>25</v>
      </c>
      <c r="V23" s="43" t="str">
        <f t="shared" ca="1" si="9"/>
        <v>+25</v>
      </c>
      <c r="W23" t="str">
        <f t="shared" ca="1" si="77"/>
        <v>+25</v>
      </c>
      <c r="Z23" s="38">
        <f t="shared" ca="1" si="10"/>
        <v>37.1</v>
      </c>
      <c r="AA23" s="38">
        <f t="shared" ca="1" si="11"/>
        <v>29</v>
      </c>
      <c r="AB23" s="38">
        <f t="shared" si="12"/>
        <v>8</v>
      </c>
      <c r="AC23" s="47">
        <f t="shared" si="78"/>
        <v>8</v>
      </c>
      <c r="AD23" s="38">
        <f t="shared" ca="1" si="79"/>
        <v>37.1</v>
      </c>
      <c r="AE23">
        <f ca="1">RANK(AD23,AD$10:AD$28)+COUNTIF(AD$10:AD23,AD23)-1</f>
        <v>8</v>
      </c>
      <c r="AF23">
        <f t="shared" ca="1" si="13"/>
        <v>15</v>
      </c>
      <c r="AG23" s="21">
        <f t="shared" ca="1" si="80"/>
        <v>14</v>
      </c>
      <c r="AH23" s="21">
        <f t="shared" ca="1" si="14"/>
        <v>1</v>
      </c>
      <c r="AI23" s="41">
        <f t="shared" ca="1" si="81"/>
        <v>14</v>
      </c>
      <c r="AJ23" s="21" t="str">
        <f t="shared" ca="1" si="15"/>
        <v>Paraguay</v>
      </c>
      <c r="AK23" s="43">
        <f t="shared" ca="1" si="16"/>
        <v>24.2</v>
      </c>
      <c r="AL23" s="43">
        <f t="shared" ca="1" si="17"/>
        <v>0.9</v>
      </c>
      <c r="AM23" s="38">
        <f t="shared" ca="1" si="18"/>
        <v>0.9</v>
      </c>
      <c r="AO23" s="38">
        <f t="shared" ca="1" si="19"/>
        <v>37.5</v>
      </c>
      <c r="AP23" s="38">
        <f t="shared" ca="1" si="20"/>
        <v>25</v>
      </c>
      <c r="AQ23" s="38">
        <f t="shared" si="21"/>
        <v>12.5</v>
      </c>
      <c r="AR23" s="47">
        <f t="shared" si="82"/>
        <v>12.5</v>
      </c>
      <c r="AS23" s="38">
        <f t="shared" ca="1" si="83"/>
        <v>37.5</v>
      </c>
      <c r="AT23">
        <f ca="1">RANK(AS23,AS$10:AS$28)+COUNTIF(AS$10:AS23,AS23)-1</f>
        <v>7</v>
      </c>
      <c r="AU23">
        <f t="shared" ca="1" si="22"/>
        <v>1</v>
      </c>
      <c r="AV23" s="21">
        <f t="shared" ca="1" si="101"/>
        <v>14</v>
      </c>
      <c r="AW23" s="21">
        <f t="shared" ca="1" si="23"/>
        <v>1</v>
      </c>
      <c r="AX23" s="41">
        <f t="shared" ca="1" si="84"/>
        <v>14</v>
      </c>
      <c r="AY23" s="21" t="str">
        <f t="shared" ca="1" si="24"/>
        <v>Argentina</v>
      </c>
      <c r="AZ23" s="43">
        <f t="shared" ca="1" si="25"/>
        <v>21.9</v>
      </c>
      <c r="BA23" s="43">
        <f t="shared" ca="1" si="26"/>
        <v>-6.3</v>
      </c>
      <c r="BB23" s="38">
        <f t="shared" ca="1" si="27"/>
        <v>-6.3</v>
      </c>
      <c r="BD23" s="38">
        <f t="shared" ca="1" si="28"/>
        <v>25</v>
      </c>
      <c r="BE23" s="38">
        <f t="shared" ca="1" si="29"/>
        <v>8.3000000000000007</v>
      </c>
      <c r="BF23" s="38">
        <f t="shared" si="30"/>
        <v>16.7</v>
      </c>
      <c r="BG23" s="47">
        <f t="shared" si="85"/>
        <v>16.7</v>
      </c>
      <c r="BH23" s="38">
        <f t="shared" ca="1" si="86"/>
        <v>25</v>
      </c>
      <c r="BI23">
        <f ca="1">RANK(BH23,BH$10:BH$28)+COUNTIF(BH$10:BH23,BH23)-1</f>
        <v>14</v>
      </c>
      <c r="BJ23">
        <f t="shared" ca="1" si="31"/>
        <v>14</v>
      </c>
      <c r="BK23" s="21">
        <f t="shared" ca="1" si="102"/>
        <v>13</v>
      </c>
      <c r="BL23" s="21">
        <f t="shared" ca="1" si="32"/>
        <v>1</v>
      </c>
      <c r="BM23" s="41" t="str">
        <f t="shared" ca="1" si="87"/>
        <v>=13</v>
      </c>
      <c r="BN23" s="21" t="str">
        <f t="shared" ca="1" si="33"/>
        <v>Panama</v>
      </c>
      <c r="BO23" s="43">
        <f t="shared" ca="1" si="34"/>
        <v>25</v>
      </c>
      <c r="BP23" s="43">
        <f t="shared" ca="1" si="35"/>
        <v>16.7</v>
      </c>
      <c r="BQ23" s="38">
        <f t="shared" ca="1" si="36"/>
        <v>16.7</v>
      </c>
      <c r="BS23" s="38">
        <f t="shared" ca="1" si="37"/>
        <v>13.1</v>
      </c>
      <c r="BT23" s="38">
        <f t="shared" ca="1" si="38"/>
        <v>7</v>
      </c>
      <c r="BU23" s="38">
        <f t="shared" si="39"/>
        <v>6.1</v>
      </c>
      <c r="BV23" s="47">
        <f t="shared" si="88"/>
        <v>6.1</v>
      </c>
      <c r="BW23" s="38">
        <f t="shared" ca="1" si="89"/>
        <v>13.1</v>
      </c>
      <c r="BX23">
        <f ca="1">RANK(BW23,BW$10:BW$28)+COUNTIF(BW$10:BW23,BW23)-1</f>
        <v>17</v>
      </c>
      <c r="BY23">
        <f t="shared" ca="1" si="40"/>
        <v>15</v>
      </c>
      <c r="BZ23" s="21">
        <f t="shared" ca="1" si="103"/>
        <v>14</v>
      </c>
      <c r="CA23" s="21">
        <f t="shared" ca="1" si="41"/>
        <v>1</v>
      </c>
      <c r="CB23" s="41">
        <f t="shared" ca="1" si="90"/>
        <v>14</v>
      </c>
      <c r="CC23" s="21" t="str">
        <f t="shared" ca="1" si="42"/>
        <v>Paraguay</v>
      </c>
      <c r="CD23" s="43">
        <f t="shared" ca="1" si="43"/>
        <v>15.6</v>
      </c>
      <c r="CE23" s="43">
        <f t="shared" ca="1" si="44"/>
        <v>9.1</v>
      </c>
      <c r="CF23" s="38">
        <f t="shared" ca="1" si="45"/>
        <v>9.1</v>
      </c>
      <c r="CH23" s="38">
        <f t="shared" ca="1" si="46"/>
        <v>49.5</v>
      </c>
      <c r="CI23" s="38">
        <f t="shared" ca="1" si="47"/>
        <v>50.5</v>
      </c>
      <c r="CJ23" s="38">
        <f t="shared" si="48"/>
        <v>-1</v>
      </c>
      <c r="CK23" s="47">
        <f t="shared" si="91"/>
        <v>-1</v>
      </c>
      <c r="CL23" s="38">
        <f t="shared" ca="1" si="92"/>
        <v>49.5</v>
      </c>
      <c r="CM23">
        <f ca="1">RANK(CL23,CL$10:CL$28)+COUNTIF(CL$10:CL23,CL23)-1</f>
        <v>5</v>
      </c>
      <c r="CN23">
        <f t="shared" ca="1" si="49"/>
        <v>7</v>
      </c>
      <c r="CO23" s="21">
        <f t="shared" ca="1" si="104"/>
        <v>14</v>
      </c>
      <c r="CP23" s="21">
        <f t="shared" ca="1" si="50"/>
        <v>1</v>
      </c>
      <c r="CQ23" s="41">
        <f t="shared" ca="1" si="93"/>
        <v>14</v>
      </c>
      <c r="CR23" s="21" t="str">
        <f t="shared" ca="1" si="51"/>
        <v>Ecuador</v>
      </c>
      <c r="CS23" s="43">
        <f t="shared" ca="1" si="52"/>
        <v>35.799999999999997</v>
      </c>
      <c r="CT23" s="43">
        <f t="shared" ca="1" si="53"/>
        <v>2.1</v>
      </c>
      <c r="CU23" s="38">
        <f t="shared" ca="1" si="54"/>
        <v>2.1</v>
      </c>
      <c r="CW23" s="38">
        <f t="shared" ca="1" si="55"/>
        <v>63.9</v>
      </c>
      <c r="CX23" s="38">
        <f t="shared" ca="1" si="56"/>
        <v>63.9</v>
      </c>
      <c r="CY23" s="38">
        <f t="shared" si="57"/>
        <v>0</v>
      </c>
      <c r="CZ23" s="47" t="str">
        <f t="shared" si="94"/>
        <v>-</v>
      </c>
      <c r="DA23" s="38">
        <f t="shared" ca="1" si="95"/>
        <v>63.9</v>
      </c>
      <c r="DB23">
        <f ca="1">RANK(DA23,DA$10:DA$28)+COUNTIF(DA$10:DA23,DA23)-1</f>
        <v>4</v>
      </c>
      <c r="DC23">
        <f t="shared" ca="1" si="58"/>
        <v>9</v>
      </c>
      <c r="DD23" s="21">
        <f t="shared" ca="1" si="105"/>
        <v>13</v>
      </c>
      <c r="DE23" s="21">
        <f t="shared" ca="1" si="59"/>
        <v>1</v>
      </c>
      <c r="DF23" s="41" t="str">
        <f t="shared" ca="1" si="96"/>
        <v>=13</v>
      </c>
      <c r="DG23" s="21" t="str">
        <f t="shared" ca="1" si="60"/>
        <v>Guatemala</v>
      </c>
      <c r="DH23" s="43">
        <f t="shared" ca="1" si="61"/>
        <v>22.2</v>
      </c>
      <c r="DI23" s="43" t="str">
        <f t="shared" ca="1" si="62"/>
        <v>-</v>
      </c>
      <c r="DJ23" s="38">
        <f t="shared" ca="1" si="63"/>
        <v>0</v>
      </c>
      <c r="DL23" s="38">
        <f t="shared" ca="1" si="64"/>
        <v>0</v>
      </c>
      <c r="DM23" s="38">
        <f t="shared" ca="1" si="65"/>
        <v>0</v>
      </c>
      <c r="DN23" s="38">
        <f t="shared" si="66"/>
        <v>0</v>
      </c>
      <c r="DO23" s="47" t="str">
        <f t="shared" si="97"/>
        <v>-</v>
      </c>
      <c r="DP23" s="38">
        <f t="shared" ca="1" si="98"/>
        <v>0</v>
      </c>
      <c r="DQ23">
        <f ca="1">RANK(DP23,DP$10:DP$28)+COUNTIF(DP$10:DP23,DP23)-1</f>
        <v>14</v>
      </c>
      <c r="DR23">
        <f t="shared" ca="1" si="67"/>
        <v>14</v>
      </c>
      <c r="DS23" s="21">
        <f t="shared" ca="1" si="106"/>
        <v>1</v>
      </c>
      <c r="DT23" s="21">
        <f t="shared" ca="1" si="68"/>
        <v>1</v>
      </c>
      <c r="DU23" s="41" t="str">
        <f t="shared" ca="1" si="99"/>
        <v>=1</v>
      </c>
      <c r="DV23" s="21" t="str">
        <f t="shared" ca="1" si="69"/>
        <v>Panama</v>
      </c>
      <c r="DW23" s="43">
        <f t="shared" ca="1" si="70"/>
        <v>0</v>
      </c>
      <c r="DX23" s="43" t="str">
        <f t="shared" ca="1" si="71"/>
        <v>-</v>
      </c>
      <c r="DY23" s="38">
        <f t="shared" ca="1" si="72"/>
        <v>0</v>
      </c>
    </row>
    <row r="24" spans="1:129">
      <c r="A24">
        <v>15</v>
      </c>
      <c r="B24" t="str">
        <f>tblCountries!E20</f>
        <v>Paraguay</v>
      </c>
      <c r="C24">
        <f>tblCountries!A20</f>
        <v>15</v>
      </c>
      <c r="D24">
        <f ca="1">tblCountries!F20</f>
        <v>1</v>
      </c>
      <c r="G24" s="38">
        <f t="shared" ca="1" si="0"/>
        <v>25</v>
      </c>
      <c r="H24" s="47">
        <f t="shared" ca="1" si="1"/>
        <v>1</v>
      </c>
      <c r="I24" s="38">
        <f t="shared" ca="1" si="2"/>
        <v>25</v>
      </c>
      <c r="J24" s="38">
        <f t="shared" ca="1" si="3"/>
        <v>1</v>
      </c>
      <c r="K24" s="47">
        <f t="shared" si="73"/>
        <v>0</v>
      </c>
      <c r="L24" s="47" t="str">
        <f t="shared" si="74"/>
        <v>-</v>
      </c>
      <c r="M24" s="38">
        <f t="shared" ca="1" si="75"/>
        <v>25</v>
      </c>
      <c r="N24">
        <f ca="1">RANK(M24,M$10:M$28)+COUNTIF(M$10:M24,M24)-1</f>
        <v>15</v>
      </c>
      <c r="O24">
        <f t="shared" ca="1" si="4"/>
        <v>15</v>
      </c>
      <c r="P24" s="21">
        <f t="shared" ca="1" si="100"/>
        <v>9</v>
      </c>
      <c r="Q24" s="21">
        <f t="shared" ca="1" si="5"/>
        <v>1</v>
      </c>
      <c r="R24" s="41" t="str">
        <f t="shared" ca="1" si="76"/>
        <v>=9</v>
      </c>
      <c r="S24" s="21" t="str">
        <f t="shared" ca="1" si="6"/>
        <v>Paraguay</v>
      </c>
      <c r="T24" s="41" t="str">
        <f t="shared" ca="1" si="7"/>
        <v>1</v>
      </c>
      <c r="U24" s="43">
        <f t="shared" ca="1" si="8"/>
        <v>25</v>
      </c>
      <c r="V24" s="43" t="str">
        <f t="shared" ca="1" si="9"/>
        <v>-</v>
      </c>
      <c r="W24" t="str">
        <f t="shared" ca="1" si="77"/>
        <v>-</v>
      </c>
      <c r="Z24" s="38">
        <f t="shared" ca="1" si="10"/>
        <v>24.2</v>
      </c>
      <c r="AA24" s="38">
        <f t="shared" ca="1" si="11"/>
        <v>23.3</v>
      </c>
      <c r="AB24" s="38">
        <f t="shared" si="12"/>
        <v>0.9</v>
      </c>
      <c r="AC24" s="47">
        <f t="shared" si="78"/>
        <v>0.9</v>
      </c>
      <c r="AD24" s="38">
        <f t="shared" ca="1" si="79"/>
        <v>24.2</v>
      </c>
      <c r="AE24">
        <f ca="1">RANK(AD24,AD$10:AD$28)+COUNTIF(AD$10:AD24,AD24)-1</f>
        <v>14</v>
      </c>
      <c r="AF24">
        <f t="shared" ca="1" si="13"/>
        <v>10</v>
      </c>
      <c r="AG24" s="21">
        <f t="shared" ca="1" si="80"/>
        <v>15</v>
      </c>
      <c r="AH24" s="21">
        <f t="shared" ca="1" si="14"/>
        <v>1</v>
      </c>
      <c r="AI24" s="41">
        <f t="shared" ca="1" si="81"/>
        <v>15</v>
      </c>
      <c r="AJ24" s="21" t="str">
        <f t="shared" ca="1" si="15"/>
        <v>Honduras</v>
      </c>
      <c r="AK24" s="43">
        <f t="shared" ca="1" si="16"/>
        <v>24</v>
      </c>
      <c r="AL24" s="43">
        <f t="shared" ca="1" si="17"/>
        <v>2.8</v>
      </c>
      <c r="AM24" s="38">
        <f t="shared" ca="1" si="18"/>
        <v>2.8</v>
      </c>
      <c r="AO24" s="38">
        <f t="shared" ca="1" si="19"/>
        <v>25</v>
      </c>
      <c r="AP24" s="38">
        <f t="shared" ca="1" si="20"/>
        <v>25</v>
      </c>
      <c r="AQ24" s="38">
        <f t="shared" si="21"/>
        <v>0</v>
      </c>
      <c r="AR24" s="47" t="str">
        <f t="shared" si="82"/>
        <v>-</v>
      </c>
      <c r="AS24" s="38">
        <f t="shared" ca="1" si="83"/>
        <v>25</v>
      </c>
      <c r="AT24">
        <f ca="1">RANK(AS24,AS$10:AS$28)+COUNTIF(AS$10:AS24,AS24)-1</f>
        <v>12</v>
      </c>
      <c r="AU24">
        <f t="shared" ca="1" si="22"/>
        <v>6</v>
      </c>
      <c r="AV24" s="21">
        <f t="shared" ca="1" si="101"/>
        <v>15</v>
      </c>
      <c r="AW24" s="21">
        <f t="shared" ca="1" si="23"/>
        <v>1</v>
      </c>
      <c r="AX24" s="41">
        <f t="shared" ca="1" si="84"/>
        <v>15</v>
      </c>
      <c r="AY24" s="21" t="str">
        <f t="shared" ca="1" si="24"/>
        <v>Dominican Rep.</v>
      </c>
      <c r="AZ24" s="43">
        <f t="shared" ca="1" si="25"/>
        <v>21.9</v>
      </c>
      <c r="BA24" s="43">
        <f t="shared" ca="1" si="26"/>
        <v>3.1</v>
      </c>
      <c r="BB24" s="38">
        <f t="shared" ca="1" si="27"/>
        <v>3.1</v>
      </c>
      <c r="BD24" s="38">
        <f t="shared" ca="1" si="28"/>
        <v>25</v>
      </c>
      <c r="BE24" s="38">
        <f t="shared" ca="1" si="29"/>
        <v>25</v>
      </c>
      <c r="BF24" s="38">
        <f t="shared" si="30"/>
        <v>0</v>
      </c>
      <c r="BG24" s="47" t="str">
        <f t="shared" si="85"/>
        <v>-</v>
      </c>
      <c r="BH24" s="38">
        <f t="shared" ca="1" si="86"/>
        <v>25</v>
      </c>
      <c r="BI24">
        <f ca="1">RANK(BH24,BH$10:BH$28)+COUNTIF(BH$10:BH24,BH24)-1</f>
        <v>15</v>
      </c>
      <c r="BJ24">
        <f t="shared" ca="1" si="31"/>
        <v>15</v>
      </c>
      <c r="BK24" s="21">
        <f t="shared" ca="1" si="102"/>
        <v>15</v>
      </c>
      <c r="BL24" s="21">
        <f t="shared" ca="1" si="32"/>
        <v>1</v>
      </c>
      <c r="BM24" s="41" t="str">
        <f t="shared" ca="1" si="87"/>
        <v>=15</v>
      </c>
      <c r="BN24" s="21" t="str">
        <f t="shared" ca="1" si="33"/>
        <v>Paraguay</v>
      </c>
      <c r="BO24" s="43">
        <f t="shared" ca="1" si="34"/>
        <v>25</v>
      </c>
      <c r="BP24" s="43" t="str">
        <f t="shared" ca="1" si="35"/>
        <v>-</v>
      </c>
      <c r="BQ24" s="38">
        <f t="shared" ca="1" si="36"/>
        <v>0</v>
      </c>
      <c r="BS24" s="38">
        <f t="shared" ca="1" si="37"/>
        <v>15.6</v>
      </c>
      <c r="BT24" s="38">
        <f t="shared" ca="1" si="38"/>
        <v>6.5</v>
      </c>
      <c r="BU24" s="38">
        <f t="shared" si="39"/>
        <v>9.1</v>
      </c>
      <c r="BV24" s="47">
        <f t="shared" si="88"/>
        <v>9.1</v>
      </c>
      <c r="BW24" s="38">
        <f t="shared" ca="1" si="89"/>
        <v>15.6</v>
      </c>
      <c r="BX24">
        <f ca="1">RANK(BW24,BW$10:BW$28)+COUNTIF(BW$10:BW24,BW24)-1</f>
        <v>14</v>
      </c>
      <c r="BY24">
        <f t="shared" ca="1" si="40"/>
        <v>6</v>
      </c>
      <c r="BZ24" s="21">
        <f t="shared" ca="1" si="103"/>
        <v>15</v>
      </c>
      <c r="CA24" s="21">
        <f t="shared" ca="1" si="41"/>
        <v>1</v>
      </c>
      <c r="CB24" s="41">
        <f t="shared" ca="1" si="90"/>
        <v>15</v>
      </c>
      <c r="CC24" s="21" t="str">
        <f t="shared" ca="1" si="42"/>
        <v>Dominican Rep.</v>
      </c>
      <c r="CD24" s="43">
        <f t="shared" ca="1" si="43"/>
        <v>14</v>
      </c>
      <c r="CE24" s="43">
        <f t="shared" ca="1" si="44"/>
        <v>-18.899999999999999</v>
      </c>
      <c r="CF24" s="38">
        <f t="shared" ca="1" si="45"/>
        <v>-18.899999999999999</v>
      </c>
      <c r="CH24" s="38">
        <f t="shared" ca="1" si="46"/>
        <v>29.4</v>
      </c>
      <c r="CI24" s="38">
        <f t="shared" ca="1" si="47"/>
        <v>33.299999999999997</v>
      </c>
      <c r="CJ24" s="38">
        <f t="shared" si="48"/>
        <v>-3.9</v>
      </c>
      <c r="CK24" s="47">
        <f t="shared" si="91"/>
        <v>-3.9</v>
      </c>
      <c r="CL24" s="38">
        <f t="shared" ca="1" si="92"/>
        <v>29.4</v>
      </c>
      <c r="CM24">
        <f ca="1">RANK(CL24,CL$10:CL$28)+COUNTIF(CL$10:CL24,CL24)-1</f>
        <v>17</v>
      </c>
      <c r="CN24">
        <f t="shared" ca="1" si="49"/>
        <v>6</v>
      </c>
      <c r="CO24" s="21">
        <f t="shared" ca="1" si="104"/>
        <v>15</v>
      </c>
      <c r="CP24" s="21">
        <f t="shared" ca="1" si="50"/>
        <v>1</v>
      </c>
      <c r="CQ24" s="41">
        <f t="shared" ca="1" si="93"/>
        <v>15</v>
      </c>
      <c r="CR24" s="21" t="str">
        <f t="shared" ca="1" si="51"/>
        <v>Dominican Rep.</v>
      </c>
      <c r="CS24" s="43">
        <f t="shared" ca="1" si="52"/>
        <v>31.6</v>
      </c>
      <c r="CT24" s="43">
        <f t="shared" ca="1" si="53"/>
        <v>1.4</v>
      </c>
      <c r="CU24" s="38">
        <f t="shared" ca="1" si="54"/>
        <v>1.4</v>
      </c>
      <c r="CW24" s="38">
        <f t="shared" ca="1" si="55"/>
        <v>25</v>
      </c>
      <c r="CX24" s="38">
        <f t="shared" ca="1" si="56"/>
        <v>25</v>
      </c>
      <c r="CY24" s="38">
        <f t="shared" si="57"/>
        <v>0</v>
      </c>
      <c r="CZ24" s="47" t="str">
        <f t="shared" si="94"/>
        <v>-</v>
      </c>
      <c r="DA24" s="38">
        <f t="shared" ca="1" si="95"/>
        <v>25</v>
      </c>
      <c r="DB24">
        <f ca="1">RANK(DA24,DA$10:DA$28)+COUNTIF(DA$10:DA24,DA24)-1</f>
        <v>13</v>
      </c>
      <c r="DC24">
        <f t="shared" ca="1" si="58"/>
        <v>7</v>
      </c>
      <c r="DD24" s="21">
        <f t="shared" ca="1" si="105"/>
        <v>15</v>
      </c>
      <c r="DE24" s="21">
        <f t="shared" ca="1" si="59"/>
        <v>1</v>
      </c>
      <c r="DF24" s="41">
        <f t="shared" ca="1" si="96"/>
        <v>15</v>
      </c>
      <c r="DG24" s="21" t="str">
        <f t="shared" ca="1" si="60"/>
        <v>Ecuador</v>
      </c>
      <c r="DH24" s="43">
        <f t="shared" ca="1" si="61"/>
        <v>16.7</v>
      </c>
      <c r="DI24" s="43">
        <f t="shared" ca="1" si="62"/>
        <v>-2.8</v>
      </c>
      <c r="DJ24" s="38">
        <f t="shared" ca="1" si="63"/>
        <v>-2.8</v>
      </c>
      <c r="DL24" s="38">
        <f t="shared" ca="1" si="64"/>
        <v>0</v>
      </c>
      <c r="DM24" s="38">
        <f t="shared" ca="1" si="65"/>
        <v>0</v>
      </c>
      <c r="DN24" s="38">
        <f t="shared" si="66"/>
        <v>0</v>
      </c>
      <c r="DO24" s="47" t="str">
        <f t="shared" si="97"/>
        <v>-</v>
      </c>
      <c r="DP24" s="38">
        <f t="shared" ca="1" si="98"/>
        <v>0</v>
      </c>
      <c r="DQ24">
        <f ca="1">RANK(DP24,DP$10:DP$28)+COUNTIF(DP$10:DP24,DP24)-1</f>
        <v>15</v>
      </c>
      <c r="DR24">
        <f t="shared" ca="1" si="67"/>
        <v>15</v>
      </c>
      <c r="DS24" s="21">
        <f t="shared" ca="1" si="106"/>
        <v>1</v>
      </c>
      <c r="DT24" s="21">
        <f t="shared" ca="1" si="68"/>
        <v>1</v>
      </c>
      <c r="DU24" s="41" t="str">
        <f t="shared" ca="1" si="99"/>
        <v>=1</v>
      </c>
      <c r="DV24" s="21" t="str">
        <f t="shared" ca="1" si="69"/>
        <v>Paraguay</v>
      </c>
      <c r="DW24" s="43">
        <f t="shared" ca="1" si="70"/>
        <v>0</v>
      </c>
      <c r="DX24" s="43" t="str">
        <f t="shared" ca="1" si="71"/>
        <v>-</v>
      </c>
      <c r="DY24" s="38">
        <f t="shared" ca="1" si="72"/>
        <v>0</v>
      </c>
    </row>
    <row r="25" spans="1:129">
      <c r="A25">
        <v>16</v>
      </c>
      <c r="B25" t="str">
        <f>tblCountries!E21</f>
        <v>Peru</v>
      </c>
      <c r="C25">
        <f>tblCountries!A21</f>
        <v>16</v>
      </c>
      <c r="D25">
        <f ca="1">tblCountries!F21</f>
        <v>1</v>
      </c>
      <c r="G25" s="38">
        <f t="shared" ca="1" si="0"/>
        <v>75</v>
      </c>
      <c r="H25" s="47">
        <f t="shared" ca="1" si="1"/>
        <v>3</v>
      </c>
      <c r="I25" s="38">
        <f t="shared" ca="1" si="2"/>
        <v>75</v>
      </c>
      <c r="J25" s="38">
        <f t="shared" ca="1" si="3"/>
        <v>3</v>
      </c>
      <c r="K25" s="47">
        <f t="shared" si="73"/>
        <v>0</v>
      </c>
      <c r="L25" s="47" t="str">
        <f t="shared" si="74"/>
        <v>-</v>
      </c>
      <c r="M25" s="38">
        <f t="shared" ca="1" si="75"/>
        <v>75</v>
      </c>
      <c r="N25">
        <f ca="1">RANK(M25,M$10:M$28)+COUNTIF(M$10:M25,M25)-1</f>
        <v>4</v>
      </c>
      <c r="O25">
        <f t="shared" ca="1" si="4"/>
        <v>17</v>
      </c>
      <c r="P25" s="21">
        <f t="shared" ca="1" si="100"/>
        <v>9</v>
      </c>
      <c r="Q25" s="21">
        <f t="shared" ca="1" si="5"/>
        <v>1</v>
      </c>
      <c r="R25" s="41" t="str">
        <f t="shared" ca="1" si="76"/>
        <v>=9</v>
      </c>
      <c r="S25" s="21" t="str">
        <f t="shared" ca="1" si="6"/>
        <v>Trinidad &amp; Tobago</v>
      </c>
      <c r="T25" s="41" t="str">
        <f t="shared" ca="1" si="7"/>
        <v>1</v>
      </c>
      <c r="U25" s="43">
        <f t="shared" ca="1" si="8"/>
        <v>25</v>
      </c>
      <c r="V25" s="43" t="str">
        <f t="shared" ca="1" si="9"/>
        <v>-</v>
      </c>
      <c r="W25" t="str">
        <f t="shared" ca="1" si="77"/>
        <v>-</v>
      </c>
      <c r="Z25" s="38">
        <f t="shared" ca="1" si="10"/>
        <v>65</v>
      </c>
      <c r="AA25" s="38">
        <f t="shared" ca="1" si="11"/>
        <v>54.8</v>
      </c>
      <c r="AB25" s="38">
        <f t="shared" si="12"/>
        <v>10.199999999999999</v>
      </c>
      <c r="AC25" s="47">
        <f t="shared" si="78"/>
        <v>10.199999999999999</v>
      </c>
      <c r="AD25" s="38">
        <f t="shared" ca="1" si="79"/>
        <v>65</v>
      </c>
      <c r="AE25">
        <f ca="1">RANK(AD25,AD$10:AD$28)+COUNTIF(AD$10:AD25,AD25)-1</f>
        <v>3</v>
      </c>
      <c r="AF25">
        <f t="shared" ca="1" si="13"/>
        <v>6</v>
      </c>
      <c r="AG25" s="21">
        <f t="shared" ca="1" si="80"/>
        <v>16</v>
      </c>
      <c r="AH25" s="21">
        <f t="shared" ca="1" si="14"/>
        <v>1</v>
      </c>
      <c r="AI25" s="41">
        <f t="shared" ca="1" si="81"/>
        <v>16</v>
      </c>
      <c r="AJ25" s="21" t="str">
        <f t="shared" ca="1" si="15"/>
        <v>Dominican Rep.</v>
      </c>
      <c r="AK25" s="43">
        <f t="shared" ca="1" si="16"/>
        <v>20.6</v>
      </c>
      <c r="AL25" s="43">
        <f t="shared" ca="1" si="17"/>
        <v>-4.4000000000000004</v>
      </c>
      <c r="AM25" s="38">
        <f t="shared" ca="1" si="18"/>
        <v>-4.4000000000000004</v>
      </c>
      <c r="AO25" s="38">
        <f t="shared" ca="1" si="19"/>
        <v>75</v>
      </c>
      <c r="AP25" s="38">
        <f t="shared" ca="1" si="20"/>
        <v>65.599999999999994</v>
      </c>
      <c r="AQ25" s="38">
        <f t="shared" si="21"/>
        <v>9.4</v>
      </c>
      <c r="AR25" s="47">
        <f t="shared" si="82"/>
        <v>9.4</v>
      </c>
      <c r="AS25" s="38">
        <f t="shared" ca="1" si="83"/>
        <v>75</v>
      </c>
      <c r="AT25">
        <f ca="1">RANK(AS25,AS$10:AS$28)+COUNTIF(AS$10:AS25,AS25)-1</f>
        <v>2</v>
      </c>
      <c r="AU25">
        <f t="shared" ca="1" si="22"/>
        <v>13</v>
      </c>
      <c r="AV25" s="21">
        <f t="shared" ca="1" si="101"/>
        <v>16</v>
      </c>
      <c r="AW25" s="21">
        <f t="shared" ca="1" si="23"/>
        <v>1</v>
      </c>
      <c r="AX25" s="41">
        <f t="shared" ca="1" si="84"/>
        <v>16</v>
      </c>
      <c r="AY25" s="21" t="str">
        <f t="shared" ca="1" si="24"/>
        <v>Nicaragua</v>
      </c>
      <c r="AZ25" s="43">
        <f t="shared" ca="1" si="25"/>
        <v>21.9</v>
      </c>
      <c r="BA25" s="43">
        <f t="shared" ca="1" si="26"/>
        <v>15.6</v>
      </c>
      <c r="BB25" s="38">
        <f t="shared" ca="1" si="27"/>
        <v>15.6</v>
      </c>
      <c r="BD25" s="38">
        <f t="shared" ca="1" si="28"/>
        <v>75</v>
      </c>
      <c r="BE25" s="38">
        <f t="shared" ca="1" si="29"/>
        <v>50</v>
      </c>
      <c r="BF25" s="38">
        <f t="shared" si="30"/>
        <v>25</v>
      </c>
      <c r="BG25" s="47">
        <f t="shared" si="85"/>
        <v>25</v>
      </c>
      <c r="BH25" s="38">
        <f t="shared" ca="1" si="86"/>
        <v>75</v>
      </c>
      <c r="BI25">
        <f ca="1">RANK(BH25,BH$10:BH$28)+COUNTIF(BH$10:BH25,BH25)-1</f>
        <v>3</v>
      </c>
      <c r="BJ25">
        <f t="shared" ca="1" si="31"/>
        <v>17</v>
      </c>
      <c r="BK25" s="21">
        <f t="shared" ca="1" si="102"/>
        <v>15</v>
      </c>
      <c r="BL25" s="21">
        <f t="shared" ca="1" si="32"/>
        <v>1</v>
      </c>
      <c r="BM25" s="41" t="str">
        <f t="shared" ca="1" si="87"/>
        <v>=15</v>
      </c>
      <c r="BN25" s="21" t="str">
        <f t="shared" ca="1" si="33"/>
        <v>Trinidad &amp; Tobago</v>
      </c>
      <c r="BO25" s="43">
        <f t="shared" ca="1" si="34"/>
        <v>25</v>
      </c>
      <c r="BP25" s="43" t="str">
        <f t="shared" ca="1" si="35"/>
        <v>-</v>
      </c>
      <c r="BQ25" s="38">
        <f t="shared" ca="1" si="36"/>
        <v>0</v>
      </c>
      <c r="BS25" s="38">
        <f t="shared" ca="1" si="37"/>
        <v>53.6</v>
      </c>
      <c r="BT25" s="38">
        <f t="shared" ca="1" si="38"/>
        <v>45.2</v>
      </c>
      <c r="BU25" s="38">
        <f t="shared" si="39"/>
        <v>8.4</v>
      </c>
      <c r="BV25" s="47">
        <f t="shared" si="88"/>
        <v>8.4</v>
      </c>
      <c r="BW25" s="38">
        <f t="shared" ca="1" si="89"/>
        <v>53.6</v>
      </c>
      <c r="BX25">
        <f ca="1">RANK(BW25,BW$10:BW$28)+COUNTIF(BW$10:BW25,BW25)-1</f>
        <v>4</v>
      </c>
      <c r="BY25">
        <f t="shared" ca="1" si="40"/>
        <v>13</v>
      </c>
      <c r="BZ25" s="21">
        <f t="shared" ca="1" si="103"/>
        <v>16</v>
      </c>
      <c r="CA25" s="21">
        <f t="shared" ca="1" si="41"/>
        <v>1</v>
      </c>
      <c r="CB25" s="41">
        <f t="shared" ca="1" si="90"/>
        <v>16</v>
      </c>
      <c r="CC25" s="21" t="str">
        <f t="shared" ca="1" si="42"/>
        <v>Nicaragua</v>
      </c>
      <c r="CD25" s="43">
        <f t="shared" ca="1" si="43"/>
        <v>13.1</v>
      </c>
      <c r="CE25" s="43">
        <f t="shared" ca="1" si="44"/>
        <v>6.6</v>
      </c>
      <c r="CF25" s="38">
        <f t="shared" ca="1" si="45"/>
        <v>6.6</v>
      </c>
      <c r="CH25" s="38">
        <f t="shared" ca="1" si="46"/>
        <v>50.3</v>
      </c>
      <c r="CI25" s="38">
        <f t="shared" ca="1" si="47"/>
        <v>49.1</v>
      </c>
      <c r="CJ25" s="38">
        <f t="shared" si="48"/>
        <v>1.2</v>
      </c>
      <c r="CK25" s="47">
        <f t="shared" si="91"/>
        <v>1.2</v>
      </c>
      <c r="CL25" s="38">
        <f t="shared" ca="1" si="92"/>
        <v>50.3</v>
      </c>
      <c r="CM25">
        <f ca="1">RANK(CL25,CL$10:CL$28)+COUNTIF(CL$10:CL25,CL25)-1</f>
        <v>4</v>
      </c>
      <c r="CN25">
        <f t="shared" ca="1" si="49"/>
        <v>13</v>
      </c>
      <c r="CO25" s="21">
        <f t="shared" ca="1" si="104"/>
        <v>16</v>
      </c>
      <c r="CP25" s="21">
        <f t="shared" ca="1" si="50"/>
        <v>1</v>
      </c>
      <c r="CQ25" s="41">
        <f t="shared" ca="1" si="93"/>
        <v>16</v>
      </c>
      <c r="CR25" s="21" t="str">
        <f t="shared" ca="1" si="51"/>
        <v>Nicaragua</v>
      </c>
      <c r="CS25" s="43">
        <f t="shared" ca="1" si="52"/>
        <v>31.1</v>
      </c>
      <c r="CT25" s="43">
        <f t="shared" ca="1" si="53"/>
        <v>-0.8</v>
      </c>
      <c r="CU25" s="38">
        <f t="shared" ca="1" si="54"/>
        <v>-0.8</v>
      </c>
      <c r="CW25" s="38">
        <f t="shared" ca="1" si="55"/>
        <v>61.1</v>
      </c>
      <c r="CX25" s="38">
        <f t="shared" ca="1" si="56"/>
        <v>58.3</v>
      </c>
      <c r="CY25" s="38">
        <f t="shared" si="57"/>
        <v>2.8</v>
      </c>
      <c r="CZ25" s="47">
        <f t="shared" si="94"/>
        <v>2.8</v>
      </c>
      <c r="DA25" s="38">
        <f t="shared" ca="1" si="95"/>
        <v>61.1</v>
      </c>
      <c r="DB25">
        <f ca="1">RANK(DA25,DA$10:DA$28)+COUNTIF(DA$10:DA25,DA25)-1</f>
        <v>5</v>
      </c>
      <c r="DC25">
        <f t="shared" ca="1" si="58"/>
        <v>11</v>
      </c>
      <c r="DD25" s="21">
        <f t="shared" ca="1" si="105"/>
        <v>16</v>
      </c>
      <c r="DE25" s="21">
        <f t="shared" ca="1" si="59"/>
        <v>1</v>
      </c>
      <c r="DF25" s="41">
        <f t="shared" ca="1" si="96"/>
        <v>16</v>
      </c>
      <c r="DG25" s="21" t="str">
        <f t="shared" ca="1" si="60"/>
        <v>Jamaica</v>
      </c>
      <c r="DH25" s="43">
        <f t="shared" ca="1" si="61"/>
        <v>16.7</v>
      </c>
      <c r="DI25" s="43">
        <f t="shared" ca="1" si="62"/>
        <v>2.8</v>
      </c>
      <c r="DJ25" s="38">
        <f t="shared" ca="1" si="63"/>
        <v>2.8</v>
      </c>
      <c r="DL25" s="38">
        <f t="shared" ca="1" si="64"/>
        <v>0</v>
      </c>
      <c r="DM25" s="38">
        <f t="shared" ca="1" si="65"/>
        <v>0</v>
      </c>
      <c r="DN25" s="38">
        <f t="shared" si="66"/>
        <v>0</v>
      </c>
      <c r="DO25" s="47" t="str">
        <f t="shared" si="97"/>
        <v>-</v>
      </c>
      <c r="DP25" s="38">
        <f t="shared" ca="1" si="98"/>
        <v>0</v>
      </c>
      <c r="DQ25">
        <f ca="1">RANK(DP25,DP$10:DP$28)+COUNTIF(DP$10:DP25,DP25)-1</f>
        <v>16</v>
      </c>
      <c r="DR25">
        <f t="shared" ca="1" si="67"/>
        <v>16</v>
      </c>
      <c r="DS25" s="21">
        <f t="shared" ca="1" si="106"/>
        <v>1</v>
      </c>
      <c r="DT25" s="21">
        <f t="shared" ca="1" si="68"/>
        <v>1</v>
      </c>
      <c r="DU25" s="41" t="str">
        <f t="shared" ca="1" si="99"/>
        <v>=1</v>
      </c>
      <c r="DV25" s="21" t="str">
        <f t="shared" ca="1" si="69"/>
        <v>Peru</v>
      </c>
      <c r="DW25" s="43">
        <f t="shared" ca="1" si="70"/>
        <v>0</v>
      </c>
      <c r="DX25" s="43" t="str">
        <f t="shared" ca="1" si="71"/>
        <v>-</v>
      </c>
      <c r="DY25" s="38">
        <f t="shared" ca="1" si="72"/>
        <v>0</v>
      </c>
    </row>
    <row r="26" spans="1:129">
      <c r="A26">
        <v>17</v>
      </c>
      <c r="B26" t="str">
        <f>tblCountries!E22</f>
        <v>Trinidad &amp; Tobago</v>
      </c>
      <c r="C26">
        <f>tblCountries!A22</f>
        <v>17</v>
      </c>
      <c r="D26">
        <f ca="1">tblCountries!F22</f>
        <v>1</v>
      </c>
      <c r="G26" s="38">
        <f t="shared" ca="1" si="0"/>
        <v>25</v>
      </c>
      <c r="H26" s="47">
        <f t="shared" ca="1" si="1"/>
        <v>1</v>
      </c>
      <c r="I26" s="38">
        <f t="shared" ca="1" si="2"/>
        <v>25</v>
      </c>
      <c r="J26" s="38">
        <f t="shared" ca="1" si="3"/>
        <v>1</v>
      </c>
      <c r="K26" s="47">
        <f t="shared" si="73"/>
        <v>0</v>
      </c>
      <c r="L26" s="47" t="str">
        <f t="shared" si="74"/>
        <v>-</v>
      </c>
      <c r="M26" s="38">
        <f t="shared" ca="1" si="75"/>
        <v>25</v>
      </c>
      <c r="N26">
        <f ca="1">RANK(M26,M$10:M$28)+COUNTIF(M$10:M26,M26)-1</f>
        <v>16</v>
      </c>
      <c r="O26">
        <f t="shared" ca="1" si="4"/>
        <v>18</v>
      </c>
      <c r="P26" s="21">
        <f t="shared" ca="1" si="100"/>
        <v>9</v>
      </c>
      <c r="Q26" s="21">
        <f t="shared" ca="1" si="5"/>
        <v>1</v>
      </c>
      <c r="R26" s="41" t="str">
        <f t="shared" ca="1" si="76"/>
        <v>=9</v>
      </c>
      <c r="S26" s="21" t="str">
        <f t="shared" ca="1" si="6"/>
        <v>Uruguay</v>
      </c>
      <c r="T26" s="41" t="str">
        <f t="shared" ca="1" si="7"/>
        <v>1</v>
      </c>
      <c r="U26" s="43">
        <f t="shared" ca="1" si="8"/>
        <v>25</v>
      </c>
      <c r="V26" s="43" t="str">
        <f t="shared" ca="1" si="9"/>
        <v>-</v>
      </c>
      <c r="W26" t="str">
        <f t="shared" ca="1" si="77"/>
        <v>-</v>
      </c>
      <c r="Z26" s="38">
        <f t="shared" ca="1" si="10"/>
        <v>31.6</v>
      </c>
      <c r="AA26" s="38">
        <f t="shared" ca="1" si="11"/>
        <v>31.2</v>
      </c>
      <c r="AB26" s="38">
        <f t="shared" si="12"/>
        <v>0.4</v>
      </c>
      <c r="AC26" s="47">
        <f t="shared" si="78"/>
        <v>0.4</v>
      </c>
      <c r="AD26" s="38">
        <f t="shared" ca="1" si="79"/>
        <v>31.6</v>
      </c>
      <c r="AE26">
        <f ca="1">RANK(AD26,AD$10:AD$28)+COUNTIF(AD$10:AD26,AD26)-1</f>
        <v>11</v>
      </c>
      <c r="AF26">
        <f t="shared" ca="1" si="13"/>
        <v>13</v>
      </c>
      <c r="AG26" s="21">
        <f t="shared" ca="1" si="80"/>
        <v>17</v>
      </c>
      <c r="AH26" s="21">
        <f t="shared" ca="1" si="14"/>
        <v>1</v>
      </c>
      <c r="AI26" s="41">
        <f t="shared" ca="1" si="81"/>
        <v>17</v>
      </c>
      <c r="AJ26" s="21" t="str">
        <f t="shared" ca="1" si="15"/>
        <v>Nicaragua</v>
      </c>
      <c r="AK26" s="43">
        <f t="shared" ca="1" si="16"/>
        <v>20.399999999999999</v>
      </c>
      <c r="AL26" s="43">
        <f t="shared" ca="1" si="17"/>
        <v>9.5</v>
      </c>
      <c r="AM26" s="38">
        <f t="shared" ca="1" si="18"/>
        <v>9.5</v>
      </c>
      <c r="AO26" s="38">
        <f t="shared" ca="1" si="19"/>
        <v>25</v>
      </c>
      <c r="AP26" s="38">
        <f t="shared" ca="1" si="20"/>
        <v>25</v>
      </c>
      <c r="AQ26" s="38">
        <f t="shared" si="21"/>
        <v>0</v>
      </c>
      <c r="AR26" s="47" t="str">
        <f t="shared" si="82"/>
        <v>-</v>
      </c>
      <c r="AS26" s="38">
        <f t="shared" ca="1" si="83"/>
        <v>25</v>
      </c>
      <c r="AT26">
        <f ca="1">RANK(AS26,AS$10:AS$28)+COUNTIF(AS$10:AS26,AS26)-1</f>
        <v>13</v>
      </c>
      <c r="AU26">
        <f t="shared" ca="1" si="22"/>
        <v>10</v>
      </c>
      <c r="AV26" s="21">
        <f t="shared" ca="1" si="101"/>
        <v>17</v>
      </c>
      <c r="AW26" s="21">
        <f t="shared" ca="1" si="23"/>
        <v>1</v>
      </c>
      <c r="AX26" s="41" t="str">
        <f t="shared" ca="1" si="84"/>
        <v>=17</v>
      </c>
      <c r="AY26" s="21" t="str">
        <f t="shared" ca="1" si="24"/>
        <v>Honduras</v>
      </c>
      <c r="AZ26" s="43">
        <f t="shared" ca="1" si="25"/>
        <v>15.6</v>
      </c>
      <c r="BA26" s="43" t="str">
        <f t="shared" ca="1" si="26"/>
        <v>-</v>
      </c>
      <c r="BB26" s="38">
        <f t="shared" ca="1" si="27"/>
        <v>0</v>
      </c>
      <c r="BD26" s="38">
        <f t="shared" ca="1" si="28"/>
        <v>25</v>
      </c>
      <c r="BE26" s="38">
        <f t="shared" ca="1" si="29"/>
        <v>25</v>
      </c>
      <c r="BF26" s="38">
        <f t="shared" si="30"/>
        <v>0</v>
      </c>
      <c r="BG26" s="47" t="str">
        <f t="shared" si="85"/>
        <v>-</v>
      </c>
      <c r="BH26" s="38">
        <f t="shared" ca="1" si="86"/>
        <v>25</v>
      </c>
      <c r="BI26">
        <f ca="1">RANK(BH26,BH$10:BH$28)+COUNTIF(BH$10:BH26,BH26)-1</f>
        <v>16</v>
      </c>
      <c r="BJ26">
        <f t="shared" ca="1" si="31"/>
        <v>6</v>
      </c>
      <c r="BK26" s="21">
        <f t="shared" ca="1" si="102"/>
        <v>17</v>
      </c>
      <c r="BL26" s="21">
        <f t="shared" ca="1" si="32"/>
        <v>1</v>
      </c>
      <c r="BM26" s="41">
        <f t="shared" ca="1" si="87"/>
        <v>17</v>
      </c>
      <c r="BN26" s="21" t="str">
        <f t="shared" ca="1" si="33"/>
        <v>Dominican Rep.</v>
      </c>
      <c r="BO26" s="43">
        <f t="shared" ca="1" si="34"/>
        <v>8.3000000000000007</v>
      </c>
      <c r="BP26" s="43">
        <f t="shared" ca="1" si="35"/>
        <v>-16.7</v>
      </c>
      <c r="BQ26" s="38">
        <f t="shared" ca="1" si="36"/>
        <v>-16.7</v>
      </c>
      <c r="BS26" s="38">
        <f t="shared" ca="1" si="37"/>
        <v>9.5</v>
      </c>
      <c r="BT26" s="38">
        <f t="shared" ca="1" si="38"/>
        <v>3.4</v>
      </c>
      <c r="BU26" s="38">
        <f t="shared" si="39"/>
        <v>6.2</v>
      </c>
      <c r="BV26" s="47">
        <f t="shared" si="88"/>
        <v>6.2</v>
      </c>
      <c r="BW26" s="38">
        <f t="shared" ca="1" si="89"/>
        <v>9.5</v>
      </c>
      <c r="BX26">
        <f ca="1">RANK(BW26,BW$10:BW$28)+COUNTIF(BW$10:BW26,BW26)-1</f>
        <v>18</v>
      </c>
      <c r="BY26">
        <f t="shared" ca="1" si="40"/>
        <v>14</v>
      </c>
      <c r="BZ26" s="21">
        <f t="shared" ca="1" si="103"/>
        <v>17</v>
      </c>
      <c r="CA26" s="21">
        <f t="shared" ca="1" si="41"/>
        <v>1</v>
      </c>
      <c r="CB26" s="41">
        <f t="shared" ca="1" si="90"/>
        <v>17</v>
      </c>
      <c r="CC26" s="21" t="str">
        <f t="shared" ca="1" si="42"/>
        <v>Panama</v>
      </c>
      <c r="CD26" s="43">
        <f t="shared" ca="1" si="43"/>
        <v>13.1</v>
      </c>
      <c r="CE26" s="43">
        <f t="shared" ca="1" si="44"/>
        <v>6.1</v>
      </c>
      <c r="CF26" s="38">
        <f t="shared" ca="1" si="45"/>
        <v>6.1</v>
      </c>
      <c r="CH26" s="38">
        <f t="shared" ca="1" si="46"/>
        <v>46.5</v>
      </c>
      <c r="CI26" s="38">
        <f t="shared" ca="1" si="47"/>
        <v>50.4</v>
      </c>
      <c r="CJ26" s="38">
        <f t="shared" si="48"/>
        <v>-3.9</v>
      </c>
      <c r="CK26" s="47">
        <f t="shared" si="91"/>
        <v>-3.9</v>
      </c>
      <c r="CL26" s="38">
        <f t="shared" ca="1" si="92"/>
        <v>46.5</v>
      </c>
      <c r="CM26">
        <f ca="1">RANK(CL26,CL$10:CL$28)+COUNTIF(CL$10:CL26,CL26)-1</f>
        <v>8</v>
      </c>
      <c r="CN26">
        <f t="shared" ca="1" si="49"/>
        <v>15</v>
      </c>
      <c r="CO26" s="21">
        <f t="shared" ca="1" si="104"/>
        <v>17</v>
      </c>
      <c r="CP26" s="21">
        <f t="shared" ca="1" si="50"/>
        <v>1</v>
      </c>
      <c r="CQ26" s="41">
        <f t="shared" ca="1" si="93"/>
        <v>17</v>
      </c>
      <c r="CR26" s="21" t="str">
        <f t="shared" ca="1" si="51"/>
        <v>Paraguay</v>
      </c>
      <c r="CS26" s="43">
        <f t="shared" ca="1" si="52"/>
        <v>29.4</v>
      </c>
      <c r="CT26" s="43">
        <f t="shared" ca="1" si="53"/>
        <v>-3.9</v>
      </c>
      <c r="CU26" s="38">
        <f t="shared" ca="1" si="54"/>
        <v>-3.9</v>
      </c>
      <c r="CW26" s="38">
        <f t="shared" ca="1" si="55"/>
        <v>58.3</v>
      </c>
      <c r="CX26" s="38">
        <f t="shared" ca="1" si="56"/>
        <v>58.3</v>
      </c>
      <c r="CY26" s="38">
        <f t="shared" si="57"/>
        <v>0</v>
      </c>
      <c r="CZ26" s="47" t="str">
        <f t="shared" si="94"/>
        <v>-</v>
      </c>
      <c r="DA26" s="38">
        <f t="shared" ca="1" si="95"/>
        <v>58.3</v>
      </c>
      <c r="DB26">
        <f ca="1">RANK(DA26,DA$10:DA$28)+COUNTIF(DA$10:DA26,DA26)-1</f>
        <v>6</v>
      </c>
      <c r="DC26">
        <f t="shared" ca="1" si="58"/>
        <v>19</v>
      </c>
      <c r="DD26" s="21">
        <f t="shared" ca="1" si="105"/>
        <v>17</v>
      </c>
      <c r="DE26" s="21">
        <f t="shared" ca="1" si="59"/>
        <v>1</v>
      </c>
      <c r="DF26" s="41">
        <f t="shared" ca="1" si="96"/>
        <v>17</v>
      </c>
      <c r="DG26" s="21" t="str">
        <f t="shared" ca="1" si="60"/>
        <v>Venezuela</v>
      </c>
      <c r="DH26" s="43">
        <f t="shared" ca="1" si="61"/>
        <v>16.7</v>
      </c>
      <c r="DI26" s="43">
        <f t="shared" ca="1" si="62"/>
        <v>-5.6</v>
      </c>
      <c r="DJ26" s="38">
        <f t="shared" ca="1" si="63"/>
        <v>-5.6</v>
      </c>
      <c r="DL26" s="38">
        <f t="shared" ca="1" si="64"/>
        <v>0</v>
      </c>
      <c r="DM26" s="38">
        <f t="shared" ca="1" si="65"/>
        <v>0</v>
      </c>
      <c r="DN26" s="38">
        <f t="shared" si="66"/>
        <v>0</v>
      </c>
      <c r="DO26" s="47" t="str">
        <f t="shared" si="97"/>
        <v>-</v>
      </c>
      <c r="DP26" s="38">
        <f t="shared" ca="1" si="98"/>
        <v>0</v>
      </c>
      <c r="DQ26">
        <f ca="1">RANK(DP26,DP$10:DP$28)+COUNTIF(DP$10:DP26,DP26)-1</f>
        <v>17</v>
      </c>
      <c r="DR26">
        <f t="shared" ca="1" si="67"/>
        <v>17</v>
      </c>
      <c r="DS26" s="21">
        <f t="shared" ca="1" si="106"/>
        <v>1</v>
      </c>
      <c r="DT26" s="21">
        <f t="shared" ca="1" si="68"/>
        <v>1</v>
      </c>
      <c r="DU26" s="41" t="str">
        <f t="shared" ca="1" si="99"/>
        <v>=1</v>
      </c>
      <c r="DV26" s="21" t="str">
        <f t="shared" ca="1" si="69"/>
        <v>Trinidad &amp; Tobago</v>
      </c>
      <c r="DW26" s="43">
        <f t="shared" ca="1" si="70"/>
        <v>0</v>
      </c>
      <c r="DX26" s="43" t="str">
        <f t="shared" ca="1" si="71"/>
        <v>-</v>
      </c>
      <c r="DY26" s="38">
        <f t="shared" ca="1" si="72"/>
        <v>0</v>
      </c>
    </row>
    <row r="27" spans="1:129">
      <c r="A27">
        <v>18</v>
      </c>
      <c r="B27" t="str">
        <f>tblCountries!E23</f>
        <v>Uruguay</v>
      </c>
      <c r="C27">
        <f>tblCountries!A23</f>
        <v>18</v>
      </c>
      <c r="D27">
        <f ca="1">tblCountries!F23</f>
        <v>1</v>
      </c>
      <c r="G27" s="38">
        <f t="shared" ca="1" si="0"/>
        <v>25</v>
      </c>
      <c r="H27" s="47">
        <f t="shared" ca="1" si="1"/>
        <v>1</v>
      </c>
      <c r="I27" s="38">
        <f t="shared" ca="1" si="2"/>
        <v>25</v>
      </c>
      <c r="J27" s="38">
        <f t="shared" ca="1" si="3"/>
        <v>1</v>
      </c>
      <c r="K27" s="47">
        <f t="shared" si="73"/>
        <v>0</v>
      </c>
      <c r="L27" s="47" t="str">
        <f t="shared" si="74"/>
        <v>-</v>
      </c>
      <c r="M27" s="38">
        <f t="shared" ca="1" si="75"/>
        <v>25</v>
      </c>
      <c r="N27">
        <f ca="1">RANK(M27,M$10:M$28)+COUNTIF(M$10:M27,M27)-1</f>
        <v>17</v>
      </c>
      <c r="O27">
        <f t="shared" ca="1" si="4"/>
        <v>7</v>
      </c>
      <c r="P27" s="21">
        <f t="shared" ca="1" si="100"/>
        <v>18</v>
      </c>
      <c r="Q27" s="21">
        <f t="shared" ca="1" si="5"/>
        <v>1</v>
      </c>
      <c r="R27" s="41" t="str">
        <f t="shared" ca="1" si="76"/>
        <v>=18</v>
      </c>
      <c r="S27" s="21" t="str">
        <f t="shared" ca="1" si="6"/>
        <v>Ecuador</v>
      </c>
      <c r="T27" s="41" t="str">
        <f t="shared" ca="1" si="7"/>
        <v>0</v>
      </c>
      <c r="U27" s="43">
        <f t="shared" ca="1" si="8"/>
        <v>0</v>
      </c>
      <c r="V27" s="43" t="str">
        <f t="shared" ca="1" si="9"/>
        <v>-</v>
      </c>
      <c r="W27" t="str">
        <f t="shared" ca="1" si="77"/>
        <v>-</v>
      </c>
      <c r="Z27" s="38">
        <f t="shared" ca="1" si="10"/>
        <v>34.299999999999997</v>
      </c>
      <c r="AA27" s="38">
        <f t="shared" ca="1" si="11"/>
        <v>29.6</v>
      </c>
      <c r="AB27" s="38">
        <f t="shared" si="12"/>
        <v>4.7</v>
      </c>
      <c r="AC27" s="47">
        <f t="shared" si="78"/>
        <v>4.7</v>
      </c>
      <c r="AD27" s="38">
        <f t="shared" ca="1" si="79"/>
        <v>34.299999999999997</v>
      </c>
      <c r="AE27">
        <f ca="1">RANK(AD27,AD$10:AD$28)+COUNTIF(AD$10:AD27,AD27)-1</f>
        <v>10</v>
      </c>
      <c r="AF27">
        <f t="shared" ca="1" si="13"/>
        <v>7</v>
      </c>
      <c r="AG27" s="21">
        <f t="shared" ca="1" si="80"/>
        <v>18</v>
      </c>
      <c r="AH27" s="21">
        <f t="shared" ca="1" si="14"/>
        <v>1</v>
      </c>
      <c r="AI27" s="41">
        <f t="shared" ca="1" si="81"/>
        <v>18</v>
      </c>
      <c r="AJ27" s="21" t="str">
        <f t="shared" ca="1" si="15"/>
        <v>Ecuador</v>
      </c>
      <c r="AK27" s="43">
        <f t="shared" ca="1" si="16"/>
        <v>16</v>
      </c>
      <c r="AL27" s="43">
        <f t="shared" ca="1" si="17"/>
        <v>-0.3</v>
      </c>
      <c r="AM27" s="38">
        <f t="shared" ca="1" si="18"/>
        <v>-0.3</v>
      </c>
      <c r="AO27" s="38">
        <f t="shared" ca="1" si="19"/>
        <v>34.4</v>
      </c>
      <c r="AP27" s="38">
        <f t="shared" ca="1" si="20"/>
        <v>25</v>
      </c>
      <c r="AQ27" s="38">
        <f t="shared" si="21"/>
        <v>9.4</v>
      </c>
      <c r="AR27" s="47">
        <f t="shared" si="82"/>
        <v>9.4</v>
      </c>
      <c r="AS27" s="38">
        <f t="shared" ca="1" si="83"/>
        <v>34.4</v>
      </c>
      <c r="AT27">
        <f ca="1">RANK(AS27,AS$10:AS$28)+COUNTIF(AS$10:AS27,AS27)-1</f>
        <v>9</v>
      </c>
      <c r="AU27">
        <f t="shared" ca="1" si="22"/>
        <v>7</v>
      </c>
      <c r="AV27" s="21">
        <f t="shared" ca="1" si="101"/>
        <v>17</v>
      </c>
      <c r="AW27" s="21">
        <f t="shared" ca="1" si="23"/>
        <v>1</v>
      </c>
      <c r="AX27" s="41" t="str">
        <f t="shared" ca="1" si="84"/>
        <v>=17</v>
      </c>
      <c r="AY27" s="21" t="str">
        <f t="shared" ca="1" si="24"/>
        <v>Ecuador</v>
      </c>
      <c r="AZ27" s="43">
        <f t="shared" ca="1" si="25"/>
        <v>6.3</v>
      </c>
      <c r="BA27" s="43" t="str">
        <f t="shared" ca="1" si="26"/>
        <v>-</v>
      </c>
      <c r="BB27" s="38">
        <f t="shared" ca="1" si="27"/>
        <v>0</v>
      </c>
      <c r="BD27" s="38">
        <f t="shared" ca="1" si="28"/>
        <v>33.299999999999997</v>
      </c>
      <c r="BE27" s="38">
        <f t="shared" ca="1" si="29"/>
        <v>33.299999999999997</v>
      </c>
      <c r="BF27" s="38">
        <f t="shared" si="30"/>
        <v>0</v>
      </c>
      <c r="BG27" s="47" t="str">
        <f t="shared" si="85"/>
        <v>-</v>
      </c>
      <c r="BH27" s="38">
        <f t="shared" ca="1" si="86"/>
        <v>33.299999999999997</v>
      </c>
      <c r="BI27">
        <f ca="1">RANK(BH27,BH$10:BH$28)+COUNTIF(BH$10:BH27,BH27)-1</f>
        <v>10</v>
      </c>
      <c r="BJ27">
        <f t="shared" ca="1" si="31"/>
        <v>7</v>
      </c>
      <c r="BK27" s="21">
        <f t="shared" ca="1" si="102"/>
        <v>18</v>
      </c>
      <c r="BL27" s="21">
        <f t="shared" ca="1" si="32"/>
        <v>1</v>
      </c>
      <c r="BM27" s="41" t="str">
        <f t="shared" ca="1" si="87"/>
        <v>=18</v>
      </c>
      <c r="BN27" s="21" t="str">
        <f t="shared" ca="1" si="33"/>
        <v>Ecuador</v>
      </c>
      <c r="BO27" s="43">
        <f t="shared" ca="1" si="34"/>
        <v>0</v>
      </c>
      <c r="BP27" s="43" t="str">
        <f t="shared" ca="1" si="35"/>
        <v>-</v>
      </c>
      <c r="BQ27" s="38">
        <f t="shared" ca="1" si="36"/>
        <v>0</v>
      </c>
      <c r="BS27" s="38">
        <f t="shared" ca="1" si="37"/>
        <v>19.3</v>
      </c>
      <c r="BT27" s="38">
        <f t="shared" ca="1" si="38"/>
        <v>13.7</v>
      </c>
      <c r="BU27" s="38">
        <f t="shared" si="39"/>
        <v>5.6</v>
      </c>
      <c r="BV27" s="47">
        <f t="shared" si="88"/>
        <v>5.6</v>
      </c>
      <c r="BW27" s="38">
        <f t="shared" ca="1" si="89"/>
        <v>19.3</v>
      </c>
      <c r="BX27">
        <f ca="1">RANK(BW27,BW$10:BW$28)+COUNTIF(BW$10:BW27,BW27)-1</f>
        <v>12</v>
      </c>
      <c r="BY27">
        <f t="shared" ca="1" si="40"/>
        <v>17</v>
      </c>
      <c r="BZ27" s="21">
        <f t="shared" ca="1" si="103"/>
        <v>18</v>
      </c>
      <c r="CA27" s="21">
        <f t="shared" ca="1" si="41"/>
        <v>1</v>
      </c>
      <c r="CB27" s="41">
        <f t="shared" ca="1" si="90"/>
        <v>18</v>
      </c>
      <c r="CC27" s="21" t="str">
        <f t="shared" ca="1" si="42"/>
        <v>Trinidad &amp; Tobago</v>
      </c>
      <c r="CD27" s="43">
        <f t="shared" ca="1" si="43"/>
        <v>9.5</v>
      </c>
      <c r="CE27" s="43">
        <f t="shared" ca="1" si="44"/>
        <v>6.2</v>
      </c>
      <c r="CF27" s="38">
        <f t="shared" ca="1" si="45"/>
        <v>6.2</v>
      </c>
      <c r="CH27" s="38">
        <f t="shared" ca="1" si="46"/>
        <v>54</v>
      </c>
      <c r="CI27" s="38">
        <f t="shared" ca="1" si="47"/>
        <v>52.5</v>
      </c>
      <c r="CJ27" s="38">
        <f t="shared" si="48"/>
        <v>1.5</v>
      </c>
      <c r="CK27" s="47">
        <f t="shared" si="91"/>
        <v>1.5</v>
      </c>
      <c r="CL27" s="38">
        <f t="shared" ca="1" si="92"/>
        <v>54</v>
      </c>
      <c r="CM27">
        <f ca="1">RANK(CL27,CL$10:CL$28)+COUNTIF(CL$10:CL27,CL27)-1</f>
        <v>2</v>
      </c>
      <c r="CN27">
        <f t="shared" ca="1" si="49"/>
        <v>10</v>
      </c>
      <c r="CO27" s="21">
        <f t="shared" ca="1" si="104"/>
        <v>18</v>
      </c>
      <c r="CP27" s="21">
        <f t="shared" ca="1" si="50"/>
        <v>1</v>
      </c>
      <c r="CQ27" s="41">
        <f t="shared" ca="1" si="93"/>
        <v>18</v>
      </c>
      <c r="CR27" s="21" t="str">
        <f t="shared" ca="1" si="51"/>
        <v>Honduras</v>
      </c>
      <c r="CS27" s="43">
        <f t="shared" ca="1" si="52"/>
        <v>27.6</v>
      </c>
      <c r="CT27" s="43">
        <f t="shared" ca="1" si="53"/>
        <v>-1.8</v>
      </c>
      <c r="CU27" s="38">
        <f t="shared" ca="1" si="54"/>
        <v>-1.8</v>
      </c>
      <c r="CW27" s="38">
        <f t="shared" ca="1" si="55"/>
        <v>30.6</v>
      </c>
      <c r="CX27" s="38">
        <f t="shared" ca="1" si="56"/>
        <v>25</v>
      </c>
      <c r="CY27" s="38">
        <f t="shared" si="57"/>
        <v>5.6</v>
      </c>
      <c r="CZ27" s="47">
        <f t="shared" si="94"/>
        <v>5.6</v>
      </c>
      <c r="DA27" s="38">
        <f t="shared" ca="1" si="95"/>
        <v>30.6</v>
      </c>
      <c r="DB27">
        <f ca="1">RANK(DA27,DA$10:DA$28)+COUNTIF(DA$10:DA27,DA27)-1</f>
        <v>12</v>
      </c>
      <c r="DC27">
        <f t="shared" ca="1" si="58"/>
        <v>10</v>
      </c>
      <c r="DD27" s="21">
        <f t="shared" ca="1" si="105"/>
        <v>18</v>
      </c>
      <c r="DE27" s="21">
        <f t="shared" ca="1" si="59"/>
        <v>1</v>
      </c>
      <c r="DF27" s="41" t="str">
        <f t="shared" ca="1" si="96"/>
        <v>=18</v>
      </c>
      <c r="DG27" s="21" t="str">
        <f t="shared" ca="1" si="60"/>
        <v>Honduras</v>
      </c>
      <c r="DH27" s="43">
        <f t="shared" ca="1" si="61"/>
        <v>11.1</v>
      </c>
      <c r="DI27" s="43">
        <f t="shared" ca="1" si="62"/>
        <v>2.8</v>
      </c>
      <c r="DJ27" s="38">
        <f t="shared" ca="1" si="63"/>
        <v>2.8</v>
      </c>
      <c r="DL27" s="38">
        <f t="shared" ca="1" si="64"/>
        <v>0</v>
      </c>
      <c r="DM27" s="38">
        <f t="shared" ca="1" si="65"/>
        <v>0</v>
      </c>
      <c r="DN27" s="38">
        <f t="shared" si="66"/>
        <v>0</v>
      </c>
      <c r="DO27" s="47" t="str">
        <f t="shared" si="97"/>
        <v>-</v>
      </c>
      <c r="DP27" s="38">
        <f t="shared" ca="1" si="98"/>
        <v>0</v>
      </c>
      <c r="DQ27">
        <f ca="1">RANK(DP27,DP$10:DP$28)+COUNTIF(DP$10:DP27,DP27)-1</f>
        <v>18</v>
      </c>
      <c r="DR27">
        <f t="shared" ca="1" si="67"/>
        <v>18</v>
      </c>
      <c r="DS27" s="21">
        <f t="shared" ca="1" si="106"/>
        <v>1</v>
      </c>
      <c r="DT27" s="21">
        <f t="shared" ca="1" si="68"/>
        <v>1</v>
      </c>
      <c r="DU27" s="41" t="str">
        <f t="shared" ca="1" si="99"/>
        <v>=1</v>
      </c>
      <c r="DV27" s="21" t="str">
        <f t="shared" ca="1" si="69"/>
        <v>Uruguay</v>
      </c>
      <c r="DW27" s="43">
        <f t="shared" ca="1" si="70"/>
        <v>0</v>
      </c>
      <c r="DX27" s="43" t="str">
        <f t="shared" ca="1" si="71"/>
        <v>-</v>
      </c>
      <c r="DY27" s="38">
        <f t="shared" ca="1" si="72"/>
        <v>0</v>
      </c>
    </row>
    <row r="28" spans="1:129">
      <c r="A28">
        <v>19</v>
      </c>
      <c r="B28" t="str">
        <f>tblCountries!E24</f>
        <v>Venezuela</v>
      </c>
      <c r="C28">
        <f>tblCountries!A24</f>
        <v>19</v>
      </c>
      <c r="D28">
        <f ca="1">tblCountries!F24</f>
        <v>1</v>
      </c>
      <c r="G28" s="38">
        <f t="shared" ca="1" si="0"/>
        <v>0</v>
      </c>
      <c r="H28" s="47">
        <f ca="1">IF($D28=0,"",IF($G$4&lt;2,"-",ROUND(INDEX(data_2009,G$7,$C28),$G$5)))</f>
        <v>0</v>
      </c>
      <c r="I28" s="38">
        <f ca="1">IF($D28=0,"",ROUND(INDEX(scores2008_yoy,G$7,$C28),1))</f>
        <v>25</v>
      </c>
      <c r="J28" s="38">
        <f ca="1">IF($D28=0,"",IF($G$4&lt;2,"-",ROUND(INDEX(data_2008,G$7,$C28),$G$5)))</f>
        <v>1</v>
      </c>
      <c r="K28" s="47">
        <f>IF(ISNUMBER(INDEX(yoy,G$7,$C28)),INDEX(yoy,G$7,$C28),0)</f>
        <v>-25</v>
      </c>
      <c r="L28" s="47" t="str">
        <f>IF(OR(K28=0,K28="-"),"-",IF(K28&gt;0,CONCATENATE("+",ROUND(K28,1)),CONCATENATE("-",ABS(ROUND(K28,1)))))</f>
        <v>-25</v>
      </c>
      <c r="M28" s="38">
        <f ca="1">IF($B$4=1,G28,K28)</f>
        <v>0</v>
      </c>
      <c r="N28">
        <f ca="1">RANK(M28,M$10:M$28)+COUNTIF(M$10:M28,M28)-1</f>
        <v>19</v>
      </c>
      <c r="O28">
        <f t="shared" ca="1" si="4"/>
        <v>19</v>
      </c>
      <c r="P28" s="21">
        <f ca="1">IF(ISERROR(O28),"",IF(ROUND(U28,$B$3)=ROUND(U27,$B$3),P27,$A28))</f>
        <v>18</v>
      </c>
      <c r="Q28" s="21">
        <f t="shared" ca="1" si="5"/>
        <v>1</v>
      </c>
      <c r="R28" s="41" t="str">
        <f ca="1">IF(Q28=0,"",IF(OR(P28=P27,P28=P29),CONCATENATE($B$2,P28),P28))</f>
        <v>=18</v>
      </c>
      <c r="S28" s="21" t="str">
        <f t="shared" ca="1" si="6"/>
        <v>Venezuela</v>
      </c>
      <c r="T28" s="41" t="str">
        <f t="shared" ca="1" si="7"/>
        <v>0</v>
      </c>
      <c r="U28" s="43">
        <f t="shared" ca="1" si="8"/>
        <v>0</v>
      </c>
      <c r="V28" s="43" t="str">
        <f t="shared" ca="1" si="9"/>
        <v>-25</v>
      </c>
      <c r="W28" t="str">
        <f ca="1">IF($G$4=2,V28,"")</f>
        <v>-25</v>
      </c>
      <c r="Z28" s="38">
        <f t="shared" ca="1" si="10"/>
        <v>6.4</v>
      </c>
      <c r="AA28" s="38">
        <f ca="1">IF($D28=0,"",ROUND(INDEX(scores2008_yoy,Z$7,$C28),1))</f>
        <v>12.1</v>
      </c>
      <c r="AB28" s="38">
        <f>IF(ISNUMBER(INDEX(yoy,Z$7,$C28)),INDEX(yoy,Z$7,$C28),0)</f>
        <v>-5.7</v>
      </c>
      <c r="AC28" s="47">
        <f t="shared" si="78"/>
        <v>-5.7</v>
      </c>
      <c r="AD28" s="38">
        <f ca="1">IF($B$3=1,ROUND(Z28,3),ROUND(AB28,3))</f>
        <v>6.4</v>
      </c>
      <c r="AE28">
        <f ca="1">RANK(AD28,AD$10:AD$28)+COUNTIF(AD$10:AD28,AD28)-1</f>
        <v>19</v>
      </c>
      <c r="AF28">
        <f t="shared" ca="1" si="13"/>
        <v>19</v>
      </c>
      <c r="AG28" s="21">
        <f ca="1">IF(ISERROR(AF28),"",IF(ROUND(AM28,$B$3)=ROUND(AM27,$B$3),AG27,$A28))</f>
        <v>19</v>
      </c>
      <c r="AH28" s="21">
        <f t="shared" ca="1" si="14"/>
        <v>1</v>
      </c>
      <c r="AI28" s="41">
        <f ca="1">IF(AH28=0,"",IF(OR(AG28=AG27,AG28=AG29),CONCATENATE($B$2,AG28),AG28))</f>
        <v>19</v>
      </c>
      <c r="AJ28" s="21" t="str">
        <f t="shared" ca="1" si="15"/>
        <v>Venezuela</v>
      </c>
      <c r="AK28" s="43">
        <f t="shared" ca="1" si="16"/>
        <v>6.4</v>
      </c>
      <c r="AL28" s="43">
        <f t="shared" ca="1" si="17"/>
        <v>-5.7</v>
      </c>
      <c r="AM28" s="38">
        <f t="shared" ca="1" si="18"/>
        <v>-5.7</v>
      </c>
      <c r="AO28" s="38">
        <f t="shared" ca="1" si="19"/>
        <v>0</v>
      </c>
      <c r="AP28" s="38">
        <f ca="1">IF($D28=0,"",ROUND(INDEX(scores2008_yoy,AO$7,$C28),1))</f>
        <v>9.4</v>
      </c>
      <c r="AQ28" s="38">
        <f>IF(ISNUMBER(INDEX(yoy,AO$7,$C28)),INDEX(yoy,AO$7,$C28),0)</f>
        <v>-9.4</v>
      </c>
      <c r="AR28" s="47">
        <f t="shared" si="82"/>
        <v>-9.4</v>
      </c>
      <c r="AS28" s="38">
        <f ca="1">IF($B$3=1,ROUND(AO28,3),ROUND(AQ28,3))</f>
        <v>0</v>
      </c>
      <c r="AT28">
        <f ca="1">RANK(AS28,AS$10:AS$28)+COUNTIF(AS$10:AS28,AS28)-1</f>
        <v>19</v>
      </c>
      <c r="AU28">
        <f t="shared" ca="1" si="22"/>
        <v>19</v>
      </c>
      <c r="AV28" s="21">
        <f ca="1">IF(ISERROR(AU28),"",IF(ROUND(BB28,$B$3)=ROUND(BB27,$B$3),AV27,$A28))</f>
        <v>19</v>
      </c>
      <c r="AW28" s="21">
        <f t="shared" ca="1" si="23"/>
        <v>1</v>
      </c>
      <c r="AX28" s="41">
        <f ca="1">IF(AW28=0,"",IF(OR(AV28=AV27,AV28=AV29),CONCATENATE($B$2,AV28),AV28))</f>
        <v>19</v>
      </c>
      <c r="AY28" s="21" t="str">
        <f t="shared" ca="1" si="24"/>
        <v>Venezuela</v>
      </c>
      <c r="AZ28" s="43">
        <f t="shared" ca="1" si="25"/>
        <v>0</v>
      </c>
      <c r="BA28" s="43">
        <f t="shared" ca="1" si="26"/>
        <v>-9.4</v>
      </c>
      <c r="BB28" s="38">
        <f t="shared" ca="1" si="27"/>
        <v>-9.4</v>
      </c>
      <c r="BD28" s="38">
        <f t="shared" ca="1" si="28"/>
        <v>0</v>
      </c>
      <c r="BE28" s="38">
        <f ca="1">IF($D28=0,"",ROUND(INDEX(scores2008_yoy,BD$7,$C28),1))</f>
        <v>0</v>
      </c>
      <c r="BF28" s="38">
        <f>IF(ISNUMBER(INDEX(yoy,BD$7,$C28)),INDEX(yoy,BD$7,$C28),0)</f>
        <v>0</v>
      </c>
      <c r="BG28" s="47" t="str">
        <f t="shared" si="85"/>
        <v>-</v>
      </c>
      <c r="BH28" s="38">
        <f ca="1">IF($B$3=1,ROUND(BD28,3),ROUND(BF28,3))</f>
        <v>0</v>
      </c>
      <c r="BI28">
        <f ca="1">RANK(BH28,BH$10:BH$28)+COUNTIF(BH$10:BH28,BH28)-1</f>
        <v>19</v>
      </c>
      <c r="BJ28">
        <f t="shared" ca="1" si="31"/>
        <v>19</v>
      </c>
      <c r="BK28" s="21">
        <f ca="1">IF(ISERROR(BJ28),"",IF(ROUND(BQ28,$B$3)=ROUND(BQ27,$B$3),BK27,$A28))</f>
        <v>18</v>
      </c>
      <c r="BL28" s="21">
        <f t="shared" ca="1" si="32"/>
        <v>1</v>
      </c>
      <c r="BM28" s="41" t="str">
        <f ca="1">IF(BL28=0,"",IF(OR(BK28=BK27,BK28=BK29),CONCATENATE($B$2,BK28),BK28))</f>
        <v>=18</v>
      </c>
      <c r="BN28" s="21" t="str">
        <f t="shared" ca="1" si="33"/>
        <v>Venezuela</v>
      </c>
      <c r="BO28" s="43">
        <f t="shared" ca="1" si="34"/>
        <v>0</v>
      </c>
      <c r="BP28" s="43" t="str">
        <f t="shared" ca="1" si="35"/>
        <v>-</v>
      </c>
      <c r="BQ28" s="38">
        <f t="shared" ca="1" si="36"/>
        <v>0</v>
      </c>
      <c r="BS28" s="38">
        <f t="shared" ca="1" si="37"/>
        <v>0.6</v>
      </c>
      <c r="BT28" s="38">
        <f ca="1">IF($D28=0,"",ROUND(INDEX(scores2008_yoy,BS$7,$C28),1))</f>
        <v>7.2</v>
      </c>
      <c r="BU28" s="38">
        <f>IF(ISNUMBER(INDEX(yoy,BS$7,$C28)),INDEX(yoy,BS$7,$C28),0)</f>
        <v>-6.6</v>
      </c>
      <c r="BV28" s="47">
        <f t="shared" si="88"/>
        <v>-6.6</v>
      </c>
      <c r="BW28" s="38">
        <f ca="1">IF($B$3=1,ROUND(BS28,3),ROUND(BU28,3))</f>
        <v>0.6</v>
      </c>
      <c r="BX28">
        <f ca="1">RANK(BW28,BW$10:BW$28)+COUNTIF(BW$10:BW28,BW28)-1</f>
        <v>19</v>
      </c>
      <c r="BY28">
        <f t="shared" ca="1" si="40"/>
        <v>19</v>
      </c>
      <c r="BZ28" s="21">
        <f ca="1">IF(ISERROR(BY28),"",IF(ROUND(CF28,$B$3)=ROUND(CF27,$B$3),BZ27,$A28))</f>
        <v>19</v>
      </c>
      <c r="CA28" s="21">
        <f t="shared" ca="1" si="41"/>
        <v>1</v>
      </c>
      <c r="CB28" s="41">
        <f ca="1">IF(CA28=0,"",IF(OR(BZ28=BZ27,BZ28=BZ29),CONCATENATE($B$2,BZ28),BZ28))</f>
        <v>19</v>
      </c>
      <c r="CC28" s="21" t="str">
        <f t="shared" ca="1" si="42"/>
        <v>Venezuela</v>
      </c>
      <c r="CD28" s="43">
        <f t="shared" ca="1" si="43"/>
        <v>0.6</v>
      </c>
      <c r="CE28" s="43">
        <f t="shared" ca="1" si="44"/>
        <v>-6.6</v>
      </c>
      <c r="CF28" s="38">
        <f t="shared" ca="1" si="45"/>
        <v>-6.6</v>
      </c>
      <c r="CH28" s="38">
        <f t="shared" ca="1" si="46"/>
        <v>21.1</v>
      </c>
      <c r="CI28" s="38">
        <f ca="1">IF($D28=0,"",ROUND(INDEX(scores2008_yoy,CH$7,$C28),1))</f>
        <v>27.4</v>
      </c>
      <c r="CJ28" s="38">
        <f>IF(ISNUMBER(INDEX(yoy,CH$7,$C28)),INDEX(yoy,CH$7,$C28),0)</f>
        <v>-6.3</v>
      </c>
      <c r="CK28" s="47">
        <f t="shared" si="91"/>
        <v>-6.3</v>
      </c>
      <c r="CL28" s="38">
        <f ca="1">IF($B$3=1,ROUND(CH28,3),ROUND(CJ28,3))</f>
        <v>21.1</v>
      </c>
      <c r="CM28">
        <f ca="1">RANK(CL28,CL$10:CL$28)+COUNTIF(CL$10:CL28,CL28)-1</f>
        <v>19</v>
      </c>
      <c r="CN28">
        <f t="shared" ca="1" si="49"/>
        <v>19</v>
      </c>
      <c r="CO28" s="21">
        <f ca="1">IF(ISERROR(CN28),"",IF(ROUND(CU28,$B$3)=ROUND(CU27,$B$3),CO27,$A28))</f>
        <v>19</v>
      </c>
      <c r="CP28" s="21">
        <f t="shared" ca="1" si="50"/>
        <v>1</v>
      </c>
      <c r="CQ28" s="41">
        <f ca="1">IF(CP28=0,"",IF(OR(CO28=CO27,CO28=CO29),CONCATENATE($B$2,CO28),CO28))</f>
        <v>19</v>
      </c>
      <c r="CR28" s="21" t="str">
        <f t="shared" ca="1" si="51"/>
        <v>Venezuela</v>
      </c>
      <c r="CS28" s="43">
        <f t="shared" ca="1" si="52"/>
        <v>21.1</v>
      </c>
      <c r="CT28" s="43">
        <f t="shared" ca="1" si="53"/>
        <v>-6.3</v>
      </c>
      <c r="CU28" s="38">
        <f t="shared" ca="1" si="54"/>
        <v>-6.3</v>
      </c>
      <c r="CW28" s="38">
        <f t="shared" ca="1" si="55"/>
        <v>16.7</v>
      </c>
      <c r="CX28" s="38">
        <f ca="1">IF($D28=0,"",ROUND(INDEX(scores2008_yoy,CW$7,$C28),1))</f>
        <v>22.2</v>
      </c>
      <c r="CY28" s="38">
        <f>IF(ISNUMBER(INDEX(yoy,CW$7,$C28)),INDEX(yoy,CW$7,$C28),0)</f>
        <v>-5.6</v>
      </c>
      <c r="CZ28" s="47">
        <f t="shared" si="94"/>
        <v>-5.6</v>
      </c>
      <c r="DA28" s="38">
        <f ca="1">IF($B$3=1,ROUND(CW28,3),ROUND(CY28,3))</f>
        <v>16.7</v>
      </c>
      <c r="DB28">
        <f ca="1">RANK(DA28,DA$10:DA$28)+COUNTIF(DA$10:DA28,DA28)-1</f>
        <v>17</v>
      </c>
      <c r="DC28">
        <f t="shared" ca="1" si="58"/>
        <v>13</v>
      </c>
      <c r="DD28" s="21">
        <f ca="1">IF(ISERROR(DC28),"",IF(ROUND(DJ28,$B$3)=ROUND(DJ27,$B$3),DD27,$A28))</f>
        <v>18</v>
      </c>
      <c r="DE28" s="21">
        <f t="shared" ca="1" si="59"/>
        <v>1</v>
      </c>
      <c r="DF28" s="41" t="str">
        <f ca="1">IF(DE28=0,"",IF(OR(DD28=DD27,DD28=DD29),CONCATENATE($B$2,DD28),DD28))</f>
        <v>=18</v>
      </c>
      <c r="DG28" s="21" t="str">
        <f t="shared" ca="1" si="60"/>
        <v>Nicaragua</v>
      </c>
      <c r="DH28" s="43">
        <f t="shared" ca="1" si="61"/>
        <v>8.3000000000000007</v>
      </c>
      <c r="DI28" s="43">
        <f t="shared" ca="1" si="62"/>
        <v>2.8</v>
      </c>
      <c r="DJ28" s="38">
        <f t="shared" ca="1" si="63"/>
        <v>2.8</v>
      </c>
      <c r="DL28" s="38">
        <f t="shared" ca="1" si="64"/>
        <v>0</v>
      </c>
      <c r="DM28" s="38">
        <f ca="1">IF($D28=0,"",ROUND(INDEX(scores2008_yoy,DL$7,$C28),1))</f>
        <v>0</v>
      </c>
      <c r="DN28" s="38">
        <f>IF(ISNUMBER(INDEX(yoy,DL$7,$C28)),INDEX(yoy,DL$7,$C28),0)</f>
        <v>0</v>
      </c>
      <c r="DO28" s="47" t="str">
        <f t="shared" si="97"/>
        <v>-</v>
      </c>
      <c r="DP28" s="38">
        <f ca="1">IF($B$3=1,ROUND(DL28,3),ROUND(DN28,3))</f>
        <v>0</v>
      </c>
      <c r="DQ28">
        <f ca="1">RANK(DP28,DP$10:DP$28)+COUNTIF(DP$10:DP28,DP28)-1</f>
        <v>19</v>
      </c>
      <c r="DR28">
        <f t="shared" ca="1" si="67"/>
        <v>19</v>
      </c>
      <c r="DS28" s="21">
        <f ca="1">IF(ISERROR(DR28),"",IF(ROUND(DY28,$B$3)=ROUND(DY27,$B$3),DS27,$A28))</f>
        <v>1</v>
      </c>
      <c r="DT28" s="21">
        <f t="shared" ca="1" si="68"/>
        <v>1</v>
      </c>
      <c r="DU28" s="41" t="str">
        <f ca="1">IF(DT28=0,"",IF(OR(DS28=DS27,DS28=DS29),CONCATENATE($B$2,DS28),DS28))</f>
        <v>=1</v>
      </c>
      <c r="DV28" s="21" t="str">
        <f t="shared" ca="1" si="69"/>
        <v>Venezuela</v>
      </c>
      <c r="DW28" s="43">
        <f t="shared" ca="1" si="70"/>
        <v>0</v>
      </c>
      <c r="DX28" s="43" t="str">
        <f t="shared" ca="1" si="71"/>
        <v>-</v>
      </c>
      <c r="DY28" s="38">
        <f t="shared" ca="1" si="72"/>
        <v>0</v>
      </c>
    </row>
    <row r="29" spans="1:129">
      <c r="AC29" s="47"/>
    </row>
    <row r="30" spans="1:129">
      <c r="AC30" s="47"/>
      <c r="AL30" s="43"/>
    </row>
    <row r="31" spans="1:129">
      <c r="AC31" s="47"/>
    </row>
    <row r="32" spans="1:129">
      <c r="AC32" s="47"/>
    </row>
    <row r="33" spans="8:29">
      <c r="AC33" s="47"/>
    </row>
    <row r="34" spans="8:29">
      <c r="AC34" s="47"/>
    </row>
    <row r="35" spans="8:29">
      <c r="H35" t="s">
        <v>570</v>
      </c>
      <c r="AC35" s="47"/>
    </row>
    <row r="36" spans="8:29">
      <c r="H36" t="s">
        <v>571</v>
      </c>
      <c r="AC36" s="47"/>
    </row>
  </sheetData>
  <phoneticPr fontId="61" type="noConversion"/>
  <pageMargins left="0.7" right="0.7" top="0.75" bottom="0.75" header="0.3" footer="0.3"/>
  <pageSetup paperSize="0" orientation="portrait" horizontalDpi="0" verticalDpi="0" copies="0"/>
</worksheet>
</file>

<file path=xl/worksheets/sheet7.xml><?xml version="1.0" encoding="utf-8"?>
<worksheet xmlns="http://schemas.openxmlformats.org/spreadsheetml/2006/main" xmlns:r="http://schemas.openxmlformats.org/officeDocument/2006/relationships">
  <sheetPr codeName="Sheet8"/>
  <dimension ref="A1:S39"/>
  <sheetViews>
    <sheetView topLeftCell="F1" workbookViewId="0">
      <pane ySplit="1" topLeftCell="A2" activePane="bottomLeft" state="frozen"/>
      <selection pane="bottomLeft" activeCell="N28" sqref="N28"/>
    </sheetView>
  </sheetViews>
  <sheetFormatPr defaultRowHeight="15"/>
  <cols>
    <col min="8" max="8" width="56.5703125" customWidth="1"/>
  </cols>
  <sheetData>
    <row r="1" spans="1:19">
      <c r="A1" s="5" t="s">
        <v>964</v>
      </c>
      <c r="B1" s="5" t="s">
        <v>965</v>
      </c>
      <c r="C1" s="6" t="s">
        <v>966</v>
      </c>
      <c r="D1" s="5" t="s">
        <v>967</v>
      </c>
      <c r="E1" s="5" t="s">
        <v>968</v>
      </c>
      <c r="F1" s="5" t="s">
        <v>969</v>
      </c>
      <c r="G1" s="6" t="s">
        <v>970</v>
      </c>
      <c r="H1" s="5" t="s">
        <v>971</v>
      </c>
      <c r="I1" s="5" t="s">
        <v>972</v>
      </c>
      <c r="J1" s="5" t="s">
        <v>973</v>
      </c>
      <c r="K1" s="5" t="s">
        <v>974</v>
      </c>
      <c r="L1" s="5" t="s">
        <v>975</v>
      </c>
      <c r="M1" s="5" t="s">
        <v>976</v>
      </c>
      <c r="N1" s="5" t="s">
        <v>977</v>
      </c>
      <c r="O1" s="5" t="s">
        <v>978</v>
      </c>
      <c r="P1" s="5" t="s">
        <v>572</v>
      </c>
      <c r="Q1" s="5" t="s">
        <v>979</v>
      </c>
      <c r="R1" s="7" t="s">
        <v>980</v>
      </c>
      <c r="S1" s="5" t="s">
        <v>1044</v>
      </c>
    </row>
    <row r="2" spans="1:19">
      <c r="A2" s="8" t="s">
        <v>981</v>
      </c>
      <c r="B2" s="8"/>
      <c r="C2" s="9">
        <v>0</v>
      </c>
      <c r="D2" s="8" t="s">
        <v>982</v>
      </c>
      <c r="E2" s="8">
        <v>0</v>
      </c>
      <c r="F2" s="8"/>
      <c r="G2" s="10">
        <f t="shared" ref="G2:G28" si="0">IF(K2="GOOD",0,1)</f>
        <v>0</v>
      </c>
      <c r="H2" s="8" t="s">
        <v>983</v>
      </c>
      <c r="I2" s="8" t="s">
        <v>878</v>
      </c>
      <c r="J2" s="8" t="s">
        <v>880</v>
      </c>
      <c r="K2" s="8" t="s">
        <v>984</v>
      </c>
      <c r="L2" s="11" t="s">
        <v>1065</v>
      </c>
      <c r="M2" s="12"/>
      <c r="N2" s="8" t="s">
        <v>985</v>
      </c>
      <c r="O2" s="13" t="s">
        <v>986</v>
      </c>
      <c r="P2" s="13"/>
      <c r="Q2" s="8" t="s">
        <v>983</v>
      </c>
      <c r="R2" s="8" t="str">
        <f>CONCATENATE(H2,", ",I2)</f>
        <v>OVERALL SCORE, 0 - 100 where 100= best and 0=worst</v>
      </c>
      <c r="S2">
        <v>1</v>
      </c>
    </row>
    <row r="3" spans="1:19">
      <c r="A3" s="8" t="s">
        <v>987</v>
      </c>
      <c r="B3" s="8" t="s">
        <v>981</v>
      </c>
      <c r="C3" s="9">
        <v>1</v>
      </c>
      <c r="D3" s="8" t="s">
        <v>982</v>
      </c>
      <c r="E3" s="8">
        <v>0</v>
      </c>
      <c r="F3" s="8"/>
      <c r="G3" s="10">
        <f t="shared" si="0"/>
        <v>0</v>
      </c>
      <c r="H3" s="8" t="s">
        <v>1072</v>
      </c>
      <c r="I3" s="8" t="s">
        <v>878</v>
      </c>
      <c r="J3" s="8" t="s">
        <v>879</v>
      </c>
      <c r="K3" s="8" t="s">
        <v>984</v>
      </c>
      <c r="L3" s="11" t="s">
        <v>989</v>
      </c>
      <c r="M3" s="12"/>
      <c r="N3" s="8" t="s">
        <v>985</v>
      </c>
      <c r="O3" s="13" t="s">
        <v>986</v>
      </c>
      <c r="P3" s="13"/>
      <c r="Q3" s="8" t="str">
        <f>CONCATENATE(REPT("   ",C3-1),IF(C3=1,UPPER(H3),H3))</f>
        <v>REGULATORY FRAMEWORK</v>
      </c>
      <c r="R3" s="8" t="str">
        <f t="shared" ref="R3:R39" si="1">CONCATENATE(H3,", ",I3)</f>
        <v>Regulatory framework, 0 - 100 where 100= best and 0=worst</v>
      </c>
      <c r="S3">
        <v>1</v>
      </c>
    </row>
    <row r="4" spans="1:19" ht="409.6">
      <c r="A4" s="7" t="s">
        <v>990</v>
      </c>
      <c r="B4" s="7" t="s">
        <v>987</v>
      </c>
      <c r="C4" s="10">
        <v>2</v>
      </c>
      <c r="D4" s="7" t="s">
        <v>991</v>
      </c>
      <c r="E4" s="7">
        <v>0</v>
      </c>
      <c r="F4" s="7">
        <v>25</v>
      </c>
      <c r="G4" s="10">
        <f t="shared" si="0"/>
        <v>0</v>
      </c>
      <c r="H4" s="7" t="s">
        <v>992</v>
      </c>
      <c r="I4" s="7" t="s">
        <v>993</v>
      </c>
      <c r="J4" s="7" t="s">
        <v>994</v>
      </c>
      <c r="K4" s="7" t="s">
        <v>984</v>
      </c>
      <c r="L4" s="7" t="s">
        <v>995</v>
      </c>
      <c r="M4" s="14"/>
      <c r="N4" s="225" t="s">
        <v>7</v>
      </c>
      <c r="O4" s="15" t="s">
        <v>996</v>
      </c>
      <c r="P4" s="15">
        <v>0</v>
      </c>
      <c r="Q4" s="7" t="str">
        <f t="shared" ref="Q4:Q39" si="2">CONCATENATE(REPT("   ",C4-1),IF(C4=1,UPPER(H4),H4))</f>
        <v xml:space="preserve">   Consistency and quality of PPP regulations</v>
      </c>
      <c r="R4" s="7" t="str">
        <f t="shared" si="1"/>
        <v>Consistency and quality of PPP regulations, 0-4, where 4=best and 0=worst</v>
      </c>
      <c r="S4">
        <v>1</v>
      </c>
    </row>
    <row r="5" spans="1:19">
      <c r="A5" s="7" t="s">
        <v>997</v>
      </c>
      <c r="B5" s="7" t="s">
        <v>987</v>
      </c>
      <c r="C5" s="10">
        <v>2</v>
      </c>
      <c r="D5" s="7" t="s">
        <v>991</v>
      </c>
      <c r="E5" s="7">
        <v>0</v>
      </c>
      <c r="F5" s="7">
        <v>25</v>
      </c>
      <c r="G5" s="10">
        <f t="shared" si="0"/>
        <v>0</v>
      </c>
      <c r="H5" s="7" t="s">
        <v>998</v>
      </c>
      <c r="I5" s="7" t="s">
        <v>993</v>
      </c>
      <c r="J5" s="7" t="s">
        <v>994</v>
      </c>
      <c r="K5" s="7" t="s">
        <v>984</v>
      </c>
      <c r="L5" s="7" t="s">
        <v>999</v>
      </c>
      <c r="M5" s="14"/>
      <c r="N5" s="16" t="s">
        <v>1000</v>
      </c>
      <c r="O5" s="15" t="s">
        <v>996</v>
      </c>
      <c r="P5" s="15">
        <v>0</v>
      </c>
      <c r="Q5" s="7" t="str">
        <f t="shared" si="2"/>
        <v xml:space="preserve">   Effective PPP selection and decision making</v>
      </c>
      <c r="R5" s="7" t="str">
        <f t="shared" si="1"/>
        <v>Effective PPP selection and decision making, 0-4, where 4=best and 0=worst</v>
      </c>
      <c r="S5">
        <v>1</v>
      </c>
    </row>
    <row r="6" spans="1:19">
      <c r="A6" s="7" t="s">
        <v>1001</v>
      </c>
      <c r="B6" s="7" t="s">
        <v>987</v>
      </c>
      <c r="C6" s="10">
        <v>2</v>
      </c>
      <c r="D6" s="7" t="s">
        <v>991</v>
      </c>
      <c r="E6" s="7">
        <v>0</v>
      </c>
      <c r="F6" s="7">
        <v>25</v>
      </c>
      <c r="G6" s="10">
        <f t="shared" si="0"/>
        <v>0</v>
      </c>
      <c r="H6" s="7" t="s">
        <v>1002</v>
      </c>
      <c r="I6" s="7" t="s">
        <v>993</v>
      </c>
      <c r="J6" s="7" t="s">
        <v>994</v>
      </c>
      <c r="K6" s="7" t="s">
        <v>984</v>
      </c>
      <c r="L6" s="7" t="s">
        <v>1003</v>
      </c>
      <c r="M6" s="14"/>
      <c r="N6" s="17" t="s">
        <v>1004</v>
      </c>
      <c r="O6" s="15" t="s">
        <v>996</v>
      </c>
      <c r="P6" s="15">
        <v>0</v>
      </c>
      <c r="Q6" s="7" t="str">
        <f t="shared" si="2"/>
        <v xml:space="preserve">   Fairness/openness of bids, contract changes</v>
      </c>
      <c r="R6" s="7" t="str">
        <f t="shared" si="1"/>
        <v>Fairness/openness of bids, contract changes, 0-4, where 4=best and 0=worst</v>
      </c>
      <c r="S6">
        <v>1</v>
      </c>
    </row>
    <row r="7" spans="1:19">
      <c r="A7" s="7" t="s">
        <v>1005</v>
      </c>
      <c r="B7" s="7" t="s">
        <v>987</v>
      </c>
      <c r="C7" s="10">
        <v>2</v>
      </c>
      <c r="D7" s="7" t="s">
        <v>991</v>
      </c>
      <c r="E7" s="7">
        <v>0</v>
      </c>
      <c r="F7" s="7">
        <v>25</v>
      </c>
      <c r="G7" s="10">
        <f t="shared" si="0"/>
        <v>0</v>
      </c>
      <c r="H7" s="7" t="s">
        <v>1006</v>
      </c>
      <c r="I7" s="7" t="s">
        <v>993</v>
      </c>
      <c r="J7" s="7" t="s">
        <v>994</v>
      </c>
      <c r="K7" s="7" t="s">
        <v>984</v>
      </c>
      <c r="L7" s="7" t="s">
        <v>1007</v>
      </c>
      <c r="M7" s="14"/>
      <c r="N7" s="7" t="s">
        <v>1008</v>
      </c>
      <c r="O7" s="15" t="s">
        <v>996</v>
      </c>
      <c r="P7" s="15"/>
      <c r="Q7" s="7" t="str">
        <f t="shared" si="2"/>
        <v xml:space="preserve">   Dispute resolution mechanisms</v>
      </c>
      <c r="R7" s="7" t="str">
        <f t="shared" si="1"/>
        <v>Dispute resolution mechanisms, 0-4, where 4=best and 0=worst</v>
      </c>
      <c r="S7">
        <v>1</v>
      </c>
    </row>
    <row r="8" spans="1:19">
      <c r="A8" s="8" t="s">
        <v>1009</v>
      </c>
      <c r="B8" s="8" t="s">
        <v>981</v>
      </c>
      <c r="C8" s="9">
        <v>1</v>
      </c>
      <c r="D8" s="8" t="s">
        <v>982</v>
      </c>
      <c r="E8" s="8">
        <v>0</v>
      </c>
      <c r="F8" s="8"/>
      <c r="G8" s="10">
        <f t="shared" si="0"/>
        <v>0</v>
      </c>
      <c r="H8" s="8" t="s">
        <v>1010</v>
      </c>
      <c r="I8" s="8" t="s">
        <v>878</v>
      </c>
      <c r="J8" s="8" t="s">
        <v>879</v>
      </c>
      <c r="K8" s="8" t="s">
        <v>984</v>
      </c>
      <c r="L8" s="11" t="s">
        <v>1011</v>
      </c>
      <c r="M8" s="12"/>
      <c r="N8" s="11" t="s">
        <v>1012</v>
      </c>
      <c r="O8" s="13" t="s">
        <v>986</v>
      </c>
      <c r="P8" s="13"/>
      <c r="Q8" s="8" t="str">
        <f t="shared" si="2"/>
        <v>INSTITUTIONAL FRAMEWORK</v>
      </c>
      <c r="R8" s="8" t="str">
        <f t="shared" si="1"/>
        <v>Institutional framework, 0 - 100 where 100= best and 0=worst</v>
      </c>
      <c r="S8">
        <v>1</v>
      </c>
    </row>
    <row r="9" spans="1:19">
      <c r="A9" s="7" t="s">
        <v>1013</v>
      </c>
      <c r="B9" s="7" t="s">
        <v>1009</v>
      </c>
      <c r="C9" s="10">
        <v>2</v>
      </c>
      <c r="D9" s="7" t="s">
        <v>991</v>
      </c>
      <c r="E9" s="7">
        <v>0</v>
      </c>
      <c r="F9" s="7">
        <v>25</v>
      </c>
      <c r="G9" s="10">
        <f t="shared" si="0"/>
        <v>0</v>
      </c>
      <c r="H9" s="7" t="s">
        <v>1014</v>
      </c>
      <c r="I9" s="7" t="s">
        <v>993</v>
      </c>
      <c r="J9" s="7" t="s">
        <v>994</v>
      </c>
      <c r="K9" s="7" t="s">
        <v>984</v>
      </c>
      <c r="L9" s="7" t="s">
        <v>1015</v>
      </c>
      <c r="M9" s="14"/>
      <c r="N9" s="17" t="s">
        <v>1016</v>
      </c>
      <c r="O9" s="15" t="s">
        <v>996</v>
      </c>
      <c r="P9" s="15">
        <v>0</v>
      </c>
      <c r="Q9" s="7" t="str">
        <f t="shared" si="2"/>
        <v xml:space="preserve">   Quality of institutional design</v>
      </c>
      <c r="R9" s="7" t="str">
        <f t="shared" si="1"/>
        <v>Quality of institutional design, 0-4, where 4=best and 0=worst</v>
      </c>
      <c r="S9">
        <v>1</v>
      </c>
    </row>
    <row r="10" spans="1:19">
      <c r="A10" s="7" t="s">
        <v>1017</v>
      </c>
      <c r="B10" s="7" t="s">
        <v>1009</v>
      </c>
      <c r="C10" s="10">
        <v>2</v>
      </c>
      <c r="D10" s="7" t="s">
        <v>991</v>
      </c>
      <c r="E10" s="7">
        <v>0</v>
      </c>
      <c r="F10" s="7">
        <v>25</v>
      </c>
      <c r="G10" s="10">
        <f t="shared" si="0"/>
        <v>0</v>
      </c>
      <c r="H10" s="7" t="s">
        <v>1018</v>
      </c>
      <c r="I10" s="7" t="s">
        <v>993</v>
      </c>
      <c r="J10" s="7" t="s">
        <v>994</v>
      </c>
      <c r="K10" s="7" t="s">
        <v>984</v>
      </c>
      <c r="L10" s="7" t="s">
        <v>1019</v>
      </c>
      <c r="M10" s="14"/>
      <c r="N10" s="16" t="s">
        <v>1020</v>
      </c>
      <c r="O10" s="15" t="s">
        <v>996</v>
      </c>
      <c r="P10" s="15">
        <v>0</v>
      </c>
      <c r="Q10" s="7" t="str">
        <f t="shared" si="2"/>
        <v xml:space="preserve">   PPP contract, hold-up and expropriation risk</v>
      </c>
      <c r="R10" s="7" t="str">
        <f t="shared" si="1"/>
        <v>PPP contract, hold-up and expropriation risk, 0-4, where 4=best and 0=worst</v>
      </c>
      <c r="S10">
        <v>1</v>
      </c>
    </row>
    <row r="11" spans="1:19">
      <c r="A11" s="8" t="s">
        <v>1021</v>
      </c>
      <c r="B11" s="8" t="s">
        <v>981</v>
      </c>
      <c r="C11" s="9">
        <v>1</v>
      </c>
      <c r="D11" s="8" t="s">
        <v>982</v>
      </c>
      <c r="E11" s="8">
        <v>0</v>
      </c>
      <c r="F11" s="8"/>
      <c r="G11" s="10">
        <f t="shared" si="0"/>
        <v>0</v>
      </c>
      <c r="H11" s="8" t="s">
        <v>1022</v>
      </c>
      <c r="I11" s="8" t="s">
        <v>878</v>
      </c>
      <c r="J11" s="8" t="s">
        <v>879</v>
      </c>
      <c r="K11" s="8" t="s">
        <v>984</v>
      </c>
      <c r="L11" s="11" t="s">
        <v>1023</v>
      </c>
      <c r="M11" s="12"/>
      <c r="N11" s="11" t="s">
        <v>1012</v>
      </c>
      <c r="O11" s="13" t="s">
        <v>986</v>
      </c>
      <c r="P11" s="13"/>
      <c r="Q11" s="8" t="str">
        <f t="shared" si="2"/>
        <v>OPERATIONAL MATURITY</v>
      </c>
      <c r="R11" s="8" t="str">
        <f t="shared" si="1"/>
        <v>Operational maturity, 0 - 100 where 100= best and 0=worst</v>
      </c>
      <c r="S11">
        <v>1</v>
      </c>
    </row>
    <row r="12" spans="1:19">
      <c r="A12" s="7" t="s">
        <v>1024</v>
      </c>
      <c r="B12" s="7" t="s">
        <v>1021</v>
      </c>
      <c r="C12" s="10">
        <v>2</v>
      </c>
      <c r="D12" s="7" t="s">
        <v>991</v>
      </c>
      <c r="E12" s="7">
        <v>0</v>
      </c>
      <c r="F12" s="7">
        <v>25</v>
      </c>
      <c r="G12" s="10">
        <f t="shared" si="0"/>
        <v>0</v>
      </c>
      <c r="H12" s="7" t="s">
        <v>1025</v>
      </c>
      <c r="I12" s="7" t="s">
        <v>993</v>
      </c>
      <c r="J12" s="7" t="s">
        <v>994</v>
      </c>
      <c r="K12" s="7" t="s">
        <v>984</v>
      </c>
      <c r="L12" s="7" t="s">
        <v>1039</v>
      </c>
      <c r="M12" s="14"/>
      <c r="N12" s="16" t="s">
        <v>1040</v>
      </c>
      <c r="O12" s="15" t="s">
        <v>996</v>
      </c>
      <c r="P12" s="15">
        <v>0</v>
      </c>
      <c r="Q12" s="7" t="str">
        <f t="shared" si="2"/>
        <v xml:space="preserve">   Public capacity to plan and oversee PPPs</v>
      </c>
      <c r="R12" s="7" t="str">
        <f t="shared" si="1"/>
        <v>Public capacity to plan and oversee PPPs, 0-4, where 4=best and 0=worst</v>
      </c>
      <c r="S12">
        <v>1</v>
      </c>
    </row>
    <row r="13" spans="1:19">
      <c r="A13" s="7" t="s">
        <v>1041</v>
      </c>
      <c r="B13" s="7" t="s">
        <v>1021</v>
      </c>
      <c r="C13" s="10">
        <v>2</v>
      </c>
      <c r="D13" s="7" t="s">
        <v>991</v>
      </c>
      <c r="E13" s="7">
        <v>0</v>
      </c>
      <c r="F13" s="7">
        <v>25</v>
      </c>
      <c r="G13" s="10">
        <f t="shared" si="0"/>
        <v>0</v>
      </c>
      <c r="H13" s="7" t="s">
        <v>1042</v>
      </c>
      <c r="I13" s="7" t="s">
        <v>993</v>
      </c>
      <c r="J13" s="7" t="s">
        <v>994</v>
      </c>
      <c r="K13" s="7" t="s">
        <v>984</v>
      </c>
      <c r="L13" s="7" t="s">
        <v>1043</v>
      </c>
      <c r="M13" s="14"/>
      <c r="N13" s="17" t="s">
        <v>785</v>
      </c>
      <c r="O13" s="15" t="s">
        <v>996</v>
      </c>
      <c r="P13" s="15">
        <v>0</v>
      </c>
      <c r="Q13" s="7" t="str">
        <f t="shared" si="2"/>
        <v xml:space="preserve">   Methods and criteria for awarding projects </v>
      </c>
      <c r="R13" s="7" t="str">
        <f t="shared" si="1"/>
        <v>Methods and criteria for awarding projects , 0-4, where 4=best and 0=worst</v>
      </c>
      <c r="S13">
        <v>1</v>
      </c>
    </row>
    <row r="14" spans="1:19">
      <c r="A14" s="7" t="s">
        <v>786</v>
      </c>
      <c r="B14" s="7" t="s">
        <v>1021</v>
      </c>
      <c r="C14" s="10">
        <v>2</v>
      </c>
      <c r="D14" s="7" t="s">
        <v>991</v>
      </c>
      <c r="E14" s="7">
        <v>0</v>
      </c>
      <c r="F14" s="7">
        <v>25</v>
      </c>
      <c r="G14" s="10">
        <f t="shared" si="0"/>
        <v>0</v>
      </c>
      <c r="H14" s="7" t="s">
        <v>787</v>
      </c>
      <c r="I14" s="7" t="s">
        <v>993</v>
      </c>
      <c r="J14" s="7" t="s">
        <v>994</v>
      </c>
      <c r="K14" s="7" t="s">
        <v>984</v>
      </c>
      <c r="L14" s="7" t="s">
        <v>788</v>
      </c>
      <c r="M14" s="14"/>
      <c r="N14" s="17" t="s">
        <v>789</v>
      </c>
      <c r="O14" s="15" t="s">
        <v>996</v>
      </c>
      <c r="P14" s="15">
        <v>0</v>
      </c>
      <c r="Q14" s="7" t="str">
        <f t="shared" si="2"/>
        <v xml:space="preserve">   Regulators' risk allocation record</v>
      </c>
      <c r="R14" s="7" t="str">
        <f t="shared" si="1"/>
        <v>Regulators' risk allocation record, 0-4, where 4=best and 0=worst</v>
      </c>
      <c r="S14">
        <v>1</v>
      </c>
    </row>
    <row r="15" spans="1:19">
      <c r="A15" s="7" t="s">
        <v>790</v>
      </c>
      <c r="B15" s="7" t="s">
        <v>1021</v>
      </c>
      <c r="C15" s="10">
        <v>2</v>
      </c>
      <c r="D15" s="5" t="s">
        <v>791</v>
      </c>
      <c r="E15" s="5">
        <v>0</v>
      </c>
      <c r="F15" s="5">
        <v>1</v>
      </c>
      <c r="G15" s="10">
        <f t="shared" si="0"/>
        <v>0</v>
      </c>
      <c r="H15" s="7" t="s">
        <v>1095</v>
      </c>
      <c r="I15" s="7" t="s">
        <v>574</v>
      </c>
      <c r="J15" s="7" t="s">
        <v>5</v>
      </c>
      <c r="K15" s="5" t="s">
        <v>984</v>
      </c>
      <c r="L15" s="18" t="s">
        <v>1093</v>
      </c>
      <c r="M15" s="14"/>
      <c r="N15" s="18" t="s">
        <v>8</v>
      </c>
      <c r="O15" s="15" t="s">
        <v>996</v>
      </c>
      <c r="P15" s="15">
        <v>0</v>
      </c>
      <c r="Q15" s="7" t="str">
        <f t="shared" si="2"/>
        <v xml:space="preserve">   Experience in PPP projects (concessions)</v>
      </c>
      <c r="R15" s="7" t="str">
        <f t="shared" si="1"/>
        <v>Experience in PPP projects (concessions), Number of transport and water concession and greenfield projects in the past ten years (1997-2007)</v>
      </c>
      <c r="S15">
        <v>1</v>
      </c>
    </row>
    <row r="16" spans="1:19" ht="409.6">
      <c r="A16" s="7" t="s">
        <v>792</v>
      </c>
      <c r="B16" s="7" t="s">
        <v>1021</v>
      </c>
      <c r="C16" s="10">
        <v>2</v>
      </c>
      <c r="D16" s="5" t="s">
        <v>791</v>
      </c>
      <c r="E16" s="5">
        <v>0</v>
      </c>
      <c r="F16" s="5">
        <v>25</v>
      </c>
      <c r="G16" s="10">
        <f t="shared" si="0"/>
        <v>0</v>
      </c>
      <c r="H16" s="7" t="s">
        <v>1094</v>
      </c>
      <c r="I16" s="7" t="s">
        <v>793</v>
      </c>
      <c r="J16" s="7" t="s">
        <v>4</v>
      </c>
      <c r="K16" s="5" t="s">
        <v>984</v>
      </c>
      <c r="L16" s="18" t="s">
        <v>1092</v>
      </c>
      <c r="M16" s="14"/>
      <c r="N16" s="226" t="s">
        <v>9</v>
      </c>
      <c r="O16" s="19" t="s">
        <v>986</v>
      </c>
      <c r="P16" s="19">
        <v>1</v>
      </c>
      <c r="Q16" s="7" t="str">
        <f t="shared" si="2"/>
        <v xml:space="preserve">   Quality of PPP projects (concessions)</v>
      </c>
      <c r="R16" s="7" t="str">
        <f t="shared" si="1"/>
        <v>Quality of PPP projects (concessions), 0-4, where 4 = best and 0 = worst</v>
      </c>
      <c r="S16">
        <v>1</v>
      </c>
    </row>
    <row r="17" spans="1:19">
      <c r="A17" s="8" t="s">
        <v>794</v>
      </c>
      <c r="B17" s="8" t="s">
        <v>981</v>
      </c>
      <c r="C17" s="9">
        <v>1</v>
      </c>
      <c r="D17" s="8" t="s">
        <v>982</v>
      </c>
      <c r="E17" s="8">
        <v>0</v>
      </c>
      <c r="F17" s="8"/>
      <c r="G17" s="10">
        <f t="shared" si="0"/>
        <v>0</v>
      </c>
      <c r="H17" s="8" t="s">
        <v>795</v>
      </c>
      <c r="I17" s="8" t="s">
        <v>878</v>
      </c>
      <c r="J17" s="8" t="s">
        <v>879</v>
      </c>
      <c r="K17" s="8" t="s">
        <v>984</v>
      </c>
      <c r="L17" s="11" t="s">
        <v>1064</v>
      </c>
      <c r="M17" s="12"/>
      <c r="N17" s="11" t="s">
        <v>1012</v>
      </c>
      <c r="O17" s="13" t="s">
        <v>986</v>
      </c>
      <c r="P17" s="13"/>
      <c r="Q17" s="8" t="str">
        <f t="shared" si="2"/>
        <v>INVESTMENT CLIMATE</v>
      </c>
      <c r="R17" s="8" t="str">
        <f t="shared" si="1"/>
        <v>Investment climate, 0 - 100 where 100= best and 0=worst</v>
      </c>
      <c r="S17">
        <v>1</v>
      </c>
    </row>
    <row r="18" spans="1:19">
      <c r="A18" s="7" t="s">
        <v>796</v>
      </c>
      <c r="B18" s="7" t="s">
        <v>794</v>
      </c>
      <c r="C18" s="10">
        <v>2</v>
      </c>
      <c r="D18" s="7" t="s">
        <v>991</v>
      </c>
      <c r="E18" s="7">
        <v>0</v>
      </c>
      <c r="F18" s="7">
        <v>1</v>
      </c>
      <c r="G18" s="10">
        <f t="shared" si="0"/>
        <v>0</v>
      </c>
      <c r="H18" s="7" t="s">
        <v>797</v>
      </c>
      <c r="I18" s="7" t="s">
        <v>889</v>
      </c>
      <c r="J18" s="7" t="s">
        <v>798</v>
      </c>
      <c r="K18" s="5" t="s">
        <v>984</v>
      </c>
      <c r="L18" s="7" t="s">
        <v>799</v>
      </c>
      <c r="M18" s="14"/>
      <c r="N18" s="18" t="s">
        <v>800</v>
      </c>
      <c r="O18" s="15" t="s">
        <v>996</v>
      </c>
      <c r="P18" s="15">
        <v>0</v>
      </c>
      <c r="Q18" s="7" t="str">
        <f t="shared" si="2"/>
        <v xml:space="preserve">   Political distortion</v>
      </c>
      <c r="R18" s="7" t="str">
        <f t="shared" si="1"/>
        <v>Political distortion, Rating, 0-100 where 100=best</v>
      </c>
      <c r="S18">
        <v>1</v>
      </c>
    </row>
    <row r="19" spans="1:19">
      <c r="A19" s="7" t="s">
        <v>801</v>
      </c>
      <c r="B19" s="7" t="s">
        <v>794</v>
      </c>
      <c r="C19" s="10">
        <v>2</v>
      </c>
      <c r="D19" s="7" t="s">
        <v>991</v>
      </c>
      <c r="E19" s="7">
        <v>0</v>
      </c>
      <c r="F19" s="7">
        <v>1</v>
      </c>
      <c r="G19" s="10">
        <f t="shared" si="0"/>
        <v>0</v>
      </c>
      <c r="H19" s="7" t="s">
        <v>802</v>
      </c>
      <c r="I19" s="7" t="s">
        <v>889</v>
      </c>
      <c r="J19" s="7" t="s">
        <v>803</v>
      </c>
      <c r="K19" s="5" t="s">
        <v>984</v>
      </c>
      <c r="L19" s="7" t="s">
        <v>804</v>
      </c>
      <c r="M19" s="14"/>
      <c r="N19" s="18" t="s">
        <v>805</v>
      </c>
      <c r="O19" s="15" t="s">
        <v>996</v>
      </c>
      <c r="P19" s="15">
        <v>0</v>
      </c>
      <c r="Q19" s="7" t="str">
        <f t="shared" si="2"/>
        <v xml:space="preserve">   Business environment</v>
      </c>
      <c r="R19" s="7" t="str">
        <f t="shared" si="1"/>
        <v>Business environment, Rating, 0-100 where 100=best</v>
      </c>
      <c r="S19">
        <v>1</v>
      </c>
    </row>
    <row r="20" spans="1:19" s="173" customFormat="1" ht="409.6">
      <c r="A20" s="168" t="s">
        <v>806</v>
      </c>
      <c r="B20" s="168" t="s">
        <v>794</v>
      </c>
      <c r="C20" s="169">
        <v>2</v>
      </c>
      <c r="D20" s="170" t="s">
        <v>791</v>
      </c>
      <c r="E20" s="170">
        <v>0</v>
      </c>
      <c r="F20" s="170">
        <f>100/3</f>
        <v>33.333333333333336</v>
      </c>
      <c r="G20" s="169">
        <f t="shared" si="0"/>
        <v>0</v>
      </c>
      <c r="H20" s="168" t="s">
        <v>1045</v>
      </c>
      <c r="I20" s="168" t="s">
        <v>1046</v>
      </c>
      <c r="J20" s="171" t="s">
        <v>994</v>
      </c>
      <c r="K20" s="170" t="s">
        <v>984</v>
      </c>
      <c r="L20" s="14" t="s">
        <v>1070</v>
      </c>
      <c r="M20" s="186"/>
      <c r="N20" s="227" t="s">
        <v>10</v>
      </c>
      <c r="O20" s="172" t="s">
        <v>996</v>
      </c>
      <c r="P20" s="172">
        <v>0</v>
      </c>
      <c r="Q20" s="168" t="str">
        <f t="shared" si="2"/>
        <v xml:space="preserve">   Political will</v>
      </c>
      <c r="R20" s="168" t="str">
        <f t="shared" si="1"/>
        <v>Political will, Rating, 0-3 where 3=best</v>
      </c>
      <c r="S20" s="173">
        <v>0</v>
      </c>
    </row>
    <row r="21" spans="1:19">
      <c r="A21" s="8" t="s">
        <v>807</v>
      </c>
      <c r="B21" s="8" t="s">
        <v>981</v>
      </c>
      <c r="C21" s="9">
        <v>1</v>
      </c>
      <c r="D21" s="8" t="s">
        <v>982</v>
      </c>
      <c r="E21" s="8">
        <v>0</v>
      </c>
      <c r="F21" s="8"/>
      <c r="G21" s="10">
        <f t="shared" si="0"/>
        <v>0</v>
      </c>
      <c r="H21" s="8" t="s">
        <v>808</v>
      </c>
      <c r="I21" s="8" t="s">
        <v>878</v>
      </c>
      <c r="J21" s="8" t="s">
        <v>879</v>
      </c>
      <c r="K21" s="8" t="s">
        <v>984</v>
      </c>
      <c r="L21" s="11" t="s">
        <v>809</v>
      </c>
      <c r="M21" s="12"/>
      <c r="N21" s="11" t="s">
        <v>1012</v>
      </c>
      <c r="O21" s="13" t="s">
        <v>986</v>
      </c>
      <c r="P21" s="13"/>
      <c r="Q21" s="8" t="str">
        <f t="shared" si="2"/>
        <v>FINANCIAL FACILITIES</v>
      </c>
      <c r="R21" s="8" t="str">
        <f t="shared" si="1"/>
        <v>Financial facilities, 0 - 100 where 100= best and 0=worst</v>
      </c>
      <c r="S21">
        <v>1</v>
      </c>
    </row>
    <row r="22" spans="1:19" ht="409.6">
      <c r="A22" s="7" t="s">
        <v>810</v>
      </c>
      <c r="B22" s="7" t="s">
        <v>807</v>
      </c>
      <c r="C22" s="10">
        <v>2</v>
      </c>
      <c r="D22" s="7" t="s">
        <v>991</v>
      </c>
      <c r="E22" s="7">
        <v>0</v>
      </c>
      <c r="F22" s="7">
        <v>25</v>
      </c>
      <c r="G22" s="10">
        <f t="shared" si="0"/>
        <v>0</v>
      </c>
      <c r="H22" s="7" t="s">
        <v>811</v>
      </c>
      <c r="I22" s="7" t="s">
        <v>993</v>
      </c>
      <c r="J22" s="7" t="s">
        <v>994</v>
      </c>
      <c r="K22" s="7" t="s">
        <v>984</v>
      </c>
      <c r="L22" s="18" t="s">
        <v>1068</v>
      </c>
      <c r="M22" s="20"/>
      <c r="N22" s="226" t="s">
        <v>11</v>
      </c>
      <c r="O22" s="15" t="s">
        <v>996</v>
      </c>
      <c r="P22" s="15">
        <v>0</v>
      </c>
      <c r="Q22" s="7" t="str">
        <f t="shared" si="2"/>
        <v xml:space="preserve">   Government payment risk</v>
      </c>
      <c r="R22" s="7" t="str">
        <f t="shared" si="1"/>
        <v>Government payment risk, 0-4, where 4=best and 0=worst</v>
      </c>
      <c r="S22">
        <v>1</v>
      </c>
    </row>
    <row r="23" spans="1:19">
      <c r="A23" s="18" t="s">
        <v>812</v>
      </c>
      <c r="B23" s="18" t="s">
        <v>807</v>
      </c>
      <c r="C23" s="10">
        <v>2</v>
      </c>
      <c r="D23" s="18" t="s">
        <v>991</v>
      </c>
      <c r="E23" s="18">
        <v>0</v>
      </c>
      <c r="F23" s="18">
        <v>25</v>
      </c>
      <c r="G23" s="10">
        <f t="shared" si="0"/>
        <v>0</v>
      </c>
      <c r="H23" s="18" t="s">
        <v>813</v>
      </c>
      <c r="I23" s="18" t="s">
        <v>993</v>
      </c>
      <c r="J23" s="18" t="s">
        <v>994</v>
      </c>
      <c r="K23" s="18" t="s">
        <v>984</v>
      </c>
      <c r="L23" s="18" t="s">
        <v>814</v>
      </c>
      <c r="M23" s="20"/>
      <c r="N23" s="17" t="s">
        <v>815</v>
      </c>
      <c r="O23" s="15" t="s">
        <v>996</v>
      </c>
      <c r="P23" s="15">
        <v>0</v>
      </c>
      <c r="Q23" s="18" t="str">
        <f t="shared" si="2"/>
        <v xml:space="preserve">   Capital market: private infrastructure finance</v>
      </c>
      <c r="R23" s="18" t="str">
        <f t="shared" si="1"/>
        <v>Capital market: private infrastructure finance, 0-4, where 4=best and 0=worst</v>
      </c>
      <c r="S23">
        <v>1</v>
      </c>
    </row>
    <row r="24" spans="1:19">
      <c r="A24" s="7" t="s">
        <v>816</v>
      </c>
      <c r="B24" s="7" t="s">
        <v>807</v>
      </c>
      <c r="C24" s="10">
        <v>2</v>
      </c>
      <c r="D24" s="7" t="s">
        <v>991</v>
      </c>
      <c r="E24" s="7">
        <v>0</v>
      </c>
      <c r="F24" s="7">
        <v>25</v>
      </c>
      <c r="G24" s="10">
        <f t="shared" si="0"/>
        <v>0</v>
      </c>
      <c r="H24" s="7" t="s">
        <v>817</v>
      </c>
      <c r="I24" s="7" t="s">
        <v>993</v>
      </c>
      <c r="J24" s="7" t="s">
        <v>329</v>
      </c>
      <c r="K24" s="7" t="s">
        <v>984</v>
      </c>
      <c r="L24" s="7" t="s">
        <v>818</v>
      </c>
      <c r="M24" s="14"/>
      <c r="N24" s="17" t="s">
        <v>819</v>
      </c>
      <c r="O24" s="15" t="s">
        <v>996</v>
      </c>
      <c r="P24" s="15">
        <v>0</v>
      </c>
      <c r="Q24" s="7" t="str">
        <f t="shared" si="2"/>
        <v xml:space="preserve">   Marketable debt</v>
      </c>
      <c r="R24" s="7" t="str">
        <f t="shared" si="1"/>
        <v>Marketable debt, 0-4, where 4=best and 0=worst</v>
      </c>
      <c r="S24">
        <v>1</v>
      </c>
    </row>
    <row r="25" spans="1:19">
      <c r="A25" s="8" t="s">
        <v>820</v>
      </c>
      <c r="B25" s="8" t="s">
        <v>807</v>
      </c>
      <c r="C25" s="9">
        <v>2</v>
      </c>
      <c r="D25" s="8" t="s">
        <v>991</v>
      </c>
      <c r="E25" s="8">
        <v>0</v>
      </c>
      <c r="F25" s="8">
        <v>25</v>
      </c>
      <c r="G25" s="10">
        <f t="shared" si="0"/>
        <v>0</v>
      </c>
      <c r="H25" s="8" t="s">
        <v>326</v>
      </c>
      <c r="I25" s="8" t="s">
        <v>993</v>
      </c>
      <c r="J25" s="8" t="s">
        <v>994</v>
      </c>
      <c r="K25" s="8" t="s">
        <v>984</v>
      </c>
      <c r="L25" s="11" t="s">
        <v>328</v>
      </c>
      <c r="M25" s="12"/>
      <c r="N25" s="11" t="s">
        <v>327</v>
      </c>
      <c r="O25" s="13" t="s">
        <v>996</v>
      </c>
      <c r="P25" s="13">
        <v>0</v>
      </c>
      <c r="Q25" s="8" t="str">
        <f>CONCATENATE(REPT("   ",C25-1),IF(C25=1,UPPER(H25),H25))</f>
        <v xml:space="preserve">   Government support and affordability for low income users</v>
      </c>
      <c r="R25" s="8" t="str">
        <f>CONCATENATE(H25,", ",I25)</f>
        <v>Government support and affordability for low income users, 0-4, where 4=best and 0=worst</v>
      </c>
      <c r="S25">
        <v>1</v>
      </c>
    </row>
    <row r="26" spans="1:19">
      <c r="A26" s="8" t="s">
        <v>1047</v>
      </c>
      <c r="B26" s="8" t="s">
        <v>981</v>
      </c>
      <c r="C26" s="9">
        <v>1</v>
      </c>
      <c r="D26" s="8" t="s">
        <v>982</v>
      </c>
      <c r="E26" s="8">
        <v>0</v>
      </c>
      <c r="F26" s="8"/>
      <c r="G26" s="10">
        <f t="shared" si="0"/>
        <v>0</v>
      </c>
      <c r="H26" s="8" t="s">
        <v>1061</v>
      </c>
      <c r="I26" s="8" t="s">
        <v>878</v>
      </c>
      <c r="J26" s="8" t="s">
        <v>879</v>
      </c>
      <c r="K26" s="8" t="s">
        <v>984</v>
      </c>
      <c r="L26" s="11" t="s">
        <v>325</v>
      </c>
      <c r="M26" s="12"/>
      <c r="N26" s="11" t="s">
        <v>1012</v>
      </c>
      <c r="O26" s="13" t="s">
        <v>986</v>
      </c>
      <c r="P26" s="13"/>
      <c r="Q26" s="8" t="str">
        <f>CONCATENATE(REPT("   ",C26-1),IF(C26=1,UPPER(H26),H26))</f>
        <v>SUBNATIONAL ADJUSTMENT</v>
      </c>
      <c r="R26" s="8" t="str">
        <f>CONCATENATE(H26,", ",I26)</f>
        <v>Subnational adjustment, 0 - 100 where 100= best and 0=worst</v>
      </c>
      <c r="S26">
        <v>1</v>
      </c>
    </row>
    <row r="27" spans="1:19" ht="409.6">
      <c r="A27" s="8" t="s">
        <v>1048</v>
      </c>
      <c r="B27" s="8" t="s">
        <v>1047</v>
      </c>
      <c r="C27" s="9">
        <v>2</v>
      </c>
      <c r="D27" s="8" t="s">
        <v>991</v>
      </c>
      <c r="E27" s="8">
        <v>0</v>
      </c>
      <c r="F27" s="8">
        <v>25</v>
      </c>
      <c r="G27" s="10">
        <f t="shared" si="0"/>
        <v>0</v>
      </c>
      <c r="H27" s="8" t="s">
        <v>1050</v>
      </c>
      <c r="I27" s="8" t="s">
        <v>993</v>
      </c>
      <c r="J27" s="8" t="s">
        <v>994</v>
      </c>
      <c r="K27" s="8" t="s">
        <v>984</v>
      </c>
      <c r="L27" s="11" t="s">
        <v>1069</v>
      </c>
      <c r="M27" s="12"/>
      <c r="N27" s="228" t="s">
        <v>12</v>
      </c>
      <c r="O27" s="13" t="s">
        <v>996</v>
      </c>
      <c r="P27" s="13">
        <v>0</v>
      </c>
      <c r="Q27" s="8" t="str">
        <f>CONCATENATE(REPT("   ",C27-1),IF(C27=1,UPPER(H27),H27))</f>
        <v xml:space="preserve">   Subnational adjustment factor</v>
      </c>
      <c r="R27" s="8" t="str">
        <f>CONCATENATE(H27,", ",I27)</f>
        <v>Subnational adjustment factor, 0-4, where 4=best and 0=worst</v>
      </c>
      <c r="S27">
        <v>0</v>
      </c>
    </row>
    <row r="28" spans="1:19">
      <c r="A28" s="8" t="s">
        <v>1026</v>
      </c>
      <c r="B28" s="8" t="s">
        <v>981</v>
      </c>
      <c r="C28" s="9">
        <v>1</v>
      </c>
      <c r="D28" s="8" t="s">
        <v>982</v>
      </c>
      <c r="E28" s="8">
        <v>0</v>
      </c>
      <c r="F28" s="8"/>
      <c r="G28" s="10">
        <f t="shared" si="0"/>
        <v>1</v>
      </c>
      <c r="H28" s="8" t="s">
        <v>1027</v>
      </c>
      <c r="I28" s="8"/>
      <c r="J28" s="8"/>
      <c r="K28" s="8"/>
      <c r="M28" s="14"/>
      <c r="O28" s="13"/>
      <c r="P28" s="13"/>
      <c r="Q28" s="8" t="str">
        <f>CONCATENATE(REPT("   ",C28-1),IF(C28=1,UPPER(H28),H28))</f>
        <v>DEPENDENT VARIABLES</v>
      </c>
      <c r="R28" s="8" t="str">
        <f>CONCATENATE(H28,", ",I28)</f>
        <v xml:space="preserve">Dependent variables, </v>
      </c>
    </row>
    <row r="29" spans="1:19">
      <c r="A29" s="7" t="s">
        <v>1028</v>
      </c>
      <c r="B29" s="7" t="s">
        <v>1026</v>
      </c>
      <c r="C29" s="10">
        <v>3</v>
      </c>
      <c r="D29" s="8" t="s">
        <v>991</v>
      </c>
      <c r="E29" s="8">
        <v>0</v>
      </c>
      <c r="F29" s="8">
        <v>1</v>
      </c>
      <c r="G29" s="10">
        <f t="shared" ref="G29:G39" si="3">IF(K29="GOOD",0,1)</f>
        <v>0</v>
      </c>
      <c r="H29" s="7" t="s">
        <v>334</v>
      </c>
      <c r="I29" s="8"/>
      <c r="J29" s="8"/>
      <c r="K29" s="7" t="s">
        <v>984</v>
      </c>
      <c r="L29" s="8"/>
      <c r="M29" s="12"/>
      <c r="N29" s="11"/>
      <c r="O29" s="15" t="s">
        <v>986</v>
      </c>
      <c r="P29" s="15">
        <v>1</v>
      </c>
      <c r="Q29" s="7" t="str">
        <f>CONCATENATE(REPT("   ",C29-1),IF(C29=1,UPPER(H29),H29))</f>
        <v xml:space="preserve">      EIU Transport and Power Infrastructure score</v>
      </c>
      <c r="R29" s="8"/>
    </row>
    <row r="30" spans="1:19">
      <c r="A30" s="7" t="s">
        <v>1029</v>
      </c>
      <c r="B30" s="7" t="s">
        <v>1026</v>
      </c>
      <c r="C30" s="10">
        <v>3</v>
      </c>
      <c r="D30" s="8" t="s">
        <v>991</v>
      </c>
      <c r="E30" s="8">
        <v>0</v>
      </c>
      <c r="F30" s="8">
        <v>1</v>
      </c>
      <c r="G30" s="10">
        <f t="shared" si="3"/>
        <v>0</v>
      </c>
      <c r="H30" s="7" t="s">
        <v>335</v>
      </c>
      <c r="I30" s="7"/>
      <c r="J30" s="7"/>
      <c r="K30" s="7" t="s">
        <v>984</v>
      </c>
      <c r="L30" s="7"/>
      <c r="M30" s="14"/>
      <c r="N30" s="21"/>
      <c r="O30" s="19" t="s">
        <v>357</v>
      </c>
      <c r="P30" s="15">
        <v>2</v>
      </c>
      <c r="Q30" s="7" t="str">
        <f t="shared" si="2"/>
        <v xml:space="preserve">      WEF Transport Infrastructure score</v>
      </c>
      <c r="R30" s="7" t="str">
        <f t="shared" si="1"/>
        <v xml:space="preserve">WEF Transport Infrastructure score, </v>
      </c>
    </row>
    <row r="31" spans="1:19">
      <c r="A31" s="7" t="s">
        <v>1030</v>
      </c>
      <c r="B31" s="7" t="s">
        <v>1026</v>
      </c>
      <c r="C31" s="10">
        <v>3</v>
      </c>
      <c r="D31" s="8" t="s">
        <v>991</v>
      </c>
      <c r="E31" s="8">
        <v>0</v>
      </c>
      <c r="F31" s="8">
        <v>1</v>
      </c>
      <c r="G31" s="10">
        <f t="shared" si="3"/>
        <v>0</v>
      </c>
      <c r="H31" s="7" t="s">
        <v>351</v>
      </c>
      <c r="I31" s="7" t="s">
        <v>350</v>
      </c>
      <c r="J31" s="8"/>
      <c r="K31" s="7" t="s">
        <v>984</v>
      </c>
      <c r="L31" s="8"/>
      <c r="M31" s="12"/>
      <c r="N31" s="11"/>
      <c r="O31" s="15" t="s">
        <v>986</v>
      </c>
      <c r="P31" s="15">
        <v>1</v>
      </c>
      <c r="Q31" s="7" t="str">
        <f t="shared" si="2"/>
        <v xml:space="preserve">      Domestic credit to private sector, 2008</v>
      </c>
      <c r="R31" s="8" t="str">
        <f t="shared" si="1"/>
        <v>Domestic credit to private sector, 2008, % of GDP</v>
      </c>
    </row>
    <row r="32" spans="1:19">
      <c r="A32" s="7" t="s">
        <v>1031</v>
      </c>
      <c r="B32" s="7" t="s">
        <v>1026</v>
      </c>
      <c r="C32" s="10">
        <v>3</v>
      </c>
      <c r="D32" s="8" t="s">
        <v>991</v>
      </c>
      <c r="E32" s="8">
        <v>0</v>
      </c>
      <c r="F32" s="8">
        <v>1</v>
      </c>
      <c r="G32" s="10">
        <f t="shared" si="3"/>
        <v>0</v>
      </c>
      <c r="H32" s="7" t="s">
        <v>352</v>
      </c>
      <c r="I32" s="7" t="s">
        <v>353</v>
      </c>
      <c r="J32" s="7"/>
      <c r="K32" s="7" t="s">
        <v>984</v>
      </c>
      <c r="L32" s="7"/>
      <c r="M32" s="14"/>
      <c r="N32" s="18"/>
      <c r="O32" s="19" t="s">
        <v>996</v>
      </c>
      <c r="P32" s="15">
        <v>0</v>
      </c>
      <c r="Q32" s="7" t="str">
        <f t="shared" si="2"/>
        <v xml:space="preserve">      Ease of doing business rank</v>
      </c>
      <c r="R32" s="7" t="str">
        <f t="shared" si="1"/>
        <v>Ease of doing business rank, 1=most business-friendly regulations</v>
      </c>
    </row>
    <row r="33" spans="1:18">
      <c r="A33" s="7" t="s">
        <v>337</v>
      </c>
      <c r="B33" s="7" t="s">
        <v>1026</v>
      </c>
      <c r="C33" s="10">
        <v>3</v>
      </c>
      <c r="D33" s="8" t="s">
        <v>991</v>
      </c>
      <c r="E33" s="8">
        <v>0</v>
      </c>
      <c r="F33" s="8">
        <v>1</v>
      </c>
      <c r="G33" s="10">
        <f t="shared" si="3"/>
        <v>0</v>
      </c>
      <c r="H33" s="7" t="s">
        <v>354</v>
      </c>
      <c r="I33" s="7" t="s">
        <v>344</v>
      </c>
      <c r="J33" s="7"/>
      <c r="K33" s="7" t="s">
        <v>984</v>
      </c>
      <c r="L33" s="7"/>
      <c r="M33" s="14"/>
      <c r="N33" s="18"/>
      <c r="O33" s="15" t="s">
        <v>358</v>
      </c>
      <c r="P33" s="15">
        <v>1</v>
      </c>
      <c r="Q33" s="7" t="str">
        <f t="shared" si="2"/>
        <v xml:space="preserve">      Nominal GDP , 2009</v>
      </c>
      <c r="R33" s="7" t="str">
        <f t="shared" si="1"/>
        <v>Nominal GDP , 2009, US$</v>
      </c>
    </row>
    <row r="34" spans="1:18">
      <c r="A34" s="7" t="s">
        <v>338</v>
      </c>
      <c r="B34" s="7" t="s">
        <v>1026</v>
      </c>
      <c r="C34" s="10">
        <v>3</v>
      </c>
      <c r="D34" s="8" t="s">
        <v>991</v>
      </c>
      <c r="E34" s="8">
        <v>0</v>
      </c>
      <c r="F34" s="8">
        <v>1</v>
      </c>
      <c r="G34" s="10">
        <f t="shared" si="3"/>
        <v>0</v>
      </c>
      <c r="H34" s="7" t="s">
        <v>355</v>
      </c>
      <c r="I34" s="7" t="s">
        <v>345</v>
      </c>
      <c r="J34" s="7"/>
      <c r="K34" s="7" t="s">
        <v>984</v>
      </c>
      <c r="L34" s="7"/>
      <c r="M34" s="14"/>
      <c r="N34" s="18"/>
      <c r="O34" s="15" t="s">
        <v>358</v>
      </c>
      <c r="P34" s="15">
        <v>1</v>
      </c>
      <c r="Q34" s="7" t="str">
        <f t="shared" si="2"/>
        <v xml:space="preserve">      GDP per capita (PPP), 2009</v>
      </c>
      <c r="R34" s="7" t="str">
        <f t="shared" si="1"/>
        <v>GDP per capita (PPP), 2009, US$ at PPP</v>
      </c>
    </row>
    <row r="35" spans="1:18">
      <c r="A35" s="7" t="s">
        <v>339</v>
      </c>
      <c r="B35" s="7" t="s">
        <v>1026</v>
      </c>
      <c r="C35" s="10">
        <v>3</v>
      </c>
      <c r="D35" s="8" t="s">
        <v>991</v>
      </c>
      <c r="E35" s="8">
        <v>0</v>
      </c>
      <c r="F35" s="8">
        <v>1</v>
      </c>
      <c r="G35" s="10">
        <f t="shared" si="3"/>
        <v>0</v>
      </c>
      <c r="H35" s="7" t="s">
        <v>356</v>
      </c>
      <c r="I35" s="7" t="s">
        <v>346</v>
      </c>
      <c r="J35" s="7"/>
      <c r="K35" s="7" t="s">
        <v>984</v>
      </c>
      <c r="L35" s="7"/>
      <c r="M35" s="14"/>
      <c r="N35" s="18"/>
      <c r="O35" s="15" t="s">
        <v>986</v>
      </c>
      <c r="P35" s="15">
        <v>1</v>
      </c>
      <c r="Q35" s="7" t="str">
        <f t="shared" si="2"/>
        <v xml:space="preserve">      Electricity, water and gas sector value (% GDP),  2008</v>
      </c>
      <c r="R35" s="7" t="str">
        <f t="shared" si="1"/>
        <v>Electricity, water and gas sector value (% GDP),  2008, % GDP</v>
      </c>
    </row>
    <row r="36" spans="1:18">
      <c r="A36" s="7" t="s">
        <v>340</v>
      </c>
      <c r="B36" s="7" t="s">
        <v>1026</v>
      </c>
      <c r="C36" s="10">
        <v>3</v>
      </c>
      <c r="D36" s="8" t="s">
        <v>991</v>
      </c>
      <c r="E36" s="8">
        <v>0</v>
      </c>
      <c r="F36" s="8">
        <v>1</v>
      </c>
      <c r="G36" s="10">
        <f t="shared" si="3"/>
        <v>0</v>
      </c>
      <c r="H36" s="7" t="s">
        <v>336</v>
      </c>
      <c r="I36" s="7" t="s">
        <v>346</v>
      </c>
      <c r="J36" s="8"/>
      <c r="K36" s="7" t="s">
        <v>984</v>
      </c>
      <c r="L36" s="8"/>
      <c r="M36" s="12"/>
      <c r="N36" s="11"/>
      <c r="O36" s="15" t="s">
        <v>986</v>
      </c>
      <c r="P36" s="15">
        <v>1</v>
      </c>
      <c r="Q36" s="7" t="str">
        <f t="shared" si="2"/>
        <v xml:space="preserve">      Transport, storage and communications sector value (% of GDP) in 2008</v>
      </c>
      <c r="R36" s="8" t="str">
        <f t="shared" si="1"/>
        <v>Transport, storage and communications sector value (% of GDP) in 2008, % GDP</v>
      </c>
    </row>
    <row r="37" spans="1:18">
      <c r="A37" s="7" t="s">
        <v>341</v>
      </c>
      <c r="B37" s="7" t="s">
        <v>1026</v>
      </c>
      <c r="C37" s="10">
        <v>3</v>
      </c>
      <c r="D37" s="8" t="s">
        <v>991</v>
      </c>
      <c r="E37" s="8">
        <v>0</v>
      </c>
      <c r="F37" s="8">
        <v>1</v>
      </c>
      <c r="G37" s="10">
        <f t="shared" si="3"/>
        <v>0</v>
      </c>
      <c r="H37" s="7" t="s">
        <v>360</v>
      </c>
      <c r="I37" s="7" t="s">
        <v>347</v>
      </c>
      <c r="J37" s="7"/>
      <c r="K37" s="7" t="s">
        <v>984</v>
      </c>
      <c r="L37" s="7"/>
      <c r="M37" s="14"/>
      <c r="N37" s="18"/>
      <c r="O37" s="15" t="s">
        <v>986</v>
      </c>
      <c r="P37" s="15">
        <v>1</v>
      </c>
      <c r="Q37" s="7" t="str">
        <f t="shared" si="2"/>
        <v xml:space="preserve">      Electric power production, 2007</v>
      </c>
      <c r="R37" s="7" t="str">
        <f t="shared" si="1"/>
        <v>Electric power production, 2007, kWh per capita</v>
      </c>
    </row>
    <row r="38" spans="1:18">
      <c r="A38" s="7" t="s">
        <v>342</v>
      </c>
      <c r="B38" s="7" t="s">
        <v>1026</v>
      </c>
      <c r="C38" s="10">
        <v>3</v>
      </c>
      <c r="D38" s="8" t="s">
        <v>991</v>
      </c>
      <c r="E38" s="8">
        <v>0</v>
      </c>
      <c r="F38" s="8">
        <v>1</v>
      </c>
      <c r="G38" s="10">
        <f t="shared" si="3"/>
        <v>0</v>
      </c>
      <c r="H38" s="7" t="s">
        <v>362</v>
      </c>
      <c r="I38" s="7" t="s">
        <v>348</v>
      </c>
      <c r="J38" s="7"/>
      <c r="K38" s="7" t="s">
        <v>984</v>
      </c>
      <c r="L38" s="7"/>
      <c r="M38" s="14"/>
      <c r="N38" s="18"/>
      <c r="O38" s="19" t="s">
        <v>996</v>
      </c>
      <c r="P38" s="15">
        <v>0</v>
      </c>
      <c r="Q38" s="7" t="str">
        <f t="shared" si="2"/>
        <v xml:space="preserve">      Improved water source, urban (% of urban population with access), 2006</v>
      </c>
      <c r="R38" s="7" t="str">
        <f t="shared" si="1"/>
        <v>Improved water source, urban (% of urban population with access), 2006, % of urban population with access</v>
      </c>
    </row>
    <row r="39" spans="1:18">
      <c r="A39" s="7" t="s">
        <v>343</v>
      </c>
      <c r="B39" s="7" t="s">
        <v>1026</v>
      </c>
      <c r="C39" s="10">
        <v>3</v>
      </c>
      <c r="D39" s="8" t="s">
        <v>991</v>
      </c>
      <c r="E39" s="8">
        <v>0</v>
      </c>
      <c r="F39" s="8">
        <v>1</v>
      </c>
      <c r="G39" s="10">
        <f t="shared" si="3"/>
        <v>0</v>
      </c>
      <c r="H39" s="7" t="s">
        <v>361</v>
      </c>
      <c r="I39" s="7" t="s">
        <v>349</v>
      </c>
      <c r="J39" s="7"/>
      <c r="K39" s="7" t="s">
        <v>984</v>
      </c>
      <c r="L39" s="7"/>
      <c r="M39" s="14"/>
      <c r="N39" s="18"/>
      <c r="O39" s="19" t="s">
        <v>996</v>
      </c>
      <c r="P39" s="15">
        <v>0</v>
      </c>
      <c r="Q39" s="7" t="str">
        <f t="shared" si="2"/>
        <v xml:space="preserve">      Improved water source, rural (% of rural population with access), 2006</v>
      </c>
      <c r="R39" s="7" t="str">
        <f t="shared" si="1"/>
        <v>Improved water source, rural (% of rural population with access), 2006, % of rural population with access</v>
      </c>
    </row>
  </sheetData>
  <phoneticPr fontId="0" type="noConversion"/>
  <pageMargins left="0.7" right="0.7" top="0.75" bottom="0.75" header="0.3" footer="0.3"/>
  <pageSetup paperSize="0" orientation="portrait" horizontalDpi="0" verticalDpi="0" copies="0"/>
</worksheet>
</file>

<file path=xl/worksheets/sheet8.xml><?xml version="1.0" encoding="utf-8"?>
<worksheet xmlns="http://schemas.openxmlformats.org/spreadsheetml/2006/main" xmlns:r="http://schemas.openxmlformats.org/officeDocument/2006/relationships">
  <sheetPr codeName="Sheet27"/>
  <dimension ref="M5:Q27"/>
  <sheetViews>
    <sheetView showGridLines="0" showRowColHeaders="0" tabSelected="1" topLeftCell="A26" workbookViewId="0">
      <selection activeCell="J40" sqref="J40"/>
    </sheetView>
  </sheetViews>
  <sheetFormatPr defaultRowHeight="12.75"/>
  <cols>
    <col min="1" max="1" width="3" style="66" customWidth="1"/>
    <col min="2" max="16384" width="9.140625" style="66"/>
  </cols>
  <sheetData>
    <row r="5" spans="13:13">
      <c r="M5" s="68"/>
    </row>
    <row r="27" spans="17:17">
      <c r="Q27" s="67"/>
    </row>
  </sheetData>
  <sheetProtection password="CD4E" sheet="1" objects="1" scenarios="1" selectLockedCells="1" selectUnlockedCells="1"/>
  <phoneticPr fontId="0" type="noConversion"/>
  <pageMargins left="0.7" right="0.7" top="0.75" bottom="0.75" header="0.3" footer="0.3"/>
  <pageSetup orientation="portrait" r:id="rId1"/>
  <headerFooter alignWithMargins="0"/>
  <drawing r:id="rId2"/>
</worksheet>
</file>

<file path=xl/worksheets/sheet9.xml><?xml version="1.0" encoding="utf-8"?>
<worksheet xmlns="http://schemas.openxmlformats.org/spreadsheetml/2006/main" xmlns:r="http://schemas.openxmlformats.org/officeDocument/2006/relationships">
  <sheetPr codeName="Sheet4"/>
  <dimension ref="A1:AJ23"/>
  <sheetViews>
    <sheetView showGridLines="0" showRowColHeaders="0" zoomScale="80" workbookViewId="0">
      <selection activeCell="J35" sqref="J35"/>
    </sheetView>
  </sheetViews>
  <sheetFormatPr defaultRowHeight="15"/>
  <cols>
    <col min="1" max="1" width="2" style="49" customWidth="1"/>
    <col min="2" max="2" width="2.28515625" style="49" customWidth="1"/>
    <col min="3" max="3" width="2.5703125" style="49" hidden="1" customWidth="1"/>
    <col min="4" max="4" width="4.140625" style="49" customWidth="1"/>
    <col min="5" max="5" width="15.5703125" style="49" customWidth="1"/>
    <col min="6" max="6" width="7.42578125" style="49" customWidth="1"/>
    <col min="7" max="7" width="3.28515625" style="49" customWidth="1"/>
    <col min="8" max="8" width="2.5703125" style="49" hidden="1" customWidth="1"/>
    <col min="9" max="9" width="4.140625" style="49" customWidth="1"/>
    <col min="10" max="10" width="15.5703125" style="49" customWidth="1"/>
    <col min="11" max="11" width="5.7109375" style="49" customWidth="1"/>
    <col min="12" max="12" width="3.28515625" style="49" customWidth="1"/>
    <col min="13" max="13" width="2.5703125" style="49" hidden="1" customWidth="1"/>
    <col min="14" max="14" width="3.85546875" style="49" customWidth="1"/>
    <col min="15" max="15" width="15.5703125" style="49" customWidth="1"/>
    <col min="16" max="16" width="5.28515625" style="49" customWidth="1"/>
    <col min="17" max="17" width="2.28515625" style="49" customWidth="1"/>
    <col min="18" max="18" width="2.5703125" style="49" hidden="1" customWidth="1"/>
    <col min="19" max="19" width="4" style="49" customWidth="1"/>
    <col min="20" max="20" width="15.5703125" style="49" customWidth="1"/>
    <col min="21" max="21" width="5.7109375" style="49" customWidth="1"/>
    <col min="22" max="22" width="3.42578125" style="49" customWidth="1"/>
    <col min="23" max="23" width="2.5703125" style="49" hidden="1" customWidth="1"/>
    <col min="24" max="24" width="3.7109375" style="49" customWidth="1"/>
    <col min="25" max="25" width="15.5703125" style="49" customWidth="1"/>
    <col min="26" max="26" width="6" style="49" customWidth="1"/>
    <col min="27" max="27" width="3.140625" style="49" customWidth="1"/>
    <col min="28" max="28" width="2.5703125" style="49" hidden="1" customWidth="1"/>
    <col min="29" max="29" width="4" style="49" customWidth="1"/>
    <col min="30" max="30" width="15.5703125" style="49" customWidth="1"/>
    <col min="31" max="31" width="6.42578125" style="49" customWidth="1"/>
    <col min="32" max="32" width="2.7109375" style="49" customWidth="1"/>
    <col min="33" max="33" width="0" style="49" hidden="1" customWidth="1"/>
    <col min="34" max="34" width="4.140625" style="49" customWidth="1"/>
    <col min="35" max="35" width="16" style="49" bestFit="1" customWidth="1"/>
    <col min="36" max="36" width="5.85546875" style="49" customWidth="1"/>
    <col min="37" max="16384" width="9.140625" style="49"/>
  </cols>
  <sheetData>
    <row r="1" spans="1:36" s="72" customFormat="1" ht="21.75" customHeight="1">
      <c r="A1" s="72" t="s">
        <v>1</v>
      </c>
      <c r="I1" s="205"/>
      <c r="J1" s="204" t="s">
        <v>828</v>
      </c>
      <c r="S1" s="180"/>
      <c r="T1" s="180" t="s">
        <v>834</v>
      </c>
    </row>
    <row r="3" spans="1:36">
      <c r="D3" s="188" t="str">
        <f>i_rank!AK7</f>
        <v>OVERALL SCORE</v>
      </c>
      <c r="E3" s="189"/>
      <c r="F3" s="190" t="s">
        <v>568</v>
      </c>
      <c r="I3" s="50" t="str">
        <f>i_rank!AZ7</f>
        <v>Regulatory framework</v>
      </c>
      <c r="J3" s="51"/>
      <c r="K3" s="51"/>
      <c r="M3" s="49">
        <f>i_rank!BN7</f>
        <v>0</v>
      </c>
      <c r="N3" s="50" t="str">
        <f>i_rank!BO7</f>
        <v>Institutional framework</v>
      </c>
      <c r="O3" s="51"/>
      <c r="P3" s="51"/>
      <c r="S3" s="50" t="str">
        <f>i_rank!CD7</f>
        <v>Operational maturity</v>
      </c>
      <c r="T3" s="51"/>
      <c r="U3" s="51"/>
      <c r="X3" s="50" t="str">
        <f>i_rank!CS7</f>
        <v>Investment climate</v>
      </c>
      <c r="Y3" s="51"/>
      <c r="Z3" s="51"/>
      <c r="AC3" s="50" t="str">
        <f>i_rank!DH7</f>
        <v>Financial facilities</v>
      </c>
      <c r="AD3" s="51"/>
      <c r="AE3" s="51"/>
      <c r="AH3" s="50" t="str">
        <f>i_rank!DW7</f>
        <v>Subnational adjustment</v>
      </c>
      <c r="AI3" s="51"/>
      <c r="AJ3" s="51"/>
    </row>
    <row r="4" spans="1:36">
      <c r="C4" s="49">
        <f ca="1">i_rank!AJ10</f>
        <v>1</v>
      </c>
      <c r="D4" s="52">
        <f ca="1">i_rank!AK10</f>
        <v>1</v>
      </c>
      <c r="E4" s="54" t="str">
        <f ca="1">i_rank!AL10</f>
        <v xml:space="preserve">Chile </v>
      </c>
      <c r="F4" s="53">
        <f ca="1">i_rank!AM10</f>
        <v>79.3</v>
      </c>
      <c r="H4" s="49">
        <f ca="1">i_rank!AY10</f>
        <v>1</v>
      </c>
      <c r="I4" s="52">
        <f ca="1">i_rank!AZ10</f>
        <v>1</v>
      </c>
      <c r="J4" s="54" t="str">
        <f ca="1">i_rank!BA10</f>
        <v xml:space="preserve">Chile </v>
      </c>
      <c r="K4" s="53">
        <f ca="1">i_rank!BB10</f>
        <v>84.4</v>
      </c>
      <c r="M4" s="49">
        <f ca="1">i_rank!BN10</f>
        <v>1</v>
      </c>
      <c r="N4" s="52" t="str">
        <f ca="1">i_rank!BO10</f>
        <v>=1</v>
      </c>
      <c r="O4" s="54" t="str">
        <f ca="1">i_rank!BP10</f>
        <v>Brazil</v>
      </c>
      <c r="P4" s="53">
        <f ca="1">i_rank!BQ10</f>
        <v>75</v>
      </c>
      <c r="R4" s="49">
        <f ca="1">i_rank!CC10</f>
        <v>1</v>
      </c>
      <c r="S4" s="52">
        <f ca="1">i_rank!CD10</f>
        <v>1</v>
      </c>
      <c r="T4" s="54" t="str">
        <f ca="1">i_rank!CE10</f>
        <v>Brazil</v>
      </c>
      <c r="U4" s="53">
        <f ca="1">i_rank!CF10</f>
        <v>87.5</v>
      </c>
      <c r="W4" s="49">
        <f ca="1">i_rank!CR10</f>
        <v>1</v>
      </c>
      <c r="X4" s="52">
        <f ca="1">i_rank!CS10</f>
        <v>1</v>
      </c>
      <c r="Y4" s="54" t="str">
        <f ca="1">i_rank!CT10</f>
        <v xml:space="preserve">Chile </v>
      </c>
      <c r="Z4" s="53">
        <f ca="1">i_rank!CU10</f>
        <v>85.4</v>
      </c>
      <c r="AB4" s="49">
        <f ca="1">i_rank!DG10</f>
        <v>1</v>
      </c>
      <c r="AC4" s="52">
        <f ca="1">i_rank!DH10</f>
        <v>1</v>
      </c>
      <c r="AD4" s="54" t="str">
        <f ca="1">i_rank!DI10</f>
        <v xml:space="preserve">Chile </v>
      </c>
      <c r="AE4" s="53">
        <f ca="1">i_rank!DJ10</f>
        <v>97.2</v>
      </c>
      <c r="AG4" s="49">
        <f ca="1">i_rank!DV10</f>
        <v>1</v>
      </c>
      <c r="AH4" s="52">
        <f ca="1">i_rank!DW10</f>
        <v>1</v>
      </c>
      <c r="AI4" s="54" t="str">
        <f ca="1">i_rank!DX10</f>
        <v>Brazil</v>
      </c>
      <c r="AJ4" s="53">
        <f ca="1">i_rank!DY10</f>
        <v>75</v>
      </c>
    </row>
    <row r="5" spans="1:36">
      <c r="C5" s="49">
        <f ca="1">i_rank!AJ11</f>
        <v>1</v>
      </c>
      <c r="D5" s="52">
        <f ca="1">i_rank!AK11</f>
        <v>2</v>
      </c>
      <c r="E5" s="54" t="str">
        <f ca="1">i_rank!AL11</f>
        <v>Brazil</v>
      </c>
      <c r="F5" s="53">
        <f ca="1">i_rank!AM11</f>
        <v>73.2</v>
      </c>
      <c r="H5" s="49">
        <f ca="1">i_rank!AY11</f>
        <v>1</v>
      </c>
      <c r="I5" s="52">
        <f ca="1">i_rank!AZ11</f>
        <v>2</v>
      </c>
      <c r="J5" s="54" t="str">
        <f ca="1">i_rank!BA11</f>
        <v>Peru</v>
      </c>
      <c r="K5" s="53">
        <f ca="1">i_rank!BB11</f>
        <v>75</v>
      </c>
      <c r="M5" s="49">
        <f ca="1">i_rank!BN11</f>
        <v>1</v>
      </c>
      <c r="N5" s="52" t="str">
        <f ca="1">i_rank!BO11</f>
        <v>=1</v>
      </c>
      <c r="O5" s="54" t="str">
        <f ca="1">i_rank!BP11</f>
        <v xml:space="preserve">Chile </v>
      </c>
      <c r="P5" s="53">
        <f ca="1">i_rank!BQ11</f>
        <v>75</v>
      </c>
      <c r="R5" s="49">
        <f ca="1">i_rank!CC11</f>
        <v>1</v>
      </c>
      <c r="S5" s="52">
        <f ca="1">i_rank!CD11</f>
        <v>2</v>
      </c>
      <c r="T5" s="54" t="str">
        <f ca="1">i_rank!CE11</f>
        <v xml:space="preserve">Chile </v>
      </c>
      <c r="U5" s="53">
        <f ca="1">i_rank!CF11</f>
        <v>72.2</v>
      </c>
      <c r="W5" s="49">
        <f ca="1">i_rank!CR11</f>
        <v>1</v>
      </c>
      <c r="X5" s="52">
        <f ca="1">i_rank!CS11</f>
        <v>2</v>
      </c>
      <c r="Y5" s="54" t="str">
        <f ca="1">i_rank!CT11</f>
        <v>Peru</v>
      </c>
      <c r="Z5" s="53">
        <f ca="1">i_rank!CU11</f>
        <v>75.2</v>
      </c>
      <c r="AB5" s="49">
        <f ca="1">i_rank!DG11</f>
        <v>1</v>
      </c>
      <c r="AC5" s="52" t="str">
        <f ca="1">i_rank!DH11</f>
        <v>=2</v>
      </c>
      <c r="AD5" s="54" t="str">
        <f ca="1">i_rank!DI11</f>
        <v>Brazil</v>
      </c>
      <c r="AE5" s="53">
        <f ca="1">i_rank!DJ11</f>
        <v>72.2</v>
      </c>
      <c r="AG5" s="49">
        <f ca="1">i_rank!DV11</f>
        <v>1</v>
      </c>
      <c r="AH5" s="52" t="str">
        <f ca="1">i_rank!DW11</f>
        <v>=2</v>
      </c>
      <c r="AI5" s="54" t="str">
        <f ca="1">i_rank!DX11</f>
        <v>Argentina</v>
      </c>
      <c r="AJ5" s="53">
        <f ca="1">i_rank!DY11</f>
        <v>50</v>
      </c>
    </row>
    <row r="6" spans="1:36">
      <c r="C6" s="49">
        <f ca="1">i_rank!AJ12</f>
        <v>1</v>
      </c>
      <c r="D6" s="52">
        <f ca="1">i_rank!AK12</f>
        <v>3</v>
      </c>
      <c r="E6" s="54" t="str">
        <f ca="1">i_rank!AL12</f>
        <v>Peru</v>
      </c>
      <c r="F6" s="53">
        <f ca="1">i_rank!AM12</f>
        <v>67.2</v>
      </c>
      <c r="H6" s="49">
        <f ca="1">i_rank!AY12</f>
        <v>1</v>
      </c>
      <c r="I6" s="52">
        <f ca="1">i_rank!AZ12</f>
        <v>3</v>
      </c>
      <c r="J6" s="54" t="str">
        <f ca="1">i_rank!BA12</f>
        <v>Brazil</v>
      </c>
      <c r="K6" s="53">
        <f ca="1">i_rank!BB12</f>
        <v>71.900000000000006</v>
      </c>
      <c r="M6" s="49">
        <f ca="1">i_rank!BN12</f>
        <v>1</v>
      </c>
      <c r="N6" s="52" t="str">
        <f ca="1">i_rank!BO12</f>
        <v>=1</v>
      </c>
      <c r="O6" s="54" t="str">
        <f ca="1">i_rank!BP12</f>
        <v>Peru</v>
      </c>
      <c r="P6" s="53">
        <f ca="1">i_rank!BQ12</f>
        <v>75</v>
      </c>
      <c r="R6" s="49">
        <f ca="1">i_rank!CC12</f>
        <v>1</v>
      </c>
      <c r="S6" s="52">
        <f ca="1">i_rank!CD12</f>
        <v>3</v>
      </c>
      <c r="T6" s="54" t="str">
        <f ca="1">i_rank!CE12</f>
        <v>Mexico</v>
      </c>
      <c r="U6" s="53">
        <f ca="1">i_rank!CF12</f>
        <v>54</v>
      </c>
      <c r="W6" s="49">
        <f ca="1">i_rank!CR12</f>
        <v>1</v>
      </c>
      <c r="X6" s="52">
        <f ca="1">i_rank!CS12</f>
        <v>3</v>
      </c>
      <c r="Y6" s="54" t="str">
        <f ca="1">i_rank!CT12</f>
        <v>Colombia</v>
      </c>
      <c r="Z6" s="53">
        <f ca="1">i_rank!CU12</f>
        <v>72.400000000000006</v>
      </c>
      <c r="AB6" s="49">
        <f ca="1">i_rank!DG12</f>
        <v>1</v>
      </c>
      <c r="AC6" s="52" t="str">
        <f ca="1">i_rank!DH12</f>
        <v>=2</v>
      </c>
      <c r="AD6" s="54" t="str">
        <f ca="1">i_rank!DI12</f>
        <v>Mexico</v>
      </c>
      <c r="AE6" s="53">
        <f ca="1">i_rank!DJ12</f>
        <v>72.2</v>
      </c>
      <c r="AG6" s="49">
        <f ca="1">i_rank!DV12</f>
        <v>1</v>
      </c>
      <c r="AH6" s="52" t="str">
        <f ca="1">i_rank!DW12</f>
        <v>=2</v>
      </c>
      <c r="AI6" s="54" t="str">
        <f ca="1">i_rank!DX12</f>
        <v xml:space="preserve">Chile </v>
      </c>
      <c r="AJ6" s="53">
        <f ca="1">i_rank!DY12</f>
        <v>50</v>
      </c>
    </row>
    <row r="7" spans="1:36">
      <c r="C7" s="49">
        <f ca="1">i_rank!AJ13</f>
        <v>1</v>
      </c>
      <c r="D7" s="52">
        <f ca="1">i_rank!AK13</f>
        <v>4</v>
      </c>
      <c r="E7" s="54" t="str">
        <f ca="1">i_rank!AL13</f>
        <v>Mexico</v>
      </c>
      <c r="F7" s="53">
        <f ca="1">i_rank!AM13</f>
        <v>58.1</v>
      </c>
      <c r="H7" s="49">
        <f ca="1">i_rank!AY13</f>
        <v>1</v>
      </c>
      <c r="I7" s="52">
        <f ca="1">i_rank!AZ13</f>
        <v>4</v>
      </c>
      <c r="J7" s="54" t="str">
        <f ca="1">i_rank!BA13</f>
        <v>Mexico</v>
      </c>
      <c r="K7" s="53">
        <f ca="1">i_rank!BB13</f>
        <v>56.3</v>
      </c>
      <c r="M7" s="49">
        <f ca="1">i_rank!BN13</f>
        <v>1</v>
      </c>
      <c r="N7" s="52">
        <f ca="1">i_rank!BO13</f>
        <v>4</v>
      </c>
      <c r="O7" s="54" t="str">
        <f ca="1">i_rank!BP13</f>
        <v>Mexico</v>
      </c>
      <c r="P7" s="53">
        <f ca="1">i_rank!BQ13</f>
        <v>58.3</v>
      </c>
      <c r="R7" s="49">
        <f ca="1">i_rank!CC13</f>
        <v>1</v>
      </c>
      <c r="S7" s="52">
        <f ca="1">i_rank!CD13</f>
        <v>4</v>
      </c>
      <c r="T7" s="54" t="str">
        <f ca="1">i_rank!CE13</f>
        <v>Peru</v>
      </c>
      <c r="U7" s="53">
        <f ca="1">i_rank!CF13</f>
        <v>53.6</v>
      </c>
      <c r="W7" s="49">
        <f ca="1">i_rank!CR13</f>
        <v>1</v>
      </c>
      <c r="X7" s="52">
        <f ca="1">i_rank!CS13</f>
        <v>4</v>
      </c>
      <c r="Y7" s="54" t="str">
        <f ca="1">i_rank!CT13</f>
        <v>Brazil</v>
      </c>
      <c r="Z7" s="53">
        <f ca="1">i_rank!CU13</f>
        <v>58.8</v>
      </c>
      <c r="AB7" s="49">
        <f ca="1">i_rank!DG13</f>
        <v>1</v>
      </c>
      <c r="AC7" s="52">
        <f ca="1">i_rank!DH13</f>
        <v>4</v>
      </c>
      <c r="AD7" s="54" t="str">
        <f ca="1">i_rank!DI13</f>
        <v>Panama</v>
      </c>
      <c r="AE7" s="53">
        <f ca="1">i_rank!DJ13</f>
        <v>63.9</v>
      </c>
      <c r="AG7" s="49">
        <f ca="1">i_rank!DV13</f>
        <v>1</v>
      </c>
      <c r="AH7" s="52" t="str">
        <f ca="1">i_rank!DW13</f>
        <v>=2</v>
      </c>
      <c r="AI7" s="54" t="str">
        <f ca="1">i_rank!DX13</f>
        <v>Colombia</v>
      </c>
      <c r="AJ7" s="53">
        <f ca="1">i_rank!DY13</f>
        <v>50</v>
      </c>
    </row>
    <row r="8" spans="1:36">
      <c r="C8" s="49">
        <f ca="1">i_rank!AJ14</f>
        <v>1</v>
      </c>
      <c r="D8" s="52">
        <f ca="1">i_rank!AK14</f>
        <v>5</v>
      </c>
      <c r="E8" s="54" t="str">
        <f ca="1">i_rank!AL14</f>
        <v>Colombia</v>
      </c>
      <c r="F8" s="53">
        <f ca="1">i_rank!AM14</f>
        <v>53.7</v>
      </c>
      <c r="H8" s="49">
        <f ca="1">i_rank!AY14</f>
        <v>1</v>
      </c>
      <c r="I8" s="52">
        <f ca="1">i_rank!AZ14</f>
        <v>5</v>
      </c>
      <c r="J8" s="54" t="str">
        <f ca="1">i_rank!BA14</f>
        <v>Guatemala</v>
      </c>
      <c r="K8" s="53">
        <f ca="1">i_rank!BB14</f>
        <v>53.1</v>
      </c>
      <c r="M8" s="49">
        <f ca="1">i_rank!BN14</f>
        <v>1</v>
      </c>
      <c r="N8" s="52" t="str">
        <f ca="1">i_rank!BO14</f>
        <v>=5</v>
      </c>
      <c r="O8" s="54" t="str">
        <f ca="1">i_rank!BP14</f>
        <v>Colombia</v>
      </c>
      <c r="P8" s="53">
        <f ca="1">i_rank!BQ14</f>
        <v>50</v>
      </c>
      <c r="R8" s="49">
        <f ca="1">i_rank!CC14</f>
        <v>1</v>
      </c>
      <c r="S8" s="52">
        <f ca="1">i_rank!CD14</f>
        <v>5</v>
      </c>
      <c r="T8" s="54" t="str">
        <f ca="1">i_rank!CE14</f>
        <v>Colombia</v>
      </c>
      <c r="U8" s="53">
        <f ca="1">i_rank!CF14</f>
        <v>46.7</v>
      </c>
      <c r="W8" s="49">
        <f ca="1">i_rank!CR14</f>
        <v>1</v>
      </c>
      <c r="X8" s="52">
        <f ca="1">i_rank!CS14</f>
        <v>5</v>
      </c>
      <c r="Y8" s="54" t="str">
        <f ca="1">i_rank!CT14</f>
        <v>Panama</v>
      </c>
      <c r="Z8" s="53">
        <f ca="1">i_rank!CU14</f>
        <v>58.1</v>
      </c>
      <c r="AB8" s="49">
        <f ca="1">i_rank!DG14</f>
        <v>1</v>
      </c>
      <c r="AC8" s="52">
        <f ca="1">i_rank!DH14</f>
        <v>5</v>
      </c>
      <c r="AD8" s="54" t="str">
        <f ca="1">i_rank!DI14</f>
        <v>Peru</v>
      </c>
      <c r="AE8" s="53">
        <f ca="1">i_rank!DJ14</f>
        <v>61.1</v>
      </c>
      <c r="AG8" s="49">
        <f ca="1">i_rank!DV14</f>
        <v>1</v>
      </c>
      <c r="AH8" s="52" t="str">
        <f ca="1">i_rank!DW14</f>
        <v>=2</v>
      </c>
      <c r="AI8" s="54" t="str">
        <f ca="1">i_rank!DX14</f>
        <v>Mexico</v>
      </c>
      <c r="AJ8" s="53">
        <f ca="1">i_rank!DY14</f>
        <v>50</v>
      </c>
    </row>
    <row r="9" spans="1:36">
      <c r="C9" s="49">
        <f ca="1">i_rank!AJ15</f>
        <v>1</v>
      </c>
      <c r="D9" s="52">
        <f ca="1">i_rank!AK15</f>
        <v>6</v>
      </c>
      <c r="E9" s="54" t="str">
        <f ca="1">i_rank!AL15</f>
        <v>Guatemala</v>
      </c>
      <c r="F9" s="53">
        <f ca="1">i_rank!AM15</f>
        <v>42.4</v>
      </c>
      <c r="H9" s="49">
        <f ca="1">i_rank!AY15</f>
        <v>1</v>
      </c>
      <c r="I9" s="52">
        <f ca="1">i_rank!AZ15</f>
        <v>6</v>
      </c>
      <c r="J9" s="54" t="str">
        <f ca="1">i_rank!BA15</f>
        <v>Colombia</v>
      </c>
      <c r="K9" s="53">
        <f ca="1">i_rank!BB15</f>
        <v>50</v>
      </c>
      <c r="M9" s="49">
        <f ca="1">i_rank!BN15</f>
        <v>1</v>
      </c>
      <c r="N9" s="52" t="str">
        <f ca="1">i_rank!BO15</f>
        <v>=5</v>
      </c>
      <c r="O9" s="54" t="str">
        <f ca="1">i_rank!BP15</f>
        <v>Guatemala</v>
      </c>
      <c r="P9" s="53">
        <f ca="1">i_rank!BQ15</f>
        <v>50</v>
      </c>
      <c r="R9" s="49">
        <f ca="1">i_rank!CC15</f>
        <v>1</v>
      </c>
      <c r="S9" s="52">
        <f ca="1">i_rank!CD15</f>
        <v>6</v>
      </c>
      <c r="T9" s="54" t="str">
        <f ca="1">i_rank!CE15</f>
        <v>Costa Rica</v>
      </c>
      <c r="U9" s="53">
        <f ca="1">i_rank!CF15</f>
        <v>42.1</v>
      </c>
      <c r="W9" s="49">
        <f ca="1">i_rank!CR15</f>
        <v>1</v>
      </c>
      <c r="X9" s="52">
        <f ca="1">i_rank!CS15</f>
        <v>6</v>
      </c>
      <c r="Y9" s="54" t="str">
        <f ca="1">i_rank!CT15</f>
        <v>Mexico</v>
      </c>
      <c r="Z9" s="53">
        <f ca="1">i_rank!CU15</f>
        <v>56.1</v>
      </c>
      <c r="AB9" s="49">
        <f ca="1">i_rank!DG15</f>
        <v>1</v>
      </c>
      <c r="AC9" s="52">
        <f ca="1">i_rank!DH15</f>
        <v>6</v>
      </c>
      <c r="AD9" s="54" t="str">
        <f ca="1">i_rank!DI15</f>
        <v>Trinidad &amp; Tobago</v>
      </c>
      <c r="AE9" s="53">
        <f ca="1">i_rank!DJ15</f>
        <v>58.3</v>
      </c>
      <c r="AG9" s="49">
        <f ca="1">i_rank!DV15</f>
        <v>1</v>
      </c>
      <c r="AH9" s="52" t="str">
        <f ca="1">i_rank!DW15</f>
        <v>=2</v>
      </c>
      <c r="AI9" s="54" t="str">
        <f ca="1">i_rank!DX15</f>
        <v>Peru</v>
      </c>
      <c r="AJ9" s="53">
        <f ca="1">i_rank!DY15</f>
        <v>50</v>
      </c>
    </row>
    <row r="10" spans="1:36">
      <c r="C10" s="49">
        <f ca="1">i_rank!AJ16</f>
        <v>1</v>
      </c>
      <c r="D10" s="52">
        <f ca="1">i_rank!AK16</f>
        <v>7</v>
      </c>
      <c r="E10" s="54" t="str">
        <f ca="1">i_rank!AL16</f>
        <v>Panama</v>
      </c>
      <c r="F10" s="53">
        <f ca="1">i_rank!AM16</f>
        <v>34.6</v>
      </c>
      <c r="H10" s="49">
        <f ca="1">i_rank!AY16</f>
        <v>1</v>
      </c>
      <c r="I10" s="52">
        <f ca="1">i_rank!AZ16</f>
        <v>7</v>
      </c>
      <c r="J10" s="54" t="str">
        <f ca="1">i_rank!BA16</f>
        <v>Panama</v>
      </c>
      <c r="K10" s="53">
        <f ca="1">i_rank!BB16</f>
        <v>37.5</v>
      </c>
      <c r="M10" s="49">
        <f ca="1">i_rank!BN16</f>
        <v>1</v>
      </c>
      <c r="N10" s="52" t="str">
        <f ca="1">i_rank!BO16</f>
        <v>=7</v>
      </c>
      <c r="O10" s="54" t="str">
        <f ca="1">i_rank!BP16</f>
        <v>Argentina</v>
      </c>
      <c r="P10" s="53">
        <f ca="1">i_rank!BQ16</f>
        <v>33.299999999999997</v>
      </c>
      <c r="R10" s="49">
        <f ca="1">i_rank!CC16</f>
        <v>1</v>
      </c>
      <c r="S10" s="52">
        <f ca="1">i_rank!CD16</f>
        <v>7</v>
      </c>
      <c r="T10" s="54" t="str">
        <f ca="1">i_rank!CE16</f>
        <v>Guatemala</v>
      </c>
      <c r="U10" s="53">
        <f ca="1">i_rank!CF16</f>
        <v>35.4</v>
      </c>
      <c r="W10" s="49">
        <f ca="1">i_rank!CR16</f>
        <v>1</v>
      </c>
      <c r="X10" s="52">
        <f ca="1">i_rank!CS16</f>
        <v>7</v>
      </c>
      <c r="Y10" s="54" t="str">
        <f ca="1">i_rank!CT16</f>
        <v>Guatemala</v>
      </c>
      <c r="Z10" s="53">
        <f ca="1">i_rank!CU16</f>
        <v>52.9</v>
      </c>
      <c r="AB10" s="49">
        <f ca="1">i_rank!DG16</f>
        <v>1</v>
      </c>
      <c r="AC10" s="52">
        <f ca="1">i_rank!DH16</f>
        <v>7</v>
      </c>
      <c r="AD10" s="54" t="str">
        <f ca="1">i_rank!DI16</f>
        <v>Colombia</v>
      </c>
      <c r="AE10" s="53">
        <f ca="1">i_rank!DJ16</f>
        <v>55.6</v>
      </c>
      <c r="AG10" s="49">
        <f ca="1">i_rank!DV16</f>
        <v>1</v>
      </c>
      <c r="AH10" s="52" t="str">
        <f ca="1">i_rank!DW16</f>
        <v>=7</v>
      </c>
      <c r="AI10" s="54" t="str">
        <f ca="1">i_rank!DX16</f>
        <v>Dominican Rep.</v>
      </c>
      <c r="AJ10" s="53">
        <f ca="1">i_rank!DY16</f>
        <v>25</v>
      </c>
    </row>
    <row r="11" spans="1:36">
      <c r="C11" s="49">
        <f ca="1">i_rank!AJ17</f>
        <v>1</v>
      </c>
      <c r="D11" s="52">
        <f ca="1">i_rank!AK17</f>
        <v>8</v>
      </c>
      <c r="E11" s="54" t="str">
        <f ca="1">i_rank!AL17</f>
        <v>Costa Rica</v>
      </c>
      <c r="F11" s="53">
        <f ca="1">i_rank!AM17</f>
        <v>32.299999999999997</v>
      </c>
      <c r="H11" s="49">
        <f ca="1">i_rank!AY17</f>
        <v>1</v>
      </c>
      <c r="I11" s="52" t="str">
        <f ca="1">i_rank!AZ17</f>
        <v>=8</v>
      </c>
      <c r="J11" s="54" t="str">
        <f ca="1">i_rank!BA17</f>
        <v>Costa Rica</v>
      </c>
      <c r="K11" s="53">
        <f ca="1">i_rank!BB17</f>
        <v>34.4</v>
      </c>
      <c r="M11" s="49">
        <f ca="1">i_rank!BN17</f>
        <v>1</v>
      </c>
      <c r="N11" s="52" t="str">
        <f ca="1">i_rank!BO17</f>
        <v>=7</v>
      </c>
      <c r="O11" s="54" t="str">
        <f ca="1">i_rank!BP17</f>
        <v>El Salvador</v>
      </c>
      <c r="P11" s="53">
        <f ca="1">i_rank!BQ17</f>
        <v>33.299999999999997</v>
      </c>
      <c r="R11" s="49">
        <f ca="1">i_rank!CC17</f>
        <v>1</v>
      </c>
      <c r="S11" s="52">
        <f ca="1">i_rank!CD17</f>
        <v>8</v>
      </c>
      <c r="T11" s="54" t="str">
        <f ca="1">i_rank!CE17</f>
        <v>Honduras</v>
      </c>
      <c r="U11" s="53">
        <f ca="1">i_rank!CF17</f>
        <v>35.1</v>
      </c>
      <c r="W11" s="49">
        <f ca="1">i_rank!CR17</f>
        <v>1</v>
      </c>
      <c r="X11" s="52">
        <f ca="1">i_rank!CS17</f>
        <v>8</v>
      </c>
      <c r="Y11" s="54" t="str">
        <f ca="1">i_rank!CT17</f>
        <v>Dominican Rep.</v>
      </c>
      <c r="Z11" s="53">
        <f ca="1">i_rank!CU17</f>
        <v>49.1</v>
      </c>
      <c r="AB11" s="49">
        <f ca="1">i_rank!DG17</f>
        <v>1</v>
      </c>
      <c r="AC11" s="52">
        <f ca="1">i_rank!DH17</f>
        <v>8</v>
      </c>
      <c r="AD11" s="54" t="str">
        <f ca="1">i_rank!DI17</f>
        <v>El Salvador</v>
      </c>
      <c r="AE11" s="53">
        <f ca="1">i_rank!DJ17</f>
        <v>47.2</v>
      </c>
      <c r="AG11" s="49">
        <f ca="1">i_rank!DV17</f>
        <v>1</v>
      </c>
      <c r="AH11" s="52" t="str">
        <f ca="1">i_rank!DW17</f>
        <v>=7</v>
      </c>
      <c r="AI11" s="54" t="str">
        <f ca="1">i_rank!DX17</f>
        <v>Ecuador</v>
      </c>
      <c r="AJ11" s="53">
        <f ca="1">i_rank!DY17</f>
        <v>25</v>
      </c>
    </row>
    <row r="12" spans="1:36">
      <c r="C12" s="49">
        <f ca="1">i_rank!AJ18</f>
        <v>1</v>
      </c>
      <c r="D12" s="52">
        <f ca="1">i_rank!AK18</f>
        <v>9</v>
      </c>
      <c r="E12" s="54" t="str">
        <f ca="1">i_rank!AL18</f>
        <v>Uruguay</v>
      </c>
      <c r="F12" s="53">
        <f ca="1">i_rank!AM18</f>
        <v>31.8</v>
      </c>
      <c r="H12" s="49">
        <f ca="1">i_rank!AY18</f>
        <v>1</v>
      </c>
      <c r="I12" s="52" t="str">
        <f ca="1">i_rank!AZ18</f>
        <v>=8</v>
      </c>
      <c r="J12" s="54" t="str">
        <f ca="1">i_rank!BA18</f>
        <v>Uruguay</v>
      </c>
      <c r="K12" s="53">
        <f ca="1">i_rank!BB18</f>
        <v>34.4</v>
      </c>
      <c r="M12" s="49">
        <f ca="1">i_rank!BN18</f>
        <v>1</v>
      </c>
      <c r="N12" s="52" t="str">
        <f ca="1">i_rank!BO18</f>
        <v>=7</v>
      </c>
      <c r="O12" s="54" t="str">
        <f ca="1">i_rank!BP18</f>
        <v>Honduras</v>
      </c>
      <c r="P12" s="53">
        <f ca="1">i_rank!BQ18</f>
        <v>33.299999999999997</v>
      </c>
      <c r="R12" s="49">
        <f ca="1">i_rank!CC18</f>
        <v>1</v>
      </c>
      <c r="S12" s="52">
        <f ca="1">i_rank!CD18</f>
        <v>9</v>
      </c>
      <c r="T12" s="54" t="str">
        <f ca="1">i_rank!CE18</f>
        <v>Ecuador</v>
      </c>
      <c r="U12" s="53">
        <f ca="1">i_rank!CF18</f>
        <v>33</v>
      </c>
      <c r="W12" s="49">
        <f ca="1">i_rank!CR18</f>
        <v>1</v>
      </c>
      <c r="X12" s="52">
        <f ca="1">i_rank!CS18</f>
        <v>9</v>
      </c>
      <c r="Y12" s="54" t="str">
        <f ca="1">i_rank!CT18</f>
        <v>Honduras</v>
      </c>
      <c r="Z12" s="53">
        <f ca="1">i_rank!CU18</f>
        <v>47.1</v>
      </c>
      <c r="AB12" s="49">
        <f ca="1">i_rank!DG18</f>
        <v>1</v>
      </c>
      <c r="AC12" s="52">
        <f ca="1">i_rank!DH18</f>
        <v>9</v>
      </c>
      <c r="AD12" s="54" t="str">
        <f ca="1">i_rank!DI18</f>
        <v>Costa Rica</v>
      </c>
      <c r="AE12" s="53">
        <f ca="1">i_rank!DJ18</f>
        <v>41.7</v>
      </c>
      <c r="AG12" s="49">
        <f ca="1">i_rank!DV18</f>
        <v>1</v>
      </c>
      <c r="AH12" s="52" t="str">
        <f ca="1">i_rank!DW18</f>
        <v>=7</v>
      </c>
      <c r="AI12" s="54" t="str">
        <f ca="1">i_rank!DX18</f>
        <v>Guatemala</v>
      </c>
      <c r="AJ12" s="53">
        <f ca="1">i_rank!DY18</f>
        <v>25</v>
      </c>
    </row>
    <row r="13" spans="1:36">
      <c r="C13" s="49">
        <f ca="1">i_rank!AJ19</f>
        <v>1</v>
      </c>
      <c r="D13" s="52">
        <f ca="1">i_rank!AK19</f>
        <v>10</v>
      </c>
      <c r="E13" s="54" t="str">
        <f ca="1">i_rank!AL19</f>
        <v>El Salvador</v>
      </c>
      <c r="F13" s="53">
        <f ca="1">i_rank!AM19</f>
        <v>30.6</v>
      </c>
      <c r="H13" s="49">
        <f ca="1">i_rank!AY19</f>
        <v>1</v>
      </c>
      <c r="I13" s="52">
        <f ca="1">i_rank!AZ19</f>
        <v>10</v>
      </c>
      <c r="J13" s="54" t="str">
        <f ca="1">i_rank!BA19</f>
        <v>El Salvador</v>
      </c>
      <c r="K13" s="53">
        <f ca="1">i_rank!BB19</f>
        <v>28.1</v>
      </c>
      <c r="M13" s="49">
        <f ca="1">i_rank!BN19</f>
        <v>1</v>
      </c>
      <c r="N13" s="52" t="str">
        <f ca="1">i_rank!BO19</f>
        <v>=7</v>
      </c>
      <c r="O13" s="54" t="str">
        <f ca="1">i_rank!BP19</f>
        <v>Uruguay</v>
      </c>
      <c r="P13" s="53">
        <f ca="1">i_rank!BQ19</f>
        <v>33.299999999999997</v>
      </c>
      <c r="R13" s="49">
        <f ca="1">i_rank!CC19</f>
        <v>1</v>
      </c>
      <c r="S13" s="52">
        <f ca="1">i_rank!CD19</f>
        <v>10</v>
      </c>
      <c r="T13" s="54" t="str">
        <f ca="1">i_rank!CE19</f>
        <v>Jamaica</v>
      </c>
      <c r="U13" s="53">
        <f ca="1">i_rank!CF19</f>
        <v>25.3</v>
      </c>
      <c r="W13" s="49">
        <f ca="1">i_rank!CR19</f>
        <v>1</v>
      </c>
      <c r="X13" s="52">
        <f ca="1">i_rank!CS19</f>
        <v>10</v>
      </c>
      <c r="Y13" s="54" t="str">
        <f ca="1">i_rank!CT19</f>
        <v>Uruguay</v>
      </c>
      <c r="Z13" s="53">
        <f ca="1">i_rank!CU19</f>
        <v>43.7</v>
      </c>
      <c r="AB13" s="49">
        <f ca="1">i_rank!DG19</f>
        <v>1</v>
      </c>
      <c r="AC13" s="52">
        <f ca="1">i_rank!DH19</f>
        <v>10</v>
      </c>
      <c r="AD13" s="54" t="str">
        <f ca="1">i_rank!DI19</f>
        <v>Argentina</v>
      </c>
      <c r="AE13" s="53">
        <f ca="1">i_rank!DJ19</f>
        <v>33.299999999999997</v>
      </c>
      <c r="AG13" s="49">
        <f ca="1">i_rank!DV19</f>
        <v>1</v>
      </c>
      <c r="AH13" s="52" t="str">
        <f ca="1">i_rank!DW19</f>
        <v>=7</v>
      </c>
      <c r="AI13" s="54" t="str">
        <f ca="1">i_rank!DX19</f>
        <v>Jamaica</v>
      </c>
      <c r="AJ13" s="53">
        <f ca="1">i_rank!DY19</f>
        <v>25</v>
      </c>
    </row>
    <row r="14" spans="1:36">
      <c r="C14" s="49">
        <f ca="1">i_rank!AJ20</f>
        <v>1</v>
      </c>
      <c r="D14" s="52">
        <f ca="1">i_rank!AK20</f>
        <v>11</v>
      </c>
      <c r="E14" s="54" t="str">
        <f ca="1">i_rank!AL20</f>
        <v>Trinidad &amp; Tobago</v>
      </c>
      <c r="F14" s="53">
        <f ca="1">i_rank!AM20</f>
        <v>29.9</v>
      </c>
      <c r="H14" s="49">
        <f ca="1">i_rank!AY20</f>
        <v>1</v>
      </c>
      <c r="I14" s="52" t="str">
        <f ca="1">i_rank!AZ20</f>
        <v>=11</v>
      </c>
      <c r="J14" s="54" t="str">
        <f ca="1">i_rank!BA20</f>
        <v>Jamaica</v>
      </c>
      <c r="K14" s="53">
        <f ca="1">i_rank!BB20</f>
        <v>25</v>
      </c>
      <c r="M14" s="49">
        <f ca="1">i_rank!BN20</f>
        <v>1</v>
      </c>
      <c r="N14" s="52" t="str">
        <f ca="1">i_rank!BO20</f>
        <v>=11</v>
      </c>
      <c r="O14" s="54" t="str">
        <f ca="1">i_rank!BP20</f>
        <v>Costa Rica</v>
      </c>
      <c r="P14" s="53">
        <f ca="1">i_rank!BQ20</f>
        <v>25</v>
      </c>
      <c r="R14" s="49">
        <f ca="1">i_rank!CC20</f>
        <v>1</v>
      </c>
      <c r="S14" s="52">
        <f ca="1">i_rank!CD20</f>
        <v>11</v>
      </c>
      <c r="T14" s="54" t="str">
        <f ca="1">i_rank!CE20</f>
        <v>El Salvador</v>
      </c>
      <c r="U14" s="53">
        <f ca="1">i_rank!CF20</f>
        <v>25.1</v>
      </c>
      <c r="W14" s="49">
        <f ca="1">i_rank!CR20</f>
        <v>1</v>
      </c>
      <c r="X14" s="52">
        <f ca="1">i_rank!CS20</f>
        <v>11</v>
      </c>
      <c r="Y14" s="54" t="str">
        <f ca="1">i_rank!CT20</f>
        <v>Costa Rica</v>
      </c>
      <c r="Z14" s="53">
        <f ca="1">i_rank!CU20</f>
        <v>40.700000000000003</v>
      </c>
      <c r="AB14" s="49">
        <f ca="1">i_rank!DG20</f>
        <v>1</v>
      </c>
      <c r="AC14" s="52" t="str">
        <f ca="1">i_rank!DH20</f>
        <v>=11</v>
      </c>
      <c r="AD14" s="54" t="str">
        <f ca="1">i_rank!DI20</f>
        <v>Dominican Rep.</v>
      </c>
      <c r="AE14" s="53">
        <f ca="1">i_rank!DJ20</f>
        <v>30.6</v>
      </c>
      <c r="AG14" s="49">
        <f ca="1">i_rank!DV20</f>
        <v>1</v>
      </c>
      <c r="AH14" s="52" t="str">
        <f ca="1">i_rank!DW20</f>
        <v>=7</v>
      </c>
      <c r="AI14" s="54" t="str">
        <f ca="1">i_rank!DX20</f>
        <v>Paraguay</v>
      </c>
      <c r="AJ14" s="53">
        <f ca="1">i_rank!DY20</f>
        <v>25</v>
      </c>
    </row>
    <row r="15" spans="1:36">
      <c r="C15" s="49">
        <f ca="1">i_rank!AJ21</f>
        <v>1</v>
      </c>
      <c r="D15" s="52">
        <f ca="1">i_rank!AK21</f>
        <v>12</v>
      </c>
      <c r="E15" s="54" t="str">
        <f ca="1">i_rank!AL21</f>
        <v>Argentina</v>
      </c>
      <c r="F15" s="53">
        <f ca="1">i_rank!AM21</f>
        <v>27.5</v>
      </c>
      <c r="H15" s="49">
        <f ca="1">i_rank!AY21</f>
        <v>1</v>
      </c>
      <c r="I15" s="52" t="str">
        <f ca="1">i_rank!AZ21</f>
        <v>=11</v>
      </c>
      <c r="J15" s="54" t="str">
        <f ca="1">i_rank!BA21</f>
        <v>Paraguay</v>
      </c>
      <c r="K15" s="53">
        <f ca="1">i_rank!BB21</f>
        <v>25</v>
      </c>
      <c r="M15" s="49">
        <f ca="1">i_rank!BN21</f>
        <v>1</v>
      </c>
      <c r="N15" s="52" t="str">
        <f ca="1">i_rank!BO21</f>
        <v>=11</v>
      </c>
      <c r="O15" s="54" t="str">
        <f ca="1">i_rank!BP21</f>
        <v>Jamaica</v>
      </c>
      <c r="P15" s="53">
        <f ca="1">i_rank!BQ21</f>
        <v>25</v>
      </c>
      <c r="R15" s="49">
        <f ca="1">i_rank!CC21</f>
        <v>1</v>
      </c>
      <c r="S15" s="52">
        <f ca="1">i_rank!CD21</f>
        <v>12</v>
      </c>
      <c r="T15" s="54" t="str">
        <f ca="1">i_rank!CE21</f>
        <v>Uruguay</v>
      </c>
      <c r="U15" s="53">
        <f ca="1">i_rank!CF21</f>
        <v>19.3</v>
      </c>
      <c r="W15" s="49">
        <f ca="1">i_rank!CR21</f>
        <v>1</v>
      </c>
      <c r="X15" s="52">
        <f ca="1">i_rank!CS21</f>
        <v>12</v>
      </c>
      <c r="Y15" s="54" t="str">
        <f ca="1">i_rank!CT21</f>
        <v>El Salvador</v>
      </c>
      <c r="Z15" s="53">
        <f ca="1">i_rank!CU21</f>
        <v>40.299999999999997</v>
      </c>
      <c r="AB15" s="49">
        <f ca="1">i_rank!DG21</f>
        <v>1</v>
      </c>
      <c r="AC15" s="52" t="str">
        <f ca="1">i_rank!DH21</f>
        <v>=11</v>
      </c>
      <c r="AD15" s="54" t="str">
        <f ca="1">i_rank!DI21</f>
        <v>Uruguay</v>
      </c>
      <c r="AE15" s="53">
        <f ca="1">i_rank!DJ21</f>
        <v>30.6</v>
      </c>
      <c r="AG15" s="49">
        <f ca="1">i_rank!DV21</f>
        <v>1</v>
      </c>
      <c r="AH15" s="52" t="str">
        <f ca="1">i_rank!DW21</f>
        <v>=7</v>
      </c>
      <c r="AI15" s="54" t="str">
        <f ca="1">i_rank!DX21</f>
        <v>Trinidad &amp; Tobago</v>
      </c>
      <c r="AJ15" s="53">
        <f ca="1">i_rank!DY21</f>
        <v>25</v>
      </c>
    </row>
    <row r="16" spans="1:36">
      <c r="C16" s="49">
        <f ca="1">i_rank!AJ22</f>
        <v>1</v>
      </c>
      <c r="D16" s="52">
        <f ca="1">i_rank!AK22</f>
        <v>13</v>
      </c>
      <c r="E16" s="54" t="str">
        <f ca="1">i_rank!AL22</f>
        <v>Jamaica</v>
      </c>
      <c r="F16" s="53">
        <f ca="1">i_rank!AM22</f>
        <v>25.4</v>
      </c>
      <c r="H16" s="49">
        <f ca="1">i_rank!AY22</f>
        <v>1</v>
      </c>
      <c r="I16" s="52" t="str">
        <f ca="1">i_rank!AZ22</f>
        <v>=11</v>
      </c>
      <c r="J16" s="54" t="str">
        <f ca="1">i_rank!BA22</f>
        <v>Trinidad &amp; Tobago</v>
      </c>
      <c r="K16" s="53">
        <f ca="1">i_rank!BB22</f>
        <v>25</v>
      </c>
      <c r="M16" s="49">
        <f ca="1">i_rank!BN22</f>
        <v>1</v>
      </c>
      <c r="N16" s="52" t="str">
        <f ca="1">i_rank!BO22</f>
        <v>=11</v>
      </c>
      <c r="O16" s="54" t="str">
        <f ca="1">i_rank!BP22</f>
        <v>Nicaragua</v>
      </c>
      <c r="P16" s="53">
        <f ca="1">i_rank!BQ22</f>
        <v>25</v>
      </c>
      <c r="R16" s="49">
        <f ca="1">i_rank!CC22</f>
        <v>1</v>
      </c>
      <c r="S16" s="52">
        <f ca="1">i_rank!CD22</f>
        <v>13</v>
      </c>
      <c r="T16" s="54" t="str">
        <f ca="1">i_rank!CE22</f>
        <v>Argentina</v>
      </c>
      <c r="U16" s="53">
        <f ca="1">i_rank!CF22</f>
        <v>16.7</v>
      </c>
      <c r="W16" s="49">
        <f ca="1">i_rank!CR22</f>
        <v>1</v>
      </c>
      <c r="X16" s="52">
        <f ca="1">i_rank!CS22</f>
        <v>13</v>
      </c>
      <c r="Y16" s="54" t="str">
        <f ca="1">i_rank!CT22</f>
        <v>Trinidad &amp; Tobago</v>
      </c>
      <c r="Z16" s="53">
        <f ca="1">i_rank!CU22</f>
        <v>39.9</v>
      </c>
      <c r="AB16" s="49">
        <f ca="1">i_rank!DG22</f>
        <v>1</v>
      </c>
      <c r="AC16" s="52">
        <f ca="1">i_rank!DH22</f>
        <v>13</v>
      </c>
      <c r="AD16" s="54" t="str">
        <f ca="1">i_rank!DI22</f>
        <v>Paraguay</v>
      </c>
      <c r="AE16" s="53">
        <f ca="1">i_rank!DJ22</f>
        <v>25</v>
      </c>
      <c r="AG16" s="49">
        <f ca="1">i_rank!DV22</f>
        <v>1</v>
      </c>
      <c r="AH16" s="52" t="str">
        <f ca="1">i_rank!DW22</f>
        <v>=7</v>
      </c>
      <c r="AI16" s="54" t="str">
        <f ca="1">i_rank!DX22</f>
        <v>Uruguay</v>
      </c>
      <c r="AJ16" s="53">
        <f ca="1">i_rank!DY22</f>
        <v>25</v>
      </c>
    </row>
    <row r="17" spans="3:36">
      <c r="C17" s="49">
        <f ca="1">i_rank!AJ23</f>
        <v>1</v>
      </c>
      <c r="D17" s="52">
        <f ca="1">i_rank!AK23</f>
        <v>14</v>
      </c>
      <c r="E17" s="54" t="str">
        <f ca="1">i_rank!AL23</f>
        <v>Honduras</v>
      </c>
      <c r="F17" s="53">
        <f ca="1">i_rank!AM23</f>
        <v>24.6</v>
      </c>
      <c r="H17" s="49">
        <f ca="1">i_rank!AY23</f>
        <v>1</v>
      </c>
      <c r="I17" s="52" t="str">
        <f ca="1">i_rank!AZ23</f>
        <v>=14</v>
      </c>
      <c r="J17" s="54" t="str">
        <f ca="1">i_rank!BA23</f>
        <v>Argentina</v>
      </c>
      <c r="K17" s="53">
        <f ca="1">i_rank!BB23</f>
        <v>21.9</v>
      </c>
      <c r="M17" s="49">
        <f ca="1">i_rank!BN23</f>
        <v>1</v>
      </c>
      <c r="N17" s="52" t="str">
        <f ca="1">i_rank!BO23</f>
        <v>=11</v>
      </c>
      <c r="O17" s="54" t="str">
        <f ca="1">i_rank!BP23</f>
        <v>Panama</v>
      </c>
      <c r="P17" s="53">
        <f ca="1">i_rank!BQ23</f>
        <v>25</v>
      </c>
      <c r="R17" s="49">
        <f ca="1">i_rank!CC23</f>
        <v>1</v>
      </c>
      <c r="S17" s="52">
        <f ca="1">i_rank!CD23</f>
        <v>14</v>
      </c>
      <c r="T17" s="54" t="str">
        <f ca="1">i_rank!CE23</f>
        <v>Paraguay</v>
      </c>
      <c r="U17" s="53">
        <f ca="1">i_rank!CF23</f>
        <v>15.6</v>
      </c>
      <c r="W17" s="49">
        <f ca="1">i_rank!CR23</f>
        <v>1</v>
      </c>
      <c r="X17" s="52">
        <f ca="1">i_rank!CS23</f>
        <v>14</v>
      </c>
      <c r="Y17" s="54" t="str">
        <f ca="1">i_rank!CT23</f>
        <v>Jamaica</v>
      </c>
      <c r="Z17" s="53">
        <f ca="1">i_rank!CU23</f>
        <v>35.9</v>
      </c>
      <c r="AB17" s="49">
        <f ca="1">i_rank!DG23</f>
        <v>1</v>
      </c>
      <c r="AC17" s="52">
        <f ca="1">i_rank!DH23</f>
        <v>14</v>
      </c>
      <c r="AD17" s="54" t="str">
        <f ca="1">i_rank!DI23</f>
        <v>Guatemala</v>
      </c>
      <c r="AE17" s="53">
        <f ca="1">i_rank!DJ23</f>
        <v>22.2</v>
      </c>
      <c r="AG17" s="49">
        <f ca="1">i_rank!DV23</f>
        <v>1</v>
      </c>
      <c r="AH17" s="52" t="str">
        <f ca="1">i_rank!DW23</f>
        <v>=14</v>
      </c>
      <c r="AI17" s="54" t="str">
        <f ca="1">i_rank!DX23</f>
        <v>Costa Rica</v>
      </c>
      <c r="AJ17" s="53">
        <f ca="1">i_rank!DY23</f>
        <v>0</v>
      </c>
    </row>
    <row r="18" spans="3:36">
      <c r="C18" s="49">
        <f ca="1">i_rank!AJ24</f>
        <v>1</v>
      </c>
      <c r="D18" s="52">
        <f ca="1">i_rank!AK24</f>
        <v>15</v>
      </c>
      <c r="E18" s="54" t="str">
        <f ca="1">i_rank!AL24</f>
        <v>Paraguay</v>
      </c>
      <c r="F18" s="53">
        <f ca="1">i_rank!AM24</f>
        <v>24.5</v>
      </c>
      <c r="H18" s="49">
        <f ca="1">i_rank!AY24</f>
        <v>1</v>
      </c>
      <c r="I18" s="52" t="str">
        <f ca="1">i_rank!AZ24</f>
        <v>=14</v>
      </c>
      <c r="J18" s="54" t="str">
        <f ca="1">i_rank!BA24</f>
        <v>Dominican Rep.</v>
      </c>
      <c r="K18" s="53">
        <f ca="1">i_rank!BB24</f>
        <v>21.9</v>
      </c>
      <c r="M18" s="49">
        <f ca="1">i_rank!BN24</f>
        <v>1</v>
      </c>
      <c r="N18" s="52" t="str">
        <f ca="1">i_rank!BO24</f>
        <v>=11</v>
      </c>
      <c r="O18" s="54" t="str">
        <f ca="1">i_rank!BP24</f>
        <v>Paraguay</v>
      </c>
      <c r="P18" s="53">
        <f ca="1">i_rank!BQ24</f>
        <v>25</v>
      </c>
      <c r="R18" s="49">
        <f ca="1">i_rank!CC24</f>
        <v>1</v>
      </c>
      <c r="S18" s="52">
        <f ca="1">i_rank!CD24</f>
        <v>15</v>
      </c>
      <c r="T18" s="54" t="str">
        <f ca="1">i_rank!CE24</f>
        <v>Dominican Rep.</v>
      </c>
      <c r="U18" s="53">
        <f ca="1">i_rank!CF24</f>
        <v>14</v>
      </c>
      <c r="W18" s="49">
        <f ca="1">i_rank!CR24</f>
        <v>1</v>
      </c>
      <c r="X18" s="52">
        <f ca="1">i_rank!CS24</f>
        <v>15</v>
      </c>
      <c r="Y18" s="54" t="str">
        <f ca="1">i_rank!CT24</f>
        <v>Paraguay</v>
      </c>
      <c r="Z18" s="53">
        <f ca="1">i_rank!CU24</f>
        <v>31.4</v>
      </c>
      <c r="AB18" s="49">
        <f ca="1">i_rank!DG24</f>
        <v>1</v>
      </c>
      <c r="AC18" s="52" t="str">
        <f ca="1">i_rank!DH24</f>
        <v>=15</v>
      </c>
      <c r="AD18" s="54" t="str">
        <f ca="1">i_rank!DI24</f>
        <v>Ecuador</v>
      </c>
      <c r="AE18" s="53">
        <f ca="1">i_rank!DJ24</f>
        <v>16.7</v>
      </c>
      <c r="AG18" s="49">
        <f ca="1">i_rank!DV24</f>
        <v>1</v>
      </c>
      <c r="AH18" s="52" t="str">
        <f ca="1">i_rank!DW24</f>
        <v>=14</v>
      </c>
      <c r="AI18" s="54" t="str">
        <f ca="1">i_rank!DX24</f>
        <v>El Salvador</v>
      </c>
      <c r="AJ18" s="53">
        <f ca="1">i_rank!DY24</f>
        <v>0</v>
      </c>
    </row>
    <row r="19" spans="3:36">
      <c r="C19" s="49">
        <f ca="1">i_rank!AJ25</f>
        <v>1</v>
      </c>
      <c r="D19" s="52">
        <f ca="1">i_rank!AK25</f>
        <v>16</v>
      </c>
      <c r="E19" s="54" t="str">
        <f ca="1">i_rank!AL25</f>
        <v>Dominican Rep.</v>
      </c>
      <c r="F19" s="53">
        <f ca="1">i_rank!AM25</f>
        <v>23.7</v>
      </c>
      <c r="H19" s="49">
        <f ca="1">i_rank!AY25</f>
        <v>1</v>
      </c>
      <c r="I19" s="52" t="str">
        <f ca="1">i_rank!AZ25</f>
        <v>=14</v>
      </c>
      <c r="J19" s="54" t="str">
        <f ca="1">i_rank!BA25</f>
        <v>Nicaragua</v>
      </c>
      <c r="K19" s="53">
        <f ca="1">i_rank!BB25</f>
        <v>21.9</v>
      </c>
      <c r="M19" s="49">
        <f ca="1">i_rank!BN25</f>
        <v>1</v>
      </c>
      <c r="N19" s="52" t="str">
        <f ca="1">i_rank!BO25</f>
        <v>=11</v>
      </c>
      <c r="O19" s="54" t="str">
        <f ca="1">i_rank!BP25</f>
        <v>Trinidad &amp; Tobago</v>
      </c>
      <c r="P19" s="53">
        <f ca="1">i_rank!BQ25</f>
        <v>25</v>
      </c>
      <c r="R19" s="49">
        <f ca="1">i_rank!CC25</f>
        <v>1</v>
      </c>
      <c r="S19" s="52" t="str">
        <f ca="1">i_rank!CD25</f>
        <v>=16</v>
      </c>
      <c r="T19" s="54" t="str">
        <f ca="1">i_rank!CE25</f>
        <v>Nicaragua</v>
      </c>
      <c r="U19" s="53">
        <f ca="1">i_rank!CF25</f>
        <v>13.1</v>
      </c>
      <c r="W19" s="49">
        <f ca="1">i_rank!CR25</f>
        <v>1</v>
      </c>
      <c r="X19" s="52">
        <f ca="1">i_rank!CS25</f>
        <v>16</v>
      </c>
      <c r="Y19" s="54" t="str">
        <f ca="1">i_rank!CT25</f>
        <v>Argentina</v>
      </c>
      <c r="Z19" s="53">
        <f ca="1">i_rank!CU25</f>
        <v>19</v>
      </c>
      <c r="AB19" s="49">
        <f ca="1">i_rank!DG25</f>
        <v>1</v>
      </c>
      <c r="AC19" s="52" t="str">
        <f ca="1">i_rank!DH25</f>
        <v>=15</v>
      </c>
      <c r="AD19" s="54" t="str">
        <f ca="1">i_rank!DI25</f>
        <v>Jamaica</v>
      </c>
      <c r="AE19" s="53">
        <f ca="1">i_rank!DJ25</f>
        <v>16.7</v>
      </c>
      <c r="AG19" s="49">
        <f ca="1">i_rank!DV25</f>
        <v>1</v>
      </c>
      <c r="AH19" s="52" t="str">
        <f ca="1">i_rank!DW25</f>
        <v>=14</v>
      </c>
      <c r="AI19" s="54" t="str">
        <f ca="1">i_rank!DX25</f>
        <v>Honduras</v>
      </c>
      <c r="AJ19" s="53">
        <f ca="1">i_rank!DY25</f>
        <v>0</v>
      </c>
    </row>
    <row r="20" spans="3:36">
      <c r="C20" s="49">
        <f ca="1">i_rank!AJ26</f>
        <v>1</v>
      </c>
      <c r="D20" s="52">
        <f ca="1">i_rank!AK26</f>
        <v>17</v>
      </c>
      <c r="E20" s="54" t="str">
        <f ca="1">i_rank!AL26</f>
        <v>Nicaragua</v>
      </c>
      <c r="F20" s="53">
        <f ca="1">i_rank!AM26</f>
        <v>16</v>
      </c>
      <c r="H20" s="49">
        <f ca="1">i_rank!AY26</f>
        <v>1</v>
      </c>
      <c r="I20" s="52">
        <f ca="1">i_rank!AZ26</f>
        <v>17</v>
      </c>
      <c r="J20" s="54" t="str">
        <f ca="1">i_rank!BA26</f>
        <v>Honduras</v>
      </c>
      <c r="K20" s="53">
        <f ca="1">i_rank!BB26</f>
        <v>15.6</v>
      </c>
      <c r="M20" s="49">
        <f ca="1">i_rank!BN26</f>
        <v>1</v>
      </c>
      <c r="N20" s="52">
        <f ca="1">i_rank!BO26</f>
        <v>17</v>
      </c>
      <c r="O20" s="54" t="str">
        <f ca="1">i_rank!BP26</f>
        <v>Dominican Rep.</v>
      </c>
      <c r="P20" s="53">
        <f ca="1">i_rank!BQ26</f>
        <v>8.3000000000000007</v>
      </c>
      <c r="R20" s="49">
        <f ca="1">i_rank!CC26</f>
        <v>1</v>
      </c>
      <c r="S20" s="52" t="str">
        <f ca="1">i_rank!CD26</f>
        <v>=16</v>
      </c>
      <c r="T20" s="54" t="str">
        <f ca="1">i_rank!CE26</f>
        <v>Panama</v>
      </c>
      <c r="U20" s="53">
        <f ca="1">i_rank!CF26</f>
        <v>13.1</v>
      </c>
      <c r="W20" s="49">
        <f ca="1">i_rank!CR26</f>
        <v>1</v>
      </c>
      <c r="X20" s="52">
        <f ca="1">i_rank!CS26</f>
        <v>17</v>
      </c>
      <c r="Y20" s="54" t="str">
        <f ca="1">i_rank!CT26</f>
        <v>Ecuador</v>
      </c>
      <c r="Z20" s="53">
        <f ca="1">i_rank!CU26</f>
        <v>17.899999999999999</v>
      </c>
      <c r="AB20" s="49">
        <f ca="1">i_rank!DG26</f>
        <v>1</v>
      </c>
      <c r="AC20" s="52" t="str">
        <f ca="1">i_rank!DH26</f>
        <v>=15</v>
      </c>
      <c r="AD20" s="54" t="str">
        <f ca="1">i_rank!DI26</f>
        <v>Venezuela</v>
      </c>
      <c r="AE20" s="53">
        <f ca="1">i_rank!DJ26</f>
        <v>16.7</v>
      </c>
      <c r="AG20" s="49">
        <f ca="1">i_rank!DV26</f>
        <v>1</v>
      </c>
      <c r="AH20" s="52" t="str">
        <f ca="1">i_rank!DW26</f>
        <v>=14</v>
      </c>
      <c r="AI20" s="54" t="str">
        <f ca="1">i_rank!DX26</f>
        <v>Nicaragua</v>
      </c>
      <c r="AJ20" s="53">
        <f ca="1">i_rank!DY26</f>
        <v>0</v>
      </c>
    </row>
    <row r="21" spans="3:36">
      <c r="C21" s="49">
        <f ca="1">i_rank!AJ27</f>
        <v>1</v>
      </c>
      <c r="D21" s="52">
        <f ca="1">i_rank!AK27</f>
        <v>18</v>
      </c>
      <c r="E21" s="54" t="str">
        <f ca="1">i_rank!AL27</f>
        <v>Ecuador</v>
      </c>
      <c r="F21" s="53">
        <f ca="1">i_rank!AM27</f>
        <v>14.2</v>
      </c>
      <c r="H21" s="49">
        <f ca="1">i_rank!AY27</f>
        <v>1</v>
      </c>
      <c r="I21" s="52">
        <f ca="1">i_rank!AZ27</f>
        <v>18</v>
      </c>
      <c r="J21" s="54" t="str">
        <f ca="1">i_rank!BA27</f>
        <v>Ecuador</v>
      </c>
      <c r="K21" s="53">
        <f ca="1">i_rank!BB27</f>
        <v>6.3</v>
      </c>
      <c r="M21" s="49">
        <f ca="1">i_rank!BN27</f>
        <v>1</v>
      </c>
      <c r="N21" s="52" t="str">
        <f ca="1">i_rank!BO27</f>
        <v>=18</v>
      </c>
      <c r="O21" s="54" t="str">
        <f ca="1">i_rank!BP27</f>
        <v>Ecuador</v>
      </c>
      <c r="P21" s="53">
        <f ca="1">i_rank!BQ27</f>
        <v>0</v>
      </c>
      <c r="R21" s="49">
        <f ca="1">i_rank!CC27</f>
        <v>1</v>
      </c>
      <c r="S21" s="52">
        <f ca="1">i_rank!CD27</f>
        <v>18</v>
      </c>
      <c r="T21" s="54" t="str">
        <f ca="1">i_rank!CE27</f>
        <v>Trinidad &amp; Tobago</v>
      </c>
      <c r="U21" s="53">
        <f ca="1">i_rank!CF27</f>
        <v>9.5</v>
      </c>
      <c r="W21" s="49">
        <f ca="1">i_rank!CR27</f>
        <v>1</v>
      </c>
      <c r="X21" s="52">
        <f ca="1">i_rank!CS27</f>
        <v>18</v>
      </c>
      <c r="Y21" s="54" t="str">
        <f ca="1">i_rank!CT27</f>
        <v>Nicaragua</v>
      </c>
      <c r="Z21" s="53">
        <f ca="1">i_rank!CU27</f>
        <v>15.6</v>
      </c>
      <c r="AB21" s="49">
        <f ca="1">i_rank!DG27</f>
        <v>1</v>
      </c>
      <c r="AC21" s="52">
        <f ca="1">i_rank!DH27</f>
        <v>18</v>
      </c>
      <c r="AD21" s="54" t="str">
        <f ca="1">i_rank!DI27</f>
        <v>Honduras</v>
      </c>
      <c r="AE21" s="53">
        <f ca="1">i_rank!DJ27</f>
        <v>11.1</v>
      </c>
      <c r="AG21" s="49">
        <f ca="1">i_rank!DV27</f>
        <v>1</v>
      </c>
      <c r="AH21" s="52" t="str">
        <f ca="1">i_rank!DW27</f>
        <v>=14</v>
      </c>
      <c r="AI21" s="54" t="str">
        <f ca="1">i_rank!DX27</f>
        <v>Panama</v>
      </c>
      <c r="AJ21" s="53">
        <f ca="1">i_rank!DY27</f>
        <v>0</v>
      </c>
    </row>
    <row r="22" spans="3:36">
      <c r="C22" s="49">
        <f ca="1">i_rank!AJ28</f>
        <v>1</v>
      </c>
      <c r="D22" s="52">
        <f ca="1">i_rank!AK28</f>
        <v>19</v>
      </c>
      <c r="E22" s="54" t="str">
        <f ca="1">i_rank!AL28</f>
        <v>Venezuela</v>
      </c>
      <c r="F22" s="53">
        <f ca="1">i_rank!AM28</f>
        <v>4.2</v>
      </c>
      <c r="H22" s="49">
        <f ca="1">i_rank!AY28</f>
        <v>1</v>
      </c>
      <c r="I22" s="52">
        <f ca="1">i_rank!AZ28</f>
        <v>19</v>
      </c>
      <c r="J22" s="54" t="str">
        <f ca="1">i_rank!BA28</f>
        <v>Venezuela</v>
      </c>
      <c r="K22" s="53">
        <f ca="1">i_rank!BB28</f>
        <v>0</v>
      </c>
      <c r="M22" s="49">
        <f ca="1">i_rank!BN28</f>
        <v>1</v>
      </c>
      <c r="N22" s="52" t="str">
        <f ca="1">i_rank!BO28</f>
        <v>=18</v>
      </c>
      <c r="O22" s="54" t="str">
        <f ca="1">i_rank!BP28</f>
        <v>Venezuela</v>
      </c>
      <c r="P22" s="53">
        <f ca="1">i_rank!BQ28</f>
        <v>0</v>
      </c>
      <c r="R22" s="49">
        <f ca="1">i_rank!CC28</f>
        <v>1</v>
      </c>
      <c r="S22" s="52">
        <f ca="1">i_rank!CD28</f>
        <v>19</v>
      </c>
      <c r="T22" s="54" t="str">
        <f ca="1">i_rank!CE28</f>
        <v>Venezuela</v>
      </c>
      <c r="U22" s="53">
        <f ca="1">i_rank!CF28</f>
        <v>0.6</v>
      </c>
      <c r="W22" s="49">
        <f ca="1">i_rank!CR28</f>
        <v>1</v>
      </c>
      <c r="X22" s="52">
        <f ca="1">i_rank!CS28</f>
        <v>19</v>
      </c>
      <c r="Y22" s="54" t="str">
        <f ca="1">i_rank!CT28</f>
        <v>Venezuela</v>
      </c>
      <c r="Z22" s="53">
        <f ca="1">i_rank!CU28</f>
        <v>10.5</v>
      </c>
      <c r="AB22" s="49">
        <f ca="1">i_rank!DG28</f>
        <v>1</v>
      </c>
      <c r="AC22" s="52">
        <f ca="1">i_rank!DH28</f>
        <v>19</v>
      </c>
      <c r="AD22" s="54" t="str">
        <f ca="1">i_rank!DI28</f>
        <v>Nicaragua</v>
      </c>
      <c r="AE22" s="53">
        <f ca="1">i_rank!DJ28</f>
        <v>8.3000000000000007</v>
      </c>
      <c r="AG22" s="49">
        <f ca="1">i_rank!DV28</f>
        <v>1</v>
      </c>
      <c r="AH22" s="52" t="str">
        <f ca="1">i_rank!DW28</f>
        <v>=14</v>
      </c>
      <c r="AI22" s="54" t="str">
        <f ca="1">i_rank!DX28</f>
        <v>Venezuela</v>
      </c>
      <c r="AJ22" s="53">
        <f ca="1">i_rank!DY28</f>
        <v>0</v>
      </c>
    </row>
    <row r="23" spans="3:36" ht="23.25" customHeight="1"/>
  </sheetData>
  <sheetProtection password="CD4E" sheet="1" objects="1" scenarios="1" selectLockedCells="1" selectUnlockedCells="1"/>
  <phoneticPr fontId="0" type="noConversion"/>
  <conditionalFormatting sqref="D4:D22 I4:I22 N4:N22 S4:S22 X4:X22 AC4:AC22 AH4:AH22">
    <cfRule type="expression" dxfId="37" priority="2" stopIfTrue="1">
      <formula>C4=3</formula>
    </cfRule>
    <cfRule type="expression" dxfId="36" priority="3" stopIfTrue="1">
      <formula>C4=2</formula>
    </cfRule>
  </conditionalFormatting>
  <conditionalFormatting sqref="F4:F22 K4:K22 P4:P22 U4:U22 Z4:Z22 AE4:AE22 AJ4:AJ22">
    <cfRule type="expression" dxfId="35" priority="5" stopIfTrue="1">
      <formula>C4=3</formula>
    </cfRule>
    <cfRule type="expression" dxfId="34" priority="6" stopIfTrue="1">
      <formula>C4=2</formula>
    </cfRule>
  </conditionalFormatting>
  <conditionalFormatting sqref="E4:E22 J4:J22 O4:O22 T4:T22 Y4:Y22 AD4:AD22 AI4:AI22">
    <cfRule type="expression" dxfId="33" priority="8" stopIfTrue="1">
      <formula>C4=3</formula>
    </cfRule>
    <cfRule type="expression" dxfId="32" priority="9" stopIfTrue="1">
      <formula>C4=2</formula>
    </cfRule>
  </conditionalFormatting>
  <conditionalFormatting sqref="E4:E22 J4:J22 O4:O22 T4:T22 Y4:Y22 AD4:AD22 AI4:AI22">
    <cfRule type="expression" dxfId="31" priority="10" stopIfTrue="1">
      <formula>C4=3</formula>
    </cfRule>
  </conditionalFormatting>
  <pageMargins left="0.7" right="0.7" top="0.75" bottom="0.75" header="0.3" footer="0.3"/>
  <pageSetup paperSize="0" orientation="portrait" horizontalDpi="0" verticalDpi="0" copie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13</vt:i4>
      </vt:variant>
    </vt:vector>
  </HeadingPairs>
  <TitlesOfParts>
    <vt:vector size="43" baseType="lpstr">
      <vt:lpstr>uxbWorks</vt:lpstr>
      <vt:lpstr>tblSections</vt:lpstr>
      <vt:lpstr>tblCountries</vt:lpstr>
      <vt:lpstr>i_rank</vt:lpstr>
      <vt:lpstr>i_rankYOY_2</vt:lpstr>
      <vt:lpstr>i_rankYOY</vt:lpstr>
      <vt:lpstr>tblIndicators</vt:lpstr>
      <vt:lpstr>Cover</vt:lpstr>
      <vt:lpstr>Rankings 2010</vt:lpstr>
      <vt:lpstr>YoYScoreChange_consistent</vt:lpstr>
      <vt:lpstr>IndicatorRanking</vt:lpstr>
      <vt:lpstr>iCP</vt:lpstr>
      <vt:lpstr>CountryProfile</vt:lpstr>
      <vt:lpstr>CountryCompare</vt:lpstr>
      <vt:lpstr>i_scatter</vt:lpstr>
      <vt:lpstr>Scatter</vt:lpstr>
      <vt:lpstr>Weights</vt:lpstr>
      <vt:lpstr>YoYScoreChange_Raw</vt:lpstr>
      <vt:lpstr>Data2010</vt:lpstr>
      <vt:lpstr>Scores2009</vt:lpstr>
      <vt:lpstr>Text2009</vt:lpstr>
      <vt:lpstr>Data2009</vt:lpstr>
      <vt:lpstr>Scores2008</vt:lpstr>
      <vt:lpstr>Text2008</vt:lpstr>
      <vt:lpstr>Scores2009_YOY</vt:lpstr>
      <vt:lpstr>Scores2008_YOY</vt:lpstr>
      <vt:lpstr>YoY</vt:lpstr>
      <vt:lpstr>YoY_1</vt:lpstr>
      <vt:lpstr>CountryProfile_2</vt:lpstr>
      <vt:lpstr>uxbWeights</vt:lpstr>
      <vt:lpstr>data_2008</vt:lpstr>
      <vt:lpstr>data_2009</vt:lpstr>
      <vt:lpstr>lu_countries</vt:lpstr>
      <vt:lpstr>lu_CountryStatus</vt:lpstr>
      <vt:lpstr>lu_RegionHighlight</vt:lpstr>
      <vt:lpstr>score2009_indi</vt:lpstr>
      <vt:lpstr>scores_2008</vt:lpstr>
      <vt:lpstr>scores_2009</vt:lpstr>
      <vt:lpstr>scores2008_yoy</vt:lpstr>
      <vt:lpstr>scores2009_yoy</vt:lpstr>
      <vt:lpstr>text_2008</vt:lpstr>
      <vt:lpstr>text_2009</vt:lpstr>
      <vt:lpstr>yoy</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IADB</cp:lastModifiedBy>
  <dcterms:created xsi:type="dcterms:W3CDTF">2009-12-02T16:26:50Z</dcterms:created>
  <dcterms:modified xsi:type="dcterms:W3CDTF">2011-06-13T18:19:23Z</dcterms:modified>
</cp:coreProperties>
</file>